
<file path=[Content_Types].xml><?xml version="1.0" encoding="utf-8"?>
<Types xmlns="http://schemas.openxmlformats.org/package/2006/content-types">
  <Default Extension="xml" ContentType="application/xml"/>
  <Default Extension="vml" ContentType="application/vnd.openxmlformats-officedocument.vmlDrawing"/>
  <Default Extension="tmp"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8.xml" ContentType="application/vnd.openxmlformats-officedocument.drawing+xml"/>
  <Override PartName="/xl/charts/chart9.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omments2.xml" ContentType="application/vnd.openxmlformats-officedocument.spreadsheetml.comments+xml"/>
  <Override PartName="/xl/charts/chart11.xml" ContentType="application/vnd.openxmlformats-officedocument.drawingml.chart+xml"/>
  <Override PartName="/xl/drawings/drawing12.xml" ContentType="application/vnd.openxmlformats-officedocument.drawing+xml"/>
  <Override PartName="/xl/comments3.xml" ContentType="application/vnd.openxmlformats-officedocument.spreadsheetml.comments+xml"/>
  <Override PartName="/xl/charts/chart12.xml" ContentType="application/vnd.openxmlformats-officedocument.drawingml.chart+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autoCompressPictures="0"/>
  <bookViews>
    <workbookView xWindow="0" yWindow="0" windowWidth="25600" windowHeight="16060" tabRatio="997"/>
  </bookViews>
  <sheets>
    <sheet name="Feature Landscape" sheetId="12" r:id="rId1"/>
    <sheet name="Universal Capabilities" sheetId="13" r:id="rId2"/>
    <sheet name="Definitions" sheetId="3" r:id="rId3"/>
    <sheet name="Site Map" sheetId="4" r:id="rId4"/>
    <sheet name="Main Menu" sheetId="5" r:id="rId5"/>
    <sheet name="Footer" sheetId="6" r:id="rId6"/>
    <sheet name="Third Party" sheetId="7" r:id="rId7"/>
    <sheet name="&quot;Features&quot;" sheetId="8" r:id="rId8"/>
    <sheet name="Previously Migrated Features" sheetId="14" r:id="rId9"/>
    <sheet name="Pivot Table (To sort by ripple)" sheetId="15" r:id="rId10"/>
    <sheet name="Metrics - Reporting Notes" sheetId="16" r:id="rId11"/>
    <sheet name="Metrics - DS Logon Data" sheetId="17" r:id="rId12"/>
    <sheet name="Metrics - DS Logon Bar Graph" sheetId="18" r:id="rId13"/>
    <sheet name="Metrics - DS Logon %" sheetId="19" r:id="rId14"/>
    <sheet name="Metrics - DS Logon Data (v2)" sheetId="20" r:id="rId15"/>
    <sheet name="Metrics - DS Logon Pivot Table" sheetId="21" r:id="rId16"/>
    <sheet name="Metrics - DD-214 (DPRIS)" sheetId="22" r:id="rId17"/>
    <sheet name="Metrics - COE" sheetId="23" r:id="rId18"/>
    <sheet name="Metrics - C&amp;P (Google)" sheetId="24" r:id="rId19"/>
    <sheet name="Metrics - Pay History (Google)" sheetId="25" r:id="rId20"/>
    <sheet name="Metrics - Appeals (Google)" sheetId="26" r:id="rId21"/>
    <sheet name="Metrics - Letters by Type" sheetId="27" r:id="rId22"/>
    <sheet name="Met - Oct11-Apr12 Pg Access " sheetId="28" r:id="rId23"/>
    <sheet name="Met - Monthly Acct Data (2)" sheetId="29" r:id="rId24"/>
    <sheet name="Met - As of 3.25.16 - Pg Views" sheetId="30" r:id="rId25"/>
    <sheet name="Met-Frd Inc Sum as of 03.16.16" sheetId="32" r:id="rId26"/>
    <sheet name="Met-Frd Inc Sum as of 03.30.16 " sheetId="31" r:id="rId27"/>
    <sheet name="Sheet18" sheetId="33" r:id="rId28"/>
  </sheets>
  <externalReferences>
    <externalReference r:id="rId29"/>
    <externalReference r:id="rId30"/>
    <externalReference r:id="rId31"/>
  </externalReferences>
  <definedNames>
    <definedName name="_xlnm._FilterDatabase" localSheetId="0" hidden="1">'Feature Landscape'!$A$1:$Y$80</definedName>
    <definedName name="_xlnm._FilterDatabase" localSheetId="1" hidden="1">'Universal Capabilities'!$A$1:$R$9</definedName>
    <definedName name="_xlnm.Print_Area" localSheetId="0">'Feature Landscape'!$A$1:$AC$80</definedName>
    <definedName name="_xlnm.Print_Titles" localSheetId="0">'Feature Landscape'!$1:$1</definedName>
  </definedNames>
  <calcPr calcId="140001" concurrentCalc="0"/>
  <pivotCaches>
    <pivotCache cacheId="4" r:id="rId32"/>
    <pivotCache cacheId="5" r:id="rId33"/>
  </pivotCaches>
  <extLst>
    <ext xmlns:mx="http://schemas.microsoft.com/office/mac/excel/2008/main" uri="{7523E5D3-25F3-A5E0-1632-64F254C22452}">
      <mx:ArchID Flags="2"/>
    </ext>
  </extLst>
</workbook>
</file>

<file path=xl/calcChain.xml><?xml version="1.0" encoding="utf-8"?>
<calcChain xmlns="http://schemas.openxmlformats.org/spreadsheetml/2006/main">
  <c r="AK13" i="27" l="1"/>
  <c r="AK12" i="27"/>
  <c r="AK11" i="27"/>
  <c r="AK10" i="27"/>
  <c r="AK9" i="27"/>
  <c r="AK8" i="27"/>
  <c r="AK7" i="27"/>
  <c r="AK6" i="27"/>
  <c r="AK5" i="27"/>
  <c r="AK4" i="27"/>
  <c r="B15" i="27"/>
  <c r="C15" i="27"/>
  <c r="D15" i="27"/>
  <c r="E4" i="27"/>
  <c r="E5" i="27"/>
  <c r="E6" i="27"/>
  <c r="E7" i="27"/>
  <c r="E8" i="27"/>
  <c r="E9" i="27"/>
  <c r="E10" i="27"/>
  <c r="E13" i="27"/>
  <c r="E15" i="27"/>
  <c r="F4" i="27"/>
  <c r="F5" i="27"/>
  <c r="F6" i="27"/>
  <c r="F7" i="27"/>
  <c r="F8" i="27"/>
  <c r="F9" i="27"/>
  <c r="F10" i="27"/>
  <c r="F13" i="27"/>
  <c r="F15" i="27"/>
  <c r="G4" i="27"/>
  <c r="G5" i="27"/>
  <c r="G6" i="27"/>
  <c r="G7" i="27"/>
  <c r="G8" i="27"/>
  <c r="G9" i="27"/>
  <c r="G10" i="27"/>
  <c r="G11" i="27"/>
  <c r="G12" i="27"/>
  <c r="G13" i="27"/>
  <c r="G15" i="27"/>
  <c r="K17" i="27"/>
  <c r="H14" i="27"/>
  <c r="I14" i="27"/>
  <c r="J14" i="27"/>
  <c r="K14" i="27"/>
  <c r="L14" i="27"/>
  <c r="M14" i="27"/>
  <c r="N14" i="27"/>
  <c r="O14" i="27"/>
  <c r="P14" i="27"/>
  <c r="Q14" i="27"/>
  <c r="R14" i="27"/>
  <c r="S14" i="27"/>
  <c r="T14" i="27"/>
  <c r="U14" i="27"/>
  <c r="V14" i="27"/>
  <c r="W14" i="27"/>
  <c r="X14" i="27"/>
  <c r="Y14" i="27"/>
  <c r="Z14" i="27"/>
  <c r="AA14" i="27"/>
  <c r="AB14" i="27"/>
  <c r="AC14" i="27"/>
  <c r="AD14" i="27"/>
  <c r="AE14" i="27"/>
  <c r="AF14" i="27"/>
  <c r="AG14" i="27"/>
  <c r="AH14" i="27"/>
  <c r="AI14" i="27"/>
  <c r="AJ14" i="27"/>
  <c r="AK14" i="27"/>
  <c r="K16" i="27"/>
  <c r="BW40" i="29"/>
  <c r="BW42" i="29"/>
  <c r="BX40" i="29"/>
  <c r="BX42" i="29"/>
  <c r="BY42" i="29"/>
  <c r="BO40" i="29"/>
  <c r="BO42" i="29"/>
  <c r="BP40" i="29"/>
  <c r="BP42" i="29"/>
  <c r="BQ42" i="29"/>
  <c r="BG40" i="29"/>
  <c r="BG42" i="29"/>
  <c r="BH40" i="29"/>
  <c r="BH42" i="29"/>
  <c r="BI42" i="29"/>
  <c r="BY41" i="29"/>
  <c r="BQ41" i="29"/>
  <c r="BI41" i="29"/>
  <c r="CE38" i="29"/>
  <c r="CE40" i="29"/>
  <c r="CF38" i="29"/>
  <c r="CF40" i="29"/>
  <c r="CG40" i="29"/>
  <c r="BY4" i="29"/>
  <c r="BY5" i="29"/>
  <c r="BY6" i="29"/>
  <c r="BY7" i="29"/>
  <c r="BY8" i="29"/>
  <c r="BY9" i="29"/>
  <c r="BY10" i="29"/>
  <c r="BY11" i="29"/>
  <c r="BY13" i="29"/>
  <c r="BY14" i="29"/>
  <c r="BY15" i="29"/>
  <c r="BY16" i="29"/>
  <c r="BY17" i="29"/>
  <c r="BY18" i="29"/>
  <c r="BY20" i="29"/>
  <c r="BY21" i="29"/>
  <c r="BY22" i="29"/>
  <c r="BY24" i="29"/>
  <c r="BY25" i="29"/>
  <c r="BY26" i="29"/>
  <c r="BY27" i="29"/>
  <c r="BY28" i="29"/>
  <c r="BY29" i="29"/>
  <c r="BY30" i="29"/>
  <c r="BY32" i="29"/>
  <c r="BY33" i="29"/>
  <c r="BY34" i="29"/>
  <c r="BY35" i="29"/>
  <c r="BY36" i="29"/>
  <c r="BY37" i="29"/>
  <c r="BY38" i="29"/>
  <c r="BY39" i="29"/>
  <c r="BY40" i="29"/>
  <c r="BQ4" i="29"/>
  <c r="BQ5" i="29"/>
  <c r="BQ6" i="29"/>
  <c r="BQ7" i="29"/>
  <c r="BQ8" i="29"/>
  <c r="BQ9" i="29"/>
  <c r="BQ10" i="29"/>
  <c r="BQ11" i="29"/>
  <c r="BQ13" i="29"/>
  <c r="BQ14" i="29"/>
  <c r="BQ15" i="29"/>
  <c r="BQ16" i="29"/>
  <c r="BQ17" i="29"/>
  <c r="BQ18" i="29"/>
  <c r="BQ20" i="29"/>
  <c r="BQ21" i="29"/>
  <c r="BQ22" i="29"/>
  <c r="BQ24" i="29"/>
  <c r="BQ25" i="29"/>
  <c r="BQ26" i="29"/>
  <c r="BQ27" i="29"/>
  <c r="BQ28" i="29"/>
  <c r="BQ29" i="29"/>
  <c r="BQ30" i="29"/>
  <c r="BQ32" i="29"/>
  <c r="BQ33" i="29"/>
  <c r="BQ34" i="29"/>
  <c r="BQ35" i="29"/>
  <c r="BQ36" i="29"/>
  <c r="BQ37" i="29"/>
  <c r="BQ38" i="29"/>
  <c r="BQ39" i="29"/>
  <c r="BQ40" i="29"/>
  <c r="BI4" i="29"/>
  <c r="BI5" i="29"/>
  <c r="BI6" i="29"/>
  <c r="BI7" i="29"/>
  <c r="BI8" i="29"/>
  <c r="BI9" i="29"/>
  <c r="BI10" i="29"/>
  <c r="BI11" i="29"/>
  <c r="BI13" i="29"/>
  <c r="BI14" i="29"/>
  <c r="BI15" i="29"/>
  <c r="BI16" i="29"/>
  <c r="BI17" i="29"/>
  <c r="BI18" i="29"/>
  <c r="BI20" i="29"/>
  <c r="BI21" i="29"/>
  <c r="BI22" i="29"/>
  <c r="BI24" i="29"/>
  <c r="BI25" i="29"/>
  <c r="BI26" i="29"/>
  <c r="BI27" i="29"/>
  <c r="BI28" i="29"/>
  <c r="BI29" i="29"/>
  <c r="BI30" i="29"/>
  <c r="BI32" i="29"/>
  <c r="BI33" i="29"/>
  <c r="BI34" i="29"/>
  <c r="BI35" i="29"/>
  <c r="BI36" i="29"/>
  <c r="BI37" i="29"/>
  <c r="BI38" i="29"/>
  <c r="BI39" i="29"/>
  <c r="BI40" i="29"/>
  <c r="D40" i="29"/>
  <c r="E40" i="29"/>
  <c r="CG39" i="29"/>
  <c r="D39" i="29"/>
  <c r="E39" i="29"/>
  <c r="CG4" i="29"/>
  <c r="CG5" i="29"/>
  <c r="CG6" i="29"/>
  <c r="CG7" i="29"/>
  <c r="CG8" i="29"/>
  <c r="CG9" i="29"/>
  <c r="CG10" i="29"/>
  <c r="CG12" i="29"/>
  <c r="CG13" i="29"/>
  <c r="CG14" i="29"/>
  <c r="CG15" i="29"/>
  <c r="CG16" i="29"/>
  <c r="CG17" i="29"/>
  <c r="CG19" i="29"/>
  <c r="CG20" i="29"/>
  <c r="CG21" i="29"/>
  <c r="CG23" i="29"/>
  <c r="CG24" i="29"/>
  <c r="CG25" i="29"/>
  <c r="CG26" i="29"/>
  <c r="CG27" i="29"/>
  <c r="CG28" i="29"/>
  <c r="CG29" i="29"/>
  <c r="CG31" i="29"/>
  <c r="CG32" i="29"/>
  <c r="CG33" i="29"/>
  <c r="CG34" i="29"/>
  <c r="CG35" i="29"/>
  <c r="CG36" i="29"/>
  <c r="CG37" i="29"/>
  <c r="CG38" i="29"/>
  <c r="D38" i="29"/>
  <c r="E38" i="29"/>
  <c r="AX3" i="29"/>
  <c r="AX4" i="29"/>
  <c r="AX5" i="29"/>
  <c r="AX6" i="29"/>
  <c r="AX7" i="29"/>
  <c r="AX8" i="29"/>
  <c r="AX9" i="29"/>
  <c r="AX31" i="29"/>
  <c r="AX33" i="29"/>
  <c r="AY3" i="29"/>
  <c r="AY4" i="29"/>
  <c r="AY5" i="29"/>
  <c r="AY6" i="29"/>
  <c r="AY7" i="29"/>
  <c r="AY8" i="29"/>
  <c r="AY9" i="29"/>
  <c r="AY31" i="29"/>
  <c r="AY33" i="29"/>
  <c r="AZ33" i="29"/>
  <c r="AQ3" i="29"/>
  <c r="AQ4" i="29"/>
  <c r="AQ5" i="29"/>
  <c r="AQ6" i="29"/>
  <c r="AQ7" i="29"/>
  <c r="AQ8" i="29"/>
  <c r="AQ9" i="29"/>
  <c r="AQ31" i="29"/>
  <c r="AQ33" i="29"/>
  <c r="AR3" i="29"/>
  <c r="AR4" i="29"/>
  <c r="AR5" i="29"/>
  <c r="AR6" i="29"/>
  <c r="AR7" i="29"/>
  <c r="AR8" i="29"/>
  <c r="AR31" i="29"/>
  <c r="AR33" i="29"/>
  <c r="AS33" i="29"/>
  <c r="AL3" i="29"/>
  <c r="AL4" i="29"/>
  <c r="AL5" i="29"/>
  <c r="AL6" i="29"/>
  <c r="AL7" i="29"/>
  <c r="AL8" i="29"/>
  <c r="AL9" i="29"/>
  <c r="AL31" i="29"/>
  <c r="AL33" i="29"/>
  <c r="AM3" i="29"/>
  <c r="AM4" i="29"/>
  <c r="AM5" i="29"/>
  <c r="AM6" i="29"/>
  <c r="AM7" i="29"/>
  <c r="AM8" i="29"/>
  <c r="AM9" i="29"/>
  <c r="AM31" i="29"/>
  <c r="AM33" i="29"/>
  <c r="AN33" i="29"/>
  <c r="AG3" i="29"/>
  <c r="AG4" i="29"/>
  <c r="AG5" i="29"/>
  <c r="AG6" i="29"/>
  <c r="AG7" i="29"/>
  <c r="AG8" i="29"/>
  <c r="AG9" i="29"/>
  <c r="AG31" i="29"/>
  <c r="AG33" i="29"/>
  <c r="AH3" i="29"/>
  <c r="AH4" i="29"/>
  <c r="AH5" i="29"/>
  <c r="AH6" i="29"/>
  <c r="AH7" i="29"/>
  <c r="AH8" i="29"/>
  <c r="AH9" i="29"/>
  <c r="AH31" i="29"/>
  <c r="AH33" i="29"/>
  <c r="AI33" i="29"/>
  <c r="AB3" i="29"/>
  <c r="AB4" i="29"/>
  <c r="AB5" i="29"/>
  <c r="AB6" i="29"/>
  <c r="AB7" i="29"/>
  <c r="AB8" i="29"/>
  <c r="AB9" i="29"/>
  <c r="AB31" i="29"/>
  <c r="AB33" i="29"/>
  <c r="AC3" i="29"/>
  <c r="AC4" i="29"/>
  <c r="AC5" i="29"/>
  <c r="AC6" i="29"/>
  <c r="AC7" i="29"/>
  <c r="AC8" i="29"/>
  <c r="AC9" i="29"/>
  <c r="AC31" i="29"/>
  <c r="AC33" i="29"/>
  <c r="AD33" i="29"/>
  <c r="W3" i="29"/>
  <c r="W4" i="29"/>
  <c r="W5" i="29"/>
  <c r="W6" i="29"/>
  <c r="W7" i="29"/>
  <c r="W8" i="29"/>
  <c r="W9" i="29"/>
  <c r="W31" i="29"/>
  <c r="W33" i="29"/>
  <c r="X3" i="29"/>
  <c r="X4" i="29"/>
  <c r="X5" i="29"/>
  <c r="X6" i="29"/>
  <c r="X7" i="29"/>
  <c r="X8" i="29"/>
  <c r="X9" i="29"/>
  <c r="X31" i="29"/>
  <c r="X33" i="29"/>
  <c r="Y33" i="29"/>
  <c r="R3" i="29"/>
  <c r="R4" i="29"/>
  <c r="R5" i="29"/>
  <c r="R6" i="29"/>
  <c r="R7" i="29"/>
  <c r="R8" i="29"/>
  <c r="R31" i="29"/>
  <c r="R33" i="29"/>
  <c r="S3" i="29"/>
  <c r="S4" i="29"/>
  <c r="S5" i="29"/>
  <c r="S6" i="29"/>
  <c r="S7" i="29"/>
  <c r="S8" i="29"/>
  <c r="S31" i="29"/>
  <c r="S33" i="29"/>
  <c r="T33" i="29"/>
  <c r="M3" i="29"/>
  <c r="M4" i="29"/>
  <c r="M5" i="29"/>
  <c r="M6" i="29"/>
  <c r="M7" i="29"/>
  <c r="M8" i="29"/>
  <c r="M31" i="29"/>
  <c r="M33" i="29"/>
  <c r="N3" i="29"/>
  <c r="N4" i="29"/>
  <c r="N5" i="29"/>
  <c r="N6" i="29"/>
  <c r="N7" i="29"/>
  <c r="N8" i="29"/>
  <c r="N31" i="29"/>
  <c r="N33" i="29"/>
  <c r="O33" i="29"/>
  <c r="H3" i="29"/>
  <c r="H4" i="29"/>
  <c r="H5" i="29"/>
  <c r="H6" i="29"/>
  <c r="H8" i="29"/>
  <c r="H31" i="29"/>
  <c r="H33" i="29"/>
  <c r="I3" i="29"/>
  <c r="I4" i="29"/>
  <c r="I5" i="29"/>
  <c r="I6" i="29"/>
  <c r="I7" i="29"/>
  <c r="I8" i="29"/>
  <c r="I33" i="29"/>
  <c r="J33" i="29"/>
  <c r="C3" i="29"/>
  <c r="C4" i="29"/>
  <c r="C5" i="29"/>
  <c r="C6" i="29"/>
  <c r="C7" i="29"/>
  <c r="C8" i="29"/>
  <c r="C31" i="29"/>
  <c r="C33" i="29"/>
  <c r="D3" i="29"/>
  <c r="D4" i="29"/>
  <c r="D5" i="29"/>
  <c r="D6" i="29"/>
  <c r="D7" i="29"/>
  <c r="D8" i="29"/>
  <c r="D33" i="29"/>
  <c r="E33" i="29"/>
  <c r="AZ32" i="29"/>
  <c r="AS32" i="29"/>
  <c r="AN32" i="29"/>
  <c r="AI32" i="29"/>
  <c r="AD32" i="29"/>
  <c r="Y32" i="29"/>
  <c r="T32" i="29"/>
  <c r="O32" i="29"/>
  <c r="J32" i="29"/>
  <c r="E32" i="29"/>
  <c r="AZ3" i="29"/>
  <c r="AZ4" i="29"/>
  <c r="AZ5" i="29"/>
  <c r="AZ6" i="29"/>
  <c r="AZ7" i="29"/>
  <c r="AZ8" i="29"/>
  <c r="AZ9" i="29"/>
  <c r="AZ10" i="29"/>
  <c r="AZ13" i="29"/>
  <c r="AZ14" i="29"/>
  <c r="AZ15" i="29"/>
  <c r="AZ16" i="29"/>
  <c r="AZ17" i="29"/>
  <c r="AZ18" i="29"/>
  <c r="AZ19" i="29"/>
  <c r="AZ20" i="29"/>
  <c r="AZ23" i="29"/>
  <c r="AZ24" i="29"/>
  <c r="AZ25" i="29"/>
  <c r="AZ26" i="29"/>
  <c r="AZ27" i="29"/>
  <c r="AZ28" i="29"/>
  <c r="AZ29" i="29"/>
  <c r="AZ31" i="29"/>
  <c r="AS3" i="29"/>
  <c r="AS4" i="29"/>
  <c r="AS5" i="29"/>
  <c r="AS6" i="29"/>
  <c r="AS7" i="29"/>
  <c r="AS8" i="29"/>
  <c r="AS9" i="29"/>
  <c r="AS10" i="29"/>
  <c r="AS13" i="29"/>
  <c r="AS14" i="29"/>
  <c r="AS15" i="29"/>
  <c r="AS16" i="29"/>
  <c r="AS17" i="29"/>
  <c r="AS18" i="29"/>
  <c r="AS19" i="29"/>
  <c r="AS20" i="29"/>
  <c r="AS23" i="29"/>
  <c r="AS24" i="29"/>
  <c r="AS25" i="29"/>
  <c r="AS26" i="29"/>
  <c r="AS27" i="29"/>
  <c r="AS28" i="29"/>
  <c r="AS29" i="29"/>
  <c r="AS31" i="29"/>
  <c r="AN3" i="29"/>
  <c r="AN4" i="29"/>
  <c r="AN5" i="29"/>
  <c r="AN6" i="29"/>
  <c r="AN7" i="29"/>
  <c r="AN8" i="29"/>
  <c r="AN9" i="29"/>
  <c r="AN10" i="29"/>
  <c r="AN13" i="29"/>
  <c r="AN14" i="29"/>
  <c r="AN15" i="29"/>
  <c r="AN16" i="29"/>
  <c r="AN17" i="29"/>
  <c r="AN18" i="29"/>
  <c r="AN19" i="29"/>
  <c r="AN20" i="29"/>
  <c r="AN23" i="29"/>
  <c r="AN24" i="29"/>
  <c r="AN25" i="29"/>
  <c r="AN26" i="29"/>
  <c r="AN27" i="29"/>
  <c r="AN28" i="29"/>
  <c r="AN29" i="29"/>
  <c r="AN31" i="29"/>
  <c r="AI3" i="29"/>
  <c r="AI4" i="29"/>
  <c r="AI5" i="29"/>
  <c r="AI6" i="29"/>
  <c r="AI7" i="29"/>
  <c r="AI8" i="29"/>
  <c r="AI9" i="29"/>
  <c r="AI10" i="29"/>
  <c r="AI13" i="29"/>
  <c r="AI14" i="29"/>
  <c r="AI15" i="29"/>
  <c r="AI16" i="29"/>
  <c r="AI17" i="29"/>
  <c r="AI18" i="29"/>
  <c r="AI19" i="29"/>
  <c r="AI20" i="29"/>
  <c r="AI23" i="29"/>
  <c r="AI24" i="29"/>
  <c r="AI25" i="29"/>
  <c r="AI26" i="29"/>
  <c r="AI27" i="29"/>
  <c r="AI28" i="29"/>
  <c r="AI29" i="29"/>
  <c r="AI31" i="29"/>
  <c r="AD3" i="29"/>
  <c r="AD4" i="29"/>
  <c r="AD5" i="29"/>
  <c r="AD6" i="29"/>
  <c r="AD7" i="29"/>
  <c r="AD8" i="29"/>
  <c r="AD9" i="29"/>
  <c r="AD10" i="29"/>
  <c r="AD13" i="29"/>
  <c r="AD14" i="29"/>
  <c r="AD15" i="29"/>
  <c r="AD16" i="29"/>
  <c r="AD17" i="29"/>
  <c r="AD18" i="29"/>
  <c r="AD19" i="29"/>
  <c r="AD20" i="29"/>
  <c r="AD23" i="29"/>
  <c r="AD24" i="29"/>
  <c r="AD25" i="29"/>
  <c r="AD26" i="29"/>
  <c r="AD27" i="29"/>
  <c r="AD28" i="29"/>
  <c r="AD29" i="29"/>
  <c r="AD31" i="29"/>
  <c r="Y3" i="29"/>
  <c r="Y4" i="29"/>
  <c r="Y5" i="29"/>
  <c r="Y6" i="29"/>
  <c r="Y7" i="29"/>
  <c r="Y8" i="29"/>
  <c r="Y9" i="29"/>
  <c r="Y10" i="29"/>
  <c r="Y13" i="29"/>
  <c r="Y14" i="29"/>
  <c r="Y15" i="29"/>
  <c r="Y16" i="29"/>
  <c r="Y17" i="29"/>
  <c r="Y18" i="29"/>
  <c r="Y19" i="29"/>
  <c r="Y20" i="29"/>
  <c r="Y23" i="29"/>
  <c r="Y24" i="29"/>
  <c r="Y25" i="29"/>
  <c r="Y26" i="29"/>
  <c r="Y27" i="29"/>
  <c r="Y28" i="29"/>
  <c r="Y29" i="29"/>
  <c r="Y31" i="29"/>
  <c r="T3" i="29"/>
  <c r="T4" i="29"/>
  <c r="T5" i="29"/>
  <c r="T6" i="29"/>
  <c r="T7" i="29"/>
  <c r="T8" i="29"/>
  <c r="T9" i="29"/>
  <c r="T10" i="29"/>
  <c r="T13" i="29"/>
  <c r="T14" i="29"/>
  <c r="T15" i="29"/>
  <c r="T16" i="29"/>
  <c r="T17" i="29"/>
  <c r="T18" i="29"/>
  <c r="T19" i="29"/>
  <c r="T20" i="29"/>
  <c r="T23" i="29"/>
  <c r="T24" i="29"/>
  <c r="T25" i="29"/>
  <c r="T26" i="29"/>
  <c r="T27" i="29"/>
  <c r="T28" i="29"/>
  <c r="T29" i="29"/>
  <c r="T31" i="29"/>
  <c r="O3" i="29"/>
  <c r="O4" i="29"/>
  <c r="O5" i="29"/>
  <c r="O6" i="29"/>
  <c r="O7" i="29"/>
  <c r="O8" i="29"/>
  <c r="O9" i="29"/>
  <c r="O10" i="29"/>
  <c r="O13" i="29"/>
  <c r="O14" i="29"/>
  <c r="O15" i="29"/>
  <c r="O16" i="29"/>
  <c r="O17" i="29"/>
  <c r="O18" i="29"/>
  <c r="O19" i="29"/>
  <c r="O20" i="29"/>
  <c r="O23" i="29"/>
  <c r="O24" i="29"/>
  <c r="O25" i="29"/>
  <c r="O26" i="29"/>
  <c r="O27" i="29"/>
  <c r="O28" i="29"/>
  <c r="O29" i="29"/>
  <c r="O31" i="29"/>
  <c r="J23" i="29"/>
  <c r="J24" i="29"/>
  <c r="J25" i="29"/>
  <c r="J26" i="29"/>
  <c r="J27" i="29"/>
  <c r="J28" i="29"/>
  <c r="J29" i="29"/>
  <c r="E23" i="29"/>
  <c r="E24" i="29"/>
  <c r="E25" i="29"/>
  <c r="E26" i="29"/>
  <c r="E27" i="29"/>
  <c r="E28" i="29"/>
  <c r="E29" i="29"/>
  <c r="CA28" i="29"/>
  <c r="BS28" i="29"/>
  <c r="BK28" i="29"/>
  <c r="CI27" i="29"/>
  <c r="CA27" i="29"/>
  <c r="BS27" i="29"/>
  <c r="BK27" i="29"/>
  <c r="BB27" i="29"/>
  <c r="CI26" i="29"/>
  <c r="CA26" i="29"/>
  <c r="BS26" i="29"/>
  <c r="BK26" i="29"/>
  <c r="BB26" i="29"/>
  <c r="CI25" i="29"/>
  <c r="CA25" i="29"/>
  <c r="BS25" i="29"/>
  <c r="BK25" i="29"/>
  <c r="BB25" i="29"/>
  <c r="CI24" i="29"/>
  <c r="CA24" i="29"/>
  <c r="BS24" i="29"/>
  <c r="BK24" i="29"/>
  <c r="BB24" i="29"/>
  <c r="CI23" i="29"/>
  <c r="BB23" i="29"/>
  <c r="CA21" i="29"/>
  <c r="BS21" i="29"/>
  <c r="BK21" i="29"/>
  <c r="CI20" i="29"/>
  <c r="CA20" i="29"/>
  <c r="BS20" i="29"/>
  <c r="BK20" i="29"/>
  <c r="J13" i="29"/>
  <c r="J14" i="29"/>
  <c r="J15" i="29"/>
  <c r="J16" i="29"/>
  <c r="J17" i="29"/>
  <c r="J18" i="29"/>
  <c r="J20" i="29"/>
  <c r="CI19" i="29"/>
  <c r="J19" i="29"/>
  <c r="E13" i="29"/>
  <c r="E14" i="29"/>
  <c r="E15" i="29"/>
  <c r="E16" i="29"/>
  <c r="E17" i="29"/>
  <c r="E18" i="29"/>
  <c r="E19" i="29"/>
  <c r="BZ17" i="29"/>
  <c r="CA17" i="29"/>
  <c r="BR17" i="29"/>
  <c r="BS17" i="29"/>
  <c r="BJ17" i="29"/>
  <c r="BK17" i="29"/>
  <c r="CH16" i="29"/>
  <c r="CI16" i="29"/>
  <c r="BZ16" i="29"/>
  <c r="CA16" i="29"/>
  <c r="BR16" i="29"/>
  <c r="BS16" i="29"/>
  <c r="BJ16" i="29"/>
  <c r="BK16" i="29"/>
  <c r="CH15" i="29"/>
  <c r="CI15" i="29"/>
  <c r="BZ15" i="29"/>
  <c r="CA15" i="29"/>
  <c r="BR15" i="29"/>
  <c r="BS15" i="29"/>
  <c r="BJ15" i="29"/>
  <c r="BK15" i="29"/>
  <c r="CH14" i="29"/>
  <c r="CI14" i="29"/>
  <c r="BZ14" i="29"/>
  <c r="CA14" i="29"/>
  <c r="BR14" i="29"/>
  <c r="BS14" i="29"/>
  <c r="BJ14" i="29"/>
  <c r="BK14" i="29"/>
  <c r="CH13" i="29"/>
  <c r="CI13" i="29"/>
  <c r="BZ13" i="29"/>
  <c r="CA13" i="29"/>
  <c r="BR13" i="29"/>
  <c r="BS13" i="29"/>
  <c r="BJ13" i="29"/>
  <c r="BK13" i="29"/>
  <c r="CH12" i="29"/>
  <c r="CI12" i="29"/>
  <c r="J3" i="29"/>
  <c r="J4" i="29"/>
  <c r="J5" i="29"/>
  <c r="J6" i="29"/>
  <c r="J7" i="29"/>
  <c r="J8" i="29"/>
  <c r="J10" i="29"/>
  <c r="J9" i="29"/>
  <c r="E3" i="29"/>
  <c r="E4" i="29"/>
  <c r="E5" i="29"/>
  <c r="E6" i="29"/>
  <c r="E7" i="29"/>
  <c r="E8" i="29"/>
  <c r="E9" i="29"/>
  <c r="CI8" i="29"/>
  <c r="CA8" i="29"/>
  <c r="BS8" i="29"/>
  <c r="BK8" i="29"/>
  <c r="CI7" i="29"/>
  <c r="CA7" i="29"/>
  <c r="BS7" i="29"/>
  <c r="BK7" i="29"/>
  <c r="BA7" i="29"/>
  <c r="BB7" i="29"/>
  <c r="AT7" i="29"/>
  <c r="AU7" i="29"/>
  <c r="CI6" i="29"/>
  <c r="CA6" i="29"/>
  <c r="BS6" i="29"/>
  <c r="BK6" i="29"/>
  <c r="BA6" i="29"/>
  <c r="BB6" i="29"/>
  <c r="AT6" i="29"/>
  <c r="AU6" i="29"/>
  <c r="CI5" i="29"/>
  <c r="CA5" i="29"/>
  <c r="BS5" i="29"/>
  <c r="BK5" i="29"/>
  <c r="BA5" i="29"/>
  <c r="BB5" i="29"/>
  <c r="AT5" i="29"/>
  <c r="AU5" i="29"/>
  <c r="CI4" i="29"/>
  <c r="CA4" i="29"/>
  <c r="BS4" i="29"/>
  <c r="BK4" i="29"/>
  <c r="BA4" i="29"/>
  <c r="BB4" i="29"/>
  <c r="AT4" i="29"/>
  <c r="AU4" i="29"/>
  <c r="BA3" i="29"/>
  <c r="BB3" i="29"/>
  <c r="AT3" i="29"/>
  <c r="AU3" i="29"/>
  <c r="N5" i="26"/>
  <c r="N6" i="26"/>
  <c r="N7" i="26"/>
  <c r="N8" i="26"/>
  <c r="N9" i="26"/>
  <c r="N10" i="26"/>
  <c r="N12" i="26"/>
  <c r="N11" i="26"/>
  <c r="N5" i="25"/>
  <c r="N6" i="25"/>
  <c r="N7" i="25"/>
  <c r="N8" i="25"/>
  <c r="N9" i="25"/>
  <c r="N10" i="25"/>
  <c r="N12" i="25"/>
  <c r="N11" i="25"/>
  <c r="N4" i="24"/>
  <c r="N5" i="24"/>
  <c r="N6" i="24"/>
  <c r="N7" i="24"/>
  <c r="N8" i="24"/>
  <c r="N9" i="24"/>
  <c r="N11" i="24"/>
  <c r="N10" i="24"/>
  <c r="N14" i="23"/>
  <c r="N13" i="23"/>
  <c r="N12" i="23"/>
  <c r="N11" i="23"/>
  <c r="N10" i="23"/>
  <c r="N9" i="23"/>
  <c r="N8" i="23"/>
  <c r="N7" i="23"/>
  <c r="N6" i="23"/>
  <c r="N5" i="22"/>
  <c r="N6" i="22"/>
  <c r="N7" i="22"/>
  <c r="N8" i="22"/>
  <c r="N9" i="22"/>
  <c r="N10" i="22"/>
  <c r="N14" i="22"/>
  <c r="N13" i="22"/>
  <c r="N12" i="22"/>
  <c r="N11" i="22"/>
  <c r="C63" i="20"/>
  <c r="E57" i="20"/>
  <c r="U44" i="20"/>
  <c r="T44" i="20"/>
  <c r="S44" i="20"/>
  <c r="R44" i="20"/>
  <c r="Q44" i="20"/>
  <c r="P44" i="20"/>
  <c r="O44" i="20"/>
  <c r="N44" i="20"/>
  <c r="M44" i="20"/>
  <c r="L44" i="20"/>
  <c r="K44" i="20"/>
  <c r="J44" i="20"/>
  <c r="I44" i="20"/>
  <c r="H44" i="20"/>
  <c r="G44" i="20"/>
  <c r="F44" i="20"/>
  <c r="E44" i="20"/>
  <c r="D44" i="20"/>
  <c r="U41" i="20"/>
  <c r="T41" i="20"/>
  <c r="S41" i="20"/>
  <c r="R41" i="20"/>
  <c r="Q41" i="20"/>
  <c r="P41" i="20"/>
  <c r="O41" i="20"/>
  <c r="N41" i="20"/>
  <c r="M41" i="20"/>
  <c r="L41" i="20"/>
  <c r="K41" i="20"/>
  <c r="J41" i="20"/>
  <c r="I41" i="20"/>
  <c r="H41" i="20"/>
  <c r="G41" i="20"/>
  <c r="F41" i="20"/>
  <c r="E41" i="20"/>
  <c r="D41" i="20"/>
  <c r="U28" i="20"/>
  <c r="T28" i="20"/>
  <c r="S28" i="20"/>
  <c r="R28" i="20"/>
  <c r="Q28" i="20"/>
  <c r="P28" i="20"/>
  <c r="O28" i="20"/>
  <c r="N28" i="20"/>
  <c r="M28" i="20"/>
  <c r="L28" i="20"/>
  <c r="K28" i="20"/>
  <c r="J28" i="20"/>
  <c r="I28" i="20"/>
  <c r="H28" i="20"/>
  <c r="G28" i="20"/>
  <c r="F28" i="20"/>
  <c r="E28" i="20"/>
  <c r="D28" i="20"/>
  <c r="U15" i="20"/>
  <c r="T15" i="20"/>
  <c r="S15" i="20"/>
  <c r="R15" i="20"/>
  <c r="Q15" i="20"/>
  <c r="P15" i="20"/>
  <c r="O3" i="20"/>
  <c r="O4" i="20"/>
  <c r="O5" i="20"/>
  <c r="O6" i="20"/>
  <c r="O7" i="20"/>
  <c r="O8" i="20"/>
  <c r="O9" i="20"/>
  <c r="O10" i="20"/>
  <c r="O11" i="20"/>
  <c r="O12" i="20"/>
  <c r="O13" i="20"/>
  <c r="O14" i="20"/>
  <c r="O15" i="20"/>
  <c r="N15" i="20"/>
  <c r="M15" i="20"/>
  <c r="L15" i="20"/>
  <c r="K15" i="20"/>
  <c r="J9" i="20"/>
  <c r="J10" i="20"/>
  <c r="J11" i="20"/>
  <c r="J12" i="20"/>
  <c r="J13" i="20"/>
  <c r="J14" i="20"/>
  <c r="J15" i="20"/>
  <c r="I15" i="20"/>
  <c r="H3" i="20"/>
  <c r="H4" i="20"/>
  <c r="H5" i="20"/>
  <c r="H6" i="20"/>
  <c r="H7" i="20"/>
  <c r="H9" i="20"/>
  <c r="H10" i="20"/>
  <c r="H11" i="20"/>
  <c r="H12" i="20"/>
  <c r="H13" i="20"/>
  <c r="H15" i="20"/>
  <c r="G15" i="20"/>
  <c r="F15" i="20"/>
  <c r="E9" i="20"/>
  <c r="E10" i="20"/>
  <c r="E11" i="20"/>
  <c r="E12" i="20"/>
  <c r="E13" i="20"/>
  <c r="E14" i="20"/>
  <c r="E15" i="20"/>
  <c r="D15" i="20"/>
  <c r="J9" i="19"/>
  <c r="F9" i="19"/>
  <c r="C9" i="19"/>
  <c r="O8" i="19"/>
  <c r="P8" i="19"/>
  <c r="J8" i="19"/>
  <c r="C8" i="19"/>
  <c r="P7" i="19"/>
  <c r="J7" i="19"/>
  <c r="C7" i="19"/>
  <c r="J6" i="19"/>
  <c r="C6" i="19"/>
  <c r="J5" i="19"/>
  <c r="F5" i="19"/>
  <c r="C5" i="19"/>
  <c r="H45" i="18"/>
  <c r="H44" i="18"/>
  <c r="H43" i="18"/>
  <c r="H42" i="18"/>
  <c r="H41" i="18"/>
  <c r="H40" i="18"/>
  <c r="H39" i="18"/>
  <c r="H38" i="18"/>
  <c r="H37" i="18"/>
  <c r="H36" i="18"/>
  <c r="H35" i="18"/>
  <c r="H34" i="18"/>
  <c r="H33" i="18"/>
  <c r="H32" i="18"/>
  <c r="H31" i="18"/>
  <c r="H30" i="18"/>
  <c r="H29" i="18"/>
  <c r="H28" i="18"/>
  <c r="H27" i="18"/>
  <c r="H26" i="18"/>
  <c r="H25" i="18"/>
  <c r="H24" i="18"/>
  <c r="H23" i="18"/>
  <c r="H22" i="18"/>
  <c r="H21" i="18"/>
  <c r="H20" i="18"/>
  <c r="H19" i="18"/>
  <c r="H18" i="18"/>
  <c r="H17" i="18"/>
  <c r="H16" i="18"/>
  <c r="H15" i="18"/>
  <c r="H14" i="18"/>
  <c r="H13" i="18"/>
  <c r="H12" i="18"/>
  <c r="H11" i="18"/>
  <c r="H10" i="18"/>
  <c r="H9" i="18"/>
  <c r="H8" i="18"/>
  <c r="H7" i="18"/>
  <c r="H6" i="18"/>
  <c r="H5" i="18"/>
  <c r="H4" i="18"/>
  <c r="H3" i="18"/>
  <c r="EM40" i="17"/>
  <c r="EN40" i="17"/>
  <c r="EE40" i="17"/>
  <c r="EN44" i="17"/>
  <c r="BV41" i="17"/>
  <c r="BV43" i="17"/>
  <c r="BW41" i="17"/>
  <c r="BW43" i="17"/>
  <c r="BX43" i="17"/>
  <c r="BN41" i="17"/>
  <c r="BN43" i="17"/>
  <c r="BO41" i="17"/>
  <c r="BO43" i="17"/>
  <c r="BP43" i="17"/>
  <c r="BF41" i="17"/>
  <c r="BF43" i="17"/>
  <c r="BG41" i="17"/>
  <c r="BG43" i="17"/>
  <c r="BH43" i="17"/>
  <c r="BX42" i="17"/>
  <c r="BP42" i="17"/>
  <c r="BH42" i="17"/>
  <c r="FR5" i="17"/>
  <c r="FR6" i="17"/>
  <c r="FR7" i="17"/>
  <c r="FR8" i="17"/>
  <c r="FR9" i="17"/>
  <c r="FR10" i="17"/>
  <c r="FR13" i="17"/>
  <c r="FR14" i="17"/>
  <c r="FR15" i="17"/>
  <c r="FR16" i="17"/>
  <c r="FR17" i="17"/>
  <c r="FR20" i="17"/>
  <c r="FR21" i="17"/>
  <c r="FR24" i="17"/>
  <c r="FR25" i="17"/>
  <c r="FR26" i="17"/>
  <c r="FR27" i="17"/>
  <c r="FR28" i="17"/>
  <c r="FR29" i="17"/>
  <c r="FR39" i="17"/>
  <c r="FR40" i="17"/>
  <c r="FR41" i="17"/>
  <c r="FS5" i="17"/>
  <c r="FS6" i="17"/>
  <c r="FS7" i="17"/>
  <c r="FS8" i="17"/>
  <c r="FS9" i="17"/>
  <c r="FS10" i="17"/>
  <c r="FS13" i="17"/>
  <c r="FS14" i="17"/>
  <c r="FS15" i="17"/>
  <c r="FS16" i="17"/>
  <c r="FS17" i="17"/>
  <c r="FS20" i="17"/>
  <c r="FS21" i="17"/>
  <c r="FS24" i="17"/>
  <c r="FS25" i="17"/>
  <c r="FS26" i="17"/>
  <c r="FS27" i="17"/>
  <c r="FS28" i="17"/>
  <c r="FS29" i="17"/>
  <c r="FS39" i="17"/>
  <c r="FS40" i="17"/>
  <c r="FS41" i="17"/>
  <c r="FT41" i="17"/>
  <c r="FJ39" i="17"/>
  <c r="FJ41" i="17"/>
  <c r="FK39" i="17"/>
  <c r="FK41" i="17"/>
  <c r="FL41" i="17"/>
  <c r="FB5" i="17"/>
  <c r="FB6" i="17"/>
  <c r="FB7" i="17"/>
  <c r="FB8" i="17"/>
  <c r="FB9" i="17"/>
  <c r="FB10" i="17"/>
  <c r="FB13" i="17"/>
  <c r="FB14" i="17"/>
  <c r="FB15" i="17"/>
  <c r="FB16" i="17"/>
  <c r="FB17" i="17"/>
  <c r="FB20" i="17"/>
  <c r="FB21" i="17"/>
  <c r="FB24" i="17"/>
  <c r="FB25" i="17"/>
  <c r="FB26" i="17"/>
  <c r="FB27" i="17"/>
  <c r="FB28" i="17"/>
  <c r="FB29" i="17"/>
  <c r="FB39" i="17"/>
  <c r="FB40" i="17"/>
  <c r="FB41" i="17"/>
  <c r="FC5" i="17"/>
  <c r="FC6" i="17"/>
  <c r="FC7" i="17"/>
  <c r="FC8" i="17"/>
  <c r="FC9" i="17"/>
  <c r="FC10" i="17"/>
  <c r="FC13" i="17"/>
  <c r="FC14" i="17"/>
  <c r="FC15" i="17"/>
  <c r="FC16" i="17"/>
  <c r="FC17" i="17"/>
  <c r="FC20" i="17"/>
  <c r="FC21" i="17"/>
  <c r="FC24" i="17"/>
  <c r="FC25" i="17"/>
  <c r="FC26" i="17"/>
  <c r="FC27" i="17"/>
  <c r="FC28" i="17"/>
  <c r="FC29" i="17"/>
  <c r="FC39" i="17"/>
  <c r="FC40" i="17"/>
  <c r="FC41" i="17"/>
  <c r="FD41" i="17"/>
  <c r="ET9" i="17"/>
  <c r="ET10" i="17"/>
  <c r="ET39" i="17"/>
  <c r="ET40" i="17"/>
  <c r="ET41" i="17"/>
  <c r="EU8" i="17"/>
  <c r="EU9" i="17"/>
  <c r="EU13" i="17"/>
  <c r="EU14" i="17"/>
  <c r="EU15" i="17"/>
  <c r="EU16" i="17"/>
  <c r="EU17" i="17"/>
  <c r="EU25" i="17"/>
  <c r="EU26" i="17"/>
  <c r="EU27" i="17"/>
  <c r="EU29" i="17"/>
  <c r="EU39" i="17"/>
  <c r="EU40" i="17"/>
  <c r="EU41" i="17"/>
  <c r="EV41" i="17"/>
  <c r="EL39" i="17"/>
  <c r="EL41" i="17"/>
  <c r="EM39" i="17"/>
  <c r="EM41" i="17"/>
  <c r="EN41" i="17"/>
  <c r="EC39" i="17"/>
  <c r="EC41" i="17"/>
  <c r="ED39" i="17"/>
  <c r="ED41" i="17"/>
  <c r="EE41" i="17"/>
  <c r="DT39" i="17"/>
  <c r="DT41" i="17"/>
  <c r="DU39" i="17"/>
  <c r="DU41" i="17"/>
  <c r="DV41" i="17"/>
  <c r="DK39" i="17"/>
  <c r="DK41" i="17"/>
  <c r="DL39" i="17"/>
  <c r="DL41" i="17"/>
  <c r="DM41" i="17"/>
  <c r="DB39" i="17"/>
  <c r="DB41" i="17"/>
  <c r="DC39" i="17"/>
  <c r="DC41" i="17"/>
  <c r="DD41" i="17"/>
  <c r="CT39" i="17"/>
  <c r="CT41" i="17"/>
  <c r="CU39" i="17"/>
  <c r="CU41" i="17"/>
  <c r="CV41" i="17"/>
  <c r="CL39" i="17"/>
  <c r="CL41" i="17"/>
  <c r="CM39" i="17"/>
  <c r="CM41" i="17"/>
  <c r="CN41" i="17"/>
  <c r="CD39" i="17"/>
  <c r="CD41" i="17"/>
  <c r="CE39" i="17"/>
  <c r="CE41" i="17"/>
  <c r="CF41" i="17"/>
  <c r="BX5" i="17"/>
  <c r="BX6" i="17"/>
  <c r="BX7" i="17"/>
  <c r="BX8" i="17"/>
  <c r="BX9" i="17"/>
  <c r="BX10" i="17"/>
  <c r="BX11" i="17"/>
  <c r="BX12" i="17"/>
  <c r="BX14" i="17"/>
  <c r="BX15" i="17"/>
  <c r="BX16" i="17"/>
  <c r="BX17" i="17"/>
  <c r="BX18" i="17"/>
  <c r="BX19" i="17"/>
  <c r="BX21" i="17"/>
  <c r="BX22" i="17"/>
  <c r="BX23" i="17"/>
  <c r="BX25" i="17"/>
  <c r="BX26" i="17"/>
  <c r="BX27" i="17"/>
  <c r="BX28" i="17"/>
  <c r="BX29" i="17"/>
  <c r="BX30" i="17"/>
  <c r="BX31" i="17"/>
  <c r="BX33" i="17"/>
  <c r="BX34" i="17"/>
  <c r="BX35" i="17"/>
  <c r="BX36" i="17"/>
  <c r="BX37" i="17"/>
  <c r="BX38" i="17"/>
  <c r="BX39" i="17"/>
  <c r="BX40" i="17"/>
  <c r="BX41" i="17"/>
  <c r="BP5" i="17"/>
  <c r="BP6" i="17"/>
  <c r="BP7" i="17"/>
  <c r="BP8" i="17"/>
  <c r="BP9" i="17"/>
  <c r="BP10" i="17"/>
  <c r="BP11" i="17"/>
  <c r="BP12" i="17"/>
  <c r="BP14" i="17"/>
  <c r="BP15" i="17"/>
  <c r="BP16" i="17"/>
  <c r="BP17" i="17"/>
  <c r="BP18" i="17"/>
  <c r="BP19" i="17"/>
  <c r="BP21" i="17"/>
  <c r="BP22" i="17"/>
  <c r="BP23" i="17"/>
  <c r="BP25" i="17"/>
  <c r="BP26" i="17"/>
  <c r="BP27" i="17"/>
  <c r="BP28" i="17"/>
  <c r="BP29" i="17"/>
  <c r="BP30" i="17"/>
  <c r="BP31" i="17"/>
  <c r="BP33" i="17"/>
  <c r="BP34" i="17"/>
  <c r="BP35" i="17"/>
  <c r="BP36" i="17"/>
  <c r="BP37" i="17"/>
  <c r="BP38" i="17"/>
  <c r="BP39" i="17"/>
  <c r="BP40" i="17"/>
  <c r="BP41" i="17"/>
  <c r="BH5" i="17"/>
  <c r="BH6" i="17"/>
  <c r="BH7" i="17"/>
  <c r="BH8" i="17"/>
  <c r="BH9" i="17"/>
  <c r="BH10" i="17"/>
  <c r="BH11" i="17"/>
  <c r="BH12" i="17"/>
  <c r="BH14" i="17"/>
  <c r="BH15" i="17"/>
  <c r="BH16" i="17"/>
  <c r="BH17" i="17"/>
  <c r="BH18" i="17"/>
  <c r="BH19" i="17"/>
  <c r="BH21" i="17"/>
  <c r="BH22" i="17"/>
  <c r="BH23" i="17"/>
  <c r="BH25" i="17"/>
  <c r="BH26" i="17"/>
  <c r="BH27" i="17"/>
  <c r="BH28" i="17"/>
  <c r="BH29" i="17"/>
  <c r="BH30" i="17"/>
  <c r="BH31" i="17"/>
  <c r="BH33" i="17"/>
  <c r="BH34" i="17"/>
  <c r="BH35" i="17"/>
  <c r="BH36" i="17"/>
  <c r="BH37" i="17"/>
  <c r="BH38" i="17"/>
  <c r="BH39" i="17"/>
  <c r="BH40" i="17"/>
  <c r="BH41" i="17"/>
  <c r="D41" i="17"/>
  <c r="E41" i="17"/>
  <c r="FT40" i="17"/>
  <c r="FL40" i="17"/>
  <c r="FD40" i="17"/>
  <c r="EV40" i="17"/>
  <c r="DV40" i="17"/>
  <c r="DM40" i="17"/>
  <c r="DD40" i="17"/>
  <c r="CV40" i="17"/>
  <c r="CN40" i="17"/>
  <c r="CF40" i="17"/>
  <c r="D40" i="17"/>
  <c r="E40" i="17"/>
  <c r="FT5" i="17"/>
  <c r="FT6" i="17"/>
  <c r="FT7" i="17"/>
  <c r="FT8" i="17"/>
  <c r="FT9" i="17"/>
  <c r="FT10" i="17"/>
  <c r="FT11" i="17"/>
  <c r="FT13" i="17"/>
  <c r="FT14" i="17"/>
  <c r="FT15" i="17"/>
  <c r="FT16" i="17"/>
  <c r="FT17" i="17"/>
  <c r="FT18" i="17"/>
  <c r="FT20" i="17"/>
  <c r="FT21" i="17"/>
  <c r="FT22" i="17"/>
  <c r="FT24" i="17"/>
  <c r="FT25" i="17"/>
  <c r="FT26" i="17"/>
  <c r="FT27" i="17"/>
  <c r="FT28" i="17"/>
  <c r="FT29" i="17"/>
  <c r="FT30" i="17"/>
  <c r="FT32" i="17"/>
  <c r="FT33" i="17"/>
  <c r="FT34" i="17"/>
  <c r="FT35" i="17"/>
  <c r="FT36" i="17"/>
  <c r="FT37" i="17"/>
  <c r="FT38" i="17"/>
  <c r="FT39" i="17"/>
  <c r="FL5" i="17"/>
  <c r="FL6" i="17"/>
  <c r="FL7" i="17"/>
  <c r="FL8" i="17"/>
  <c r="FL9" i="17"/>
  <c r="FL10" i="17"/>
  <c r="FL11" i="17"/>
  <c r="FL13" i="17"/>
  <c r="FL14" i="17"/>
  <c r="FL15" i="17"/>
  <c r="FL16" i="17"/>
  <c r="FL17" i="17"/>
  <c r="FL18" i="17"/>
  <c r="FL20" i="17"/>
  <c r="FL21" i="17"/>
  <c r="FL22" i="17"/>
  <c r="FL24" i="17"/>
  <c r="FL25" i="17"/>
  <c r="FL26" i="17"/>
  <c r="FL27" i="17"/>
  <c r="FL28" i="17"/>
  <c r="FL29" i="17"/>
  <c r="FL30" i="17"/>
  <c r="FL32" i="17"/>
  <c r="FL33" i="17"/>
  <c r="FL34" i="17"/>
  <c r="FL35" i="17"/>
  <c r="FL36" i="17"/>
  <c r="FL37" i="17"/>
  <c r="FL38" i="17"/>
  <c r="FL39" i="17"/>
  <c r="FD5" i="17"/>
  <c r="FD6" i="17"/>
  <c r="FD7" i="17"/>
  <c r="FD8" i="17"/>
  <c r="FD9" i="17"/>
  <c r="FD10" i="17"/>
  <c r="FD11" i="17"/>
  <c r="FD13" i="17"/>
  <c r="FD14" i="17"/>
  <c r="FD15" i="17"/>
  <c r="FD16" i="17"/>
  <c r="FD17" i="17"/>
  <c r="FD18" i="17"/>
  <c r="FD20" i="17"/>
  <c r="FD21" i="17"/>
  <c r="FD22" i="17"/>
  <c r="FD24" i="17"/>
  <c r="FD25" i="17"/>
  <c r="FD26" i="17"/>
  <c r="FD27" i="17"/>
  <c r="FD28" i="17"/>
  <c r="FD29" i="17"/>
  <c r="FD30" i="17"/>
  <c r="FD32" i="17"/>
  <c r="FD33" i="17"/>
  <c r="FD34" i="17"/>
  <c r="FD35" i="17"/>
  <c r="FD36" i="17"/>
  <c r="FD37" i="17"/>
  <c r="FD38" i="17"/>
  <c r="FD39" i="17"/>
  <c r="EV5" i="17"/>
  <c r="EV6" i="17"/>
  <c r="EV7" i="17"/>
  <c r="EV8" i="17"/>
  <c r="EV9" i="17"/>
  <c r="EV10" i="17"/>
  <c r="EV11" i="17"/>
  <c r="EV13" i="17"/>
  <c r="EV14" i="17"/>
  <c r="EV15" i="17"/>
  <c r="EV16" i="17"/>
  <c r="EV17" i="17"/>
  <c r="EV18" i="17"/>
  <c r="EV20" i="17"/>
  <c r="EV21" i="17"/>
  <c r="EV22" i="17"/>
  <c r="EV24" i="17"/>
  <c r="EV25" i="17"/>
  <c r="EV26" i="17"/>
  <c r="EV27" i="17"/>
  <c r="EV28" i="17"/>
  <c r="EV29" i="17"/>
  <c r="EV30" i="17"/>
  <c r="EV32" i="17"/>
  <c r="EV33" i="17"/>
  <c r="EV34" i="17"/>
  <c r="EV35" i="17"/>
  <c r="EV36" i="17"/>
  <c r="EV37" i="17"/>
  <c r="EV38" i="17"/>
  <c r="EV39" i="17"/>
  <c r="EN5" i="17"/>
  <c r="EN6" i="17"/>
  <c r="EN7" i="17"/>
  <c r="EN8" i="17"/>
  <c r="EN9" i="17"/>
  <c r="EN10" i="17"/>
  <c r="EN11" i="17"/>
  <c r="EN13" i="17"/>
  <c r="EN14" i="17"/>
  <c r="EN15" i="17"/>
  <c r="EN16" i="17"/>
  <c r="EN17" i="17"/>
  <c r="EN18" i="17"/>
  <c r="EN20" i="17"/>
  <c r="EN21" i="17"/>
  <c r="EN22" i="17"/>
  <c r="EN24" i="17"/>
  <c r="EN25" i="17"/>
  <c r="EN26" i="17"/>
  <c r="EN27" i="17"/>
  <c r="EN28" i="17"/>
  <c r="EN29" i="17"/>
  <c r="EN30" i="17"/>
  <c r="EN32" i="17"/>
  <c r="EN33" i="17"/>
  <c r="EN34" i="17"/>
  <c r="EN35" i="17"/>
  <c r="EN36" i="17"/>
  <c r="EN37" i="17"/>
  <c r="EN38" i="17"/>
  <c r="EN39" i="17"/>
  <c r="EE5" i="17"/>
  <c r="EE6" i="17"/>
  <c r="EE7" i="17"/>
  <c r="EE8" i="17"/>
  <c r="EE9" i="17"/>
  <c r="EE10" i="17"/>
  <c r="EE11" i="17"/>
  <c r="EE13" i="17"/>
  <c r="EE14" i="17"/>
  <c r="EE15" i="17"/>
  <c r="EE16" i="17"/>
  <c r="EE17" i="17"/>
  <c r="EE18" i="17"/>
  <c r="EE20" i="17"/>
  <c r="EE21" i="17"/>
  <c r="EE22" i="17"/>
  <c r="EE24" i="17"/>
  <c r="EE25" i="17"/>
  <c r="EE26" i="17"/>
  <c r="EE27" i="17"/>
  <c r="EE28" i="17"/>
  <c r="EE29" i="17"/>
  <c r="EE30" i="17"/>
  <c r="EE32" i="17"/>
  <c r="EE33" i="17"/>
  <c r="EE34" i="17"/>
  <c r="EE35" i="17"/>
  <c r="EE36" i="17"/>
  <c r="EE37" i="17"/>
  <c r="EE38" i="17"/>
  <c r="EE39" i="17"/>
  <c r="DV5" i="17"/>
  <c r="DV6" i="17"/>
  <c r="DV7" i="17"/>
  <c r="DV8" i="17"/>
  <c r="DV9" i="17"/>
  <c r="DV10" i="17"/>
  <c r="DV11" i="17"/>
  <c r="DV13" i="17"/>
  <c r="DV14" i="17"/>
  <c r="DV15" i="17"/>
  <c r="DV16" i="17"/>
  <c r="DV17" i="17"/>
  <c r="DV18" i="17"/>
  <c r="DV20" i="17"/>
  <c r="DV21" i="17"/>
  <c r="DV22" i="17"/>
  <c r="DV24" i="17"/>
  <c r="DV25" i="17"/>
  <c r="DV26" i="17"/>
  <c r="DV27" i="17"/>
  <c r="DV28" i="17"/>
  <c r="DV29" i="17"/>
  <c r="DV30" i="17"/>
  <c r="DV32" i="17"/>
  <c r="DV33" i="17"/>
  <c r="DV34" i="17"/>
  <c r="DV35" i="17"/>
  <c r="DV36" i="17"/>
  <c r="DV37" i="17"/>
  <c r="DV38" i="17"/>
  <c r="DV39" i="17"/>
  <c r="DM5" i="17"/>
  <c r="DM6" i="17"/>
  <c r="DM7" i="17"/>
  <c r="DM8" i="17"/>
  <c r="DM9" i="17"/>
  <c r="DM10" i="17"/>
  <c r="DM11" i="17"/>
  <c r="DM13" i="17"/>
  <c r="DM14" i="17"/>
  <c r="DM15" i="17"/>
  <c r="DM16" i="17"/>
  <c r="DM17" i="17"/>
  <c r="DM18" i="17"/>
  <c r="DM20" i="17"/>
  <c r="DM21" i="17"/>
  <c r="DM22" i="17"/>
  <c r="DM24" i="17"/>
  <c r="DM25" i="17"/>
  <c r="DM26" i="17"/>
  <c r="DM27" i="17"/>
  <c r="DM28" i="17"/>
  <c r="DM29" i="17"/>
  <c r="DM30" i="17"/>
  <c r="DM32" i="17"/>
  <c r="DM33" i="17"/>
  <c r="DM34" i="17"/>
  <c r="DM35" i="17"/>
  <c r="DM36" i="17"/>
  <c r="DM37" i="17"/>
  <c r="DM38" i="17"/>
  <c r="DM39" i="17"/>
  <c r="DD5" i="17"/>
  <c r="DD6" i="17"/>
  <c r="DD7" i="17"/>
  <c r="DD8" i="17"/>
  <c r="DD9" i="17"/>
  <c r="DD10" i="17"/>
  <c r="DD11" i="17"/>
  <c r="DD13" i="17"/>
  <c r="DD14" i="17"/>
  <c r="DD15" i="17"/>
  <c r="DD16" i="17"/>
  <c r="DD17" i="17"/>
  <c r="DD18" i="17"/>
  <c r="DD20" i="17"/>
  <c r="DD21" i="17"/>
  <c r="DD22" i="17"/>
  <c r="DD24" i="17"/>
  <c r="DD25" i="17"/>
  <c r="DD26" i="17"/>
  <c r="DD27" i="17"/>
  <c r="DD28" i="17"/>
  <c r="DD29" i="17"/>
  <c r="DD30" i="17"/>
  <c r="DD32" i="17"/>
  <c r="DD33" i="17"/>
  <c r="DD34" i="17"/>
  <c r="DD35" i="17"/>
  <c r="DD36" i="17"/>
  <c r="DD37" i="17"/>
  <c r="DD38" i="17"/>
  <c r="DD39" i="17"/>
  <c r="CV5" i="17"/>
  <c r="CV6" i="17"/>
  <c r="CV7" i="17"/>
  <c r="CV8" i="17"/>
  <c r="CV9" i="17"/>
  <c r="CV10" i="17"/>
  <c r="CV11" i="17"/>
  <c r="CV13" i="17"/>
  <c r="CV14" i="17"/>
  <c r="CV15" i="17"/>
  <c r="CV16" i="17"/>
  <c r="CV17" i="17"/>
  <c r="CV18" i="17"/>
  <c r="CV20" i="17"/>
  <c r="CV21" i="17"/>
  <c r="CV22" i="17"/>
  <c r="CV24" i="17"/>
  <c r="CV25" i="17"/>
  <c r="CV26" i="17"/>
  <c r="CV27" i="17"/>
  <c r="CV28" i="17"/>
  <c r="CV29" i="17"/>
  <c r="CV30" i="17"/>
  <c r="CV32" i="17"/>
  <c r="CV33" i="17"/>
  <c r="CV34" i="17"/>
  <c r="CV35" i="17"/>
  <c r="CV36" i="17"/>
  <c r="CV37" i="17"/>
  <c r="CV38" i="17"/>
  <c r="CV39" i="17"/>
  <c r="CN5" i="17"/>
  <c r="CN6" i="17"/>
  <c r="CN7" i="17"/>
  <c r="CN8" i="17"/>
  <c r="CN9" i="17"/>
  <c r="CN10" i="17"/>
  <c r="CN11" i="17"/>
  <c r="CN13" i="17"/>
  <c r="CN14" i="17"/>
  <c r="CN15" i="17"/>
  <c r="CN16" i="17"/>
  <c r="CN17" i="17"/>
  <c r="CN18" i="17"/>
  <c r="CN20" i="17"/>
  <c r="CN21" i="17"/>
  <c r="CN22" i="17"/>
  <c r="CN24" i="17"/>
  <c r="CN25" i="17"/>
  <c r="CN26" i="17"/>
  <c r="CN27" i="17"/>
  <c r="CN28" i="17"/>
  <c r="CN29" i="17"/>
  <c r="CN30" i="17"/>
  <c r="CN32" i="17"/>
  <c r="CN33" i="17"/>
  <c r="CN34" i="17"/>
  <c r="CN35" i="17"/>
  <c r="CN36" i="17"/>
  <c r="CN37" i="17"/>
  <c r="CN38" i="17"/>
  <c r="CN39" i="17"/>
  <c r="CF5" i="17"/>
  <c r="CF6" i="17"/>
  <c r="CF7" i="17"/>
  <c r="CF8" i="17"/>
  <c r="CF9" i="17"/>
  <c r="CF10" i="17"/>
  <c r="CF11" i="17"/>
  <c r="CF13" i="17"/>
  <c r="CF14" i="17"/>
  <c r="CF15" i="17"/>
  <c r="CF16" i="17"/>
  <c r="CF17" i="17"/>
  <c r="CF18" i="17"/>
  <c r="CF20" i="17"/>
  <c r="CF21" i="17"/>
  <c r="CF22" i="17"/>
  <c r="CF24" i="17"/>
  <c r="CF25" i="17"/>
  <c r="CF26" i="17"/>
  <c r="CF27" i="17"/>
  <c r="CF28" i="17"/>
  <c r="CF29" i="17"/>
  <c r="CF30" i="17"/>
  <c r="CF32" i="17"/>
  <c r="CF33" i="17"/>
  <c r="CF34" i="17"/>
  <c r="CF35" i="17"/>
  <c r="CF36" i="17"/>
  <c r="CF37" i="17"/>
  <c r="CF38" i="17"/>
  <c r="CF39" i="17"/>
  <c r="D39" i="17"/>
  <c r="E39" i="17"/>
  <c r="FU37" i="17"/>
  <c r="AX4" i="17"/>
  <c r="AX5" i="17"/>
  <c r="AX6" i="17"/>
  <c r="AX7" i="17"/>
  <c r="AX8" i="17"/>
  <c r="AX9" i="17"/>
  <c r="AX10" i="17"/>
  <c r="AX32" i="17"/>
  <c r="AX34" i="17"/>
  <c r="AY4" i="17"/>
  <c r="AY5" i="17"/>
  <c r="AY6" i="17"/>
  <c r="AY7" i="17"/>
  <c r="AY8" i="17"/>
  <c r="AY9" i="17"/>
  <c r="AY10" i="17"/>
  <c r="AY32" i="17"/>
  <c r="AY34" i="17"/>
  <c r="AZ34" i="17"/>
  <c r="AQ4" i="17"/>
  <c r="AQ5" i="17"/>
  <c r="AQ6" i="17"/>
  <c r="AQ7" i="17"/>
  <c r="AQ8" i="17"/>
  <c r="AQ9" i="17"/>
  <c r="AQ10" i="17"/>
  <c r="AQ32" i="17"/>
  <c r="AQ34" i="17"/>
  <c r="AR4" i="17"/>
  <c r="AR5" i="17"/>
  <c r="AR6" i="17"/>
  <c r="AR7" i="17"/>
  <c r="AR8" i="17"/>
  <c r="AR9" i="17"/>
  <c r="AR32" i="17"/>
  <c r="AR34" i="17"/>
  <c r="AS34" i="17"/>
  <c r="AL4" i="17"/>
  <c r="AL5" i="17"/>
  <c r="AL6" i="17"/>
  <c r="AL7" i="17"/>
  <c r="AL8" i="17"/>
  <c r="AL9" i="17"/>
  <c r="AL10" i="17"/>
  <c r="AL32" i="17"/>
  <c r="AL34" i="17"/>
  <c r="AM4" i="17"/>
  <c r="AM5" i="17"/>
  <c r="AM6" i="17"/>
  <c r="AM7" i="17"/>
  <c r="AM8" i="17"/>
  <c r="AM9" i="17"/>
  <c r="AM10" i="17"/>
  <c r="AM32" i="17"/>
  <c r="AM34" i="17"/>
  <c r="AN34" i="17"/>
  <c r="AG4" i="17"/>
  <c r="AG5" i="17"/>
  <c r="AG6" i="17"/>
  <c r="AG7" i="17"/>
  <c r="AG8" i="17"/>
  <c r="AG9" i="17"/>
  <c r="AG10" i="17"/>
  <c r="AG32" i="17"/>
  <c r="AG34" i="17"/>
  <c r="AH4" i="17"/>
  <c r="AH5" i="17"/>
  <c r="AH6" i="17"/>
  <c r="AH7" i="17"/>
  <c r="AH8" i="17"/>
  <c r="AH9" i="17"/>
  <c r="AH10" i="17"/>
  <c r="AH32" i="17"/>
  <c r="AH34" i="17"/>
  <c r="AI34" i="17"/>
  <c r="AB4" i="17"/>
  <c r="AB5" i="17"/>
  <c r="AB6" i="17"/>
  <c r="AB7" i="17"/>
  <c r="AB8" i="17"/>
  <c r="AB9" i="17"/>
  <c r="AB10" i="17"/>
  <c r="AB32" i="17"/>
  <c r="AB34" i="17"/>
  <c r="AC4" i="17"/>
  <c r="AC5" i="17"/>
  <c r="AC6" i="17"/>
  <c r="AC7" i="17"/>
  <c r="AC8" i="17"/>
  <c r="AC9" i="17"/>
  <c r="AC10" i="17"/>
  <c r="AC32" i="17"/>
  <c r="AC34" i="17"/>
  <c r="AD34" i="17"/>
  <c r="W4" i="17"/>
  <c r="W5" i="17"/>
  <c r="W6" i="17"/>
  <c r="W7" i="17"/>
  <c r="W8" i="17"/>
  <c r="W9" i="17"/>
  <c r="W10" i="17"/>
  <c r="W32" i="17"/>
  <c r="W34" i="17"/>
  <c r="X4" i="17"/>
  <c r="X5" i="17"/>
  <c r="X6" i="17"/>
  <c r="X7" i="17"/>
  <c r="X8" i="17"/>
  <c r="X9" i="17"/>
  <c r="X10" i="17"/>
  <c r="X32" i="17"/>
  <c r="X34" i="17"/>
  <c r="Y34" i="17"/>
  <c r="R4" i="17"/>
  <c r="R5" i="17"/>
  <c r="R6" i="17"/>
  <c r="R7" i="17"/>
  <c r="R8" i="17"/>
  <c r="R9" i="17"/>
  <c r="R32" i="17"/>
  <c r="R34" i="17"/>
  <c r="S4" i="17"/>
  <c r="S5" i="17"/>
  <c r="S6" i="17"/>
  <c r="S7" i="17"/>
  <c r="S8" i="17"/>
  <c r="S9" i="17"/>
  <c r="S32" i="17"/>
  <c r="S34" i="17"/>
  <c r="T34" i="17"/>
  <c r="M4" i="17"/>
  <c r="M5" i="17"/>
  <c r="M6" i="17"/>
  <c r="M7" i="17"/>
  <c r="M8" i="17"/>
  <c r="M9" i="17"/>
  <c r="M32" i="17"/>
  <c r="M34" i="17"/>
  <c r="N4" i="17"/>
  <c r="N5" i="17"/>
  <c r="N6" i="17"/>
  <c r="N7" i="17"/>
  <c r="N8" i="17"/>
  <c r="N9" i="17"/>
  <c r="N32" i="17"/>
  <c r="N34" i="17"/>
  <c r="O34" i="17"/>
  <c r="H4" i="17"/>
  <c r="H5" i="17"/>
  <c r="H6" i="17"/>
  <c r="H7" i="17"/>
  <c r="H9" i="17"/>
  <c r="H32" i="17"/>
  <c r="H34" i="17"/>
  <c r="I4" i="17"/>
  <c r="I5" i="17"/>
  <c r="I6" i="17"/>
  <c r="I7" i="17"/>
  <c r="I8" i="17"/>
  <c r="I9" i="17"/>
  <c r="I34" i="17"/>
  <c r="J34" i="17"/>
  <c r="C4" i="17"/>
  <c r="C5" i="17"/>
  <c r="C6" i="17"/>
  <c r="C7" i="17"/>
  <c r="C8" i="17"/>
  <c r="C9" i="17"/>
  <c r="C32" i="17"/>
  <c r="C34" i="17"/>
  <c r="D4" i="17"/>
  <c r="D5" i="17"/>
  <c r="D6" i="17"/>
  <c r="D7" i="17"/>
  <c r="D8" i="17"/>
  <c r="D9" i="17"/>
  <c r="D34" i="17"/>
  <c r="E34" i="17"/>
  <c r="AZ33" i="17"/>
  <c r="AS33" i="17"/>
  <c r="AN33" i="17"/>
  <c r="AI33" i="17"/>
  <c r="AD33" i="17"/>
  <c r="Y33" i="17"/>
  <c r="T33" i="17"/>
  <c r="O33" i="17"/>
  <c r="J33" i="17"/>
  <c r="E33" i="17"/>
  <c r="AZ4" i="17"/>
  <c r="AZ5" i="17"/>
  <c r="AZ6" i="17"/>
  <c r="AZ7" i="17"/>
  <c r="AZ8" i="17"/>
  <c r="AZ9" i="17"/>
  <c r="AZ10" i="17"/>
  <c r="AZ11" i="17"/>
  <c r="AZ14" i="17"/>
  <c r="AZ15" i="17"/>
  <c r="AZ16" i="17"/>
  <c r="AZ17" i="17"/>
  <c r="AZ18" i="17"/>
  <c r="AZ19" i="17"/>
  <c r="AZ20" i="17"/>
  <c r="AZ21" i="17"/>
  <c r="AZ24" i="17"/>
  <c r="AZ25" i="17"/>
  <c r="AZ26" i="17"/>
  <c r="AZ27" i="17"/>
  <c r="AZ28" i="17"/>
  <c r="AZ29" i="17"/>
  <c r="AZ30" i="17"/>
  <c r="AZ32" i="17"/>
  <c r="AS4" i="17"/>
  <c r="AS5" i="17"/>
  <c r="AS6" i="17"/>
  <c r="AS7" i="17"/>
  <c r="AS8" i="17"/>
  <c r="AS9" i="17"/>
  <c r="AS10" i="17"/>
  <c r="AS11" i="17"/>
  <c r="AS14" i="17"/>
  <c r="AS15" i="17"/>
  <c r="AS16" i="17"/>
  <c r="AS17" i="17"/>
  <c r="AS18" i="17"/>
  <c r="AS19" i="17"/>
  <c r="AS20" i="17"/>
  <c r="AS21" i="17"/>
  <c r="AS24" i="17"/>
  <c r="AS25" i="17"/>
  <c r="AS26" i="17"/>
  <c r="AS27" i="17"/>
  <c r="AS28" i="17"/>
  <c r="AS29" i="17"/>
  <c r="AS30" i="17"/>
  <c r="AS32" i="17"/>
  <c r="AN4" i="17"/>
  <c r="AN5" i="17"/>
  <c r="AN6" i="17"/>
  <c r="AN7" i="17"/>
  <c r="AN8" i="17"/>
  <c r="AN9" i="17"/>
  <c r="AN10" i="17"/>
  <c r="AN11" i="17"/>
  <c r="AN14" i="17"/>
  <c r="AN15" i="17"/>
  <c r="AN16" i="17"/>
  <c r="AN17" i="17"/>
  <c r="AN18" i="17"/>
  <c r="AN19" i="17"/>
  <c r="AN20" i="17"/>
  <c r="AN21" i="17"/>
  <c r="AN24" i="17"/>
  <c r="AN25" i="17"/>
  <c r="AN26" i="17"/>
  <c r="AN27" i="17"/>
  <c r="AN28" i="17"/>
  <c r="AN29" i="17"/>
  <c r="AN30" i="17"/>
  <c r="AN32" i="17"/>
  <c r="AI4" i="17"/>
  <c r="AI5" i="17"/>
  <c r="AI6" i="17"/>
  <c r="AI7" i="17"/>
  <c r="AI8" i="17"/>
  <c r="AI9" i="17"/>
  <c r="AI10" i="17"/>
  <c r="AI11" i="17"/>
  <c r="AI14" i="17"/>
  <c r="AI15" i="17"/>
  <c r="AI16" i="17"/>
  <c r="AI17" i="17"/>
  <c r="AI18" i="17"/>
  <c r="AI19" i="17"/>
  <c r="AI20" i="17"/>
  <c r="AI21" i="17"/>
  <c r="AI24" i="17"/>
  <c r="AI25" i="17"/>
  <c r="AI26" i="17"/>
  <c r="AI27" i="17"/>
  <c r="AI28" i="17"/>
  <c r="AI29" i="17"/>
  <c r="AI30" i="17"/>
  <c r="AI32" i="17"/>
  <c r="AD4" i="17"/>
  <c r="AD5" i="17"/>
  <c r="AD6" i="17"/>
  <c r="AD7" i="17"/>
  <c r="AD8" i="17"/>
  <c r="AD9" i="17"/>
  <c r="AD10" i="17"/>
  <c r="AD11" i="17"/>
  <c r="AD14" i="17"/>
  <c r="AD15" i="17"/>
  <c r="AD16" i="17"/>
  <c r="AD17" i="17"/>
  <c r="AD18" i="17"/>
  <c r="AD19" i="17"/>
  <c r="AD20" i="17"/>
  <c r="AD21" i="17"/>
  <c r="AD24" i="17"/>
  <c r="AD25" i="17"/>
  <c r="AD26" i="17"/>
  <c r="AD27" i="17"/>
  <c r="AD28" i="17"/>
  <c r="AD29" i="17"/>
  <c r="AD30" i="17"/>
  <c r="AD32" i="17"/>
  <c r="Y4" i="17"/>
  <c r="Y5" i="17"/>
  <c r="Y6" i="17"/>
  <c r="Y7" i="17"/>
  <c r="Y8" i="17"/>
  <c r="Y9" i="17"/>
  <c r="Y10" i="17"/>
  <c r="Y11" i="17"/>
  <c r="Y14" i="17"/>
  <c r="Y15" i="17"/>
  <c r="Y16" i="17"/>
  <c r="Y17" i="17"/>
  <c r="Y18" i="17"/>
  <c r="Y19" i="17"/>
  <c r="Y20" i="17"/>
  <c r="Y21" i="17"/>
  <c r="Y24" i="17"/>
  <c r="Y25" i="17"/>
  <c r="Y26" i="17"/>
  <c r="Y27" i="17"/>
  <c r="Y28" i="17"/>
  <c r="Y29" i="17"/>
  <c r="Y30" i="17"/>
  <c r="Y32" i="17"/>
  <c r="T4" i="17"/>
  <c r="T5" i="17"/>
  <c r="T6" i="17"/>
  <c r="T7" i="17"/>
  <c r="T8" i="17"/>
  <c r="T9" i="17"/>
  <c r="T10" i="17"/>
  <c r="T11" i="17"/>
  <c r="T14" i="17"/>
  <c r="T15" i="17"/>
  <c r="T16" i="17"/>
  <c r="T17" i="17"/>
  <c r="T18" i="17"/>
  <c r="T19" i="17"/>
  <c r="T20" i="17"/>
  <c r="T21" i="17"/>
  <c r="T24" i="17"/>
  <c r="T25" i="17"/>
  <c r="T26" i="17"/>
  <c r="T27" i="17"/>
  <c r="T28" i="17"/>
  <c r="T29" i="17"/>
  <c r="T30" i="17"/>
  <c r="T32" i="17"/>
  <c r="O4" i="17"/>
  <c r="O5" i="17"/>
  <c r="O6" i="17"/>
  <c r="O7" i="17"/>
  <c r="O8" i="17"/>
  <c r="O9" i="17"/>
  <c r="O10" i="17"/>
  <c r="O11" i="17"/>
  <c r="O14" i="17"/>
  <c r="O15" i="17"/>
  <c r="O16" i="17"/>
  <c r="O17" i="17"/>
  <c r="O18" i="17"/>
  <c r="O19" i="17"/>
  <c r="O20" i="17"/>
  <c r="O21" i="17"/>
  <c r="O24" i="17"/>
  <c r="O25" i="17"/>
  <c r="O26" i="17"/>
  <c r="O27" i="17"/>
  <c r="O28" i="17"/>
  <c r="O29" i="17"/>
  <c r="O30" i="17"/>
  <c r="O32" i="17"/>
  <c r="J24" i="17"/>
  <c r="J25" i="17"/>
  <c r="J26" i="17"/>
  <c r="J27" i="17"/>
  <c r="J28" i="17"/>
  <c r="J29" i="17"/>
  <c r="J30" i="17"/>
  <c r="E24" i="17"/>
  <c r="E25" i="17"/>
  <c r="E26" i="17"/>
  <c r="E27" i="17"/>
  <c r="E28" i="17"/>
  <c r="E29" i="17"/>
  <c r="E30" i="17"/>
  <c r="BZ29" i="17"/>
  <c r="BR29" i="17"/>
  <c r="BJ29" i="17"/>
  <c r="FU28" i="17"/>
  <c r="FV28" i="17"/>
  <c r="FN28" i="17"/>
  <c r="FF28" i="17"/>
  <c r="EX28" i="17"/>
  <c r="EP28" i="17"/>
  <c r="EG28" i="17"/>
  <c r="DX28" i="17"/>
  <c r="DO28" i="17"/>
  <c r="DF28" i="17"/>
  <c r="CX28" i="17"/>
  <c r="CP28" i="17"/>
  <c r="CH28" i="17"/>
  <c r="BZ28" i="17"/>
  <c r="BR28" i="17"/>
  <c r="BJ28" i="17"/>
  <c r="BB28" i="17"/>
  <c r="FU27" i="17"/>
  <c r="FV27" i="17"/>
  <c r="FN27" i="17"/>
  <c r="FF27" i="17"/>
  <c r="EX27" i="17"/>
  <c r="EP27" i="17"/>
  <c r="EG27" i="17"/>
  <c r="DX27" i="17"/>
  <c r="DO27" i="17"/>
  <c r="DF27" i="17"/>
  <c r="CX27" i="17"/>
  <c r="CP27" i="17"/>
  <c r="CH27" i="17"/>
  <c r="BZ27" i="17"/>
  <c r="BR27" i="17"/>
  <c r="BJ27" i="17"/>
  <c r="BB27" i="17"/>
  <c r="FU26" i="17"/>
  <c r="FV26" i="17"/>
  <c r="FN26" i="17"/>
  <c r="FF26" i="17"/>
  <c r="EX26" i="17"/>
  <c r="EP26" i="17"/>
  <c r="EG26" i="17"/>
  <c r="DX26" i="17"/>
  <c r="DO26" i="17"/>
  <c r="DF26" i="17"/>
  <c r="CX26" i="17"/>
  <c r="CP26" i="17"/>
  <c r="CH26" i="17"/>
  <c r="BZ26" i="17"/>
  <c r="BR26" i="17"/>
  <c r="BJ26" i="17"/>
  <c r="BB26" i="17"/>
  <c r="FU25" i="17"/>
  <c r="FV25" i="17"/>
  <c r="FN25" i="17"/>
  <c r="FF25" i="17"/>
  <c r="EX25" i="17"/>
  <c r="EP25" i="17"/>
  <c r="EG25" i="17"/>
  <c r="DX25" i="17"/>
  <c r="DO25" i="17"/>
  <c r="DF25" i="17"/>
  <c r="CX25" i="17"/>
  <c r="CP25" i="17"/>
  <c r="CH25" i="17"/>
  <c r="BZ25" i="17"/>
  <c r="BR25" i="17"/>
  <c r="BJ25" i="17"/>
  <c r="BB25" i="17"/>
  <c r="FU24" i="17"/>
  <c r="FV24" i="17"/>
  <c r="FN24" i="17"/>
  <c r="FF24" i="17"/>
  <c r="EX24" i="17"/>
  <c r="EP24" i="17"/>
  <c r="EG24" i="17"/>
  <c r="DX24" i="17"/>
  <c r="DO24" i="17"/>
  <c r="DF24" i="17"/>
  <c r="CX24" i="17"/>
  <c r="CP24" i="17"/>
  <c r="CH24" i="17"/>
  <c r="BB24" i="17"/>
  <c r="BZ22" i="17"/>
  <c r="BR22" i="17"/>
  <c r="BJ22" i="17"/>
  <c r="FU21" i="17"/>
  <c r="FV21" i="17"/>
  <c r="FN21" i="17"/>
  <c r="FF21" i="17"/>
  <c r="EX21" i="17"/>
  <c r="EP21" i="17"/>
  <c r="EG21" i="17"/>
  <c r="DX21" i="17"/>
  <c r="DO21" i="17"/>
  <c r="DF21" i="17"/>
  <c r="CX21" i="17"/>
  <c r="CP21" i="17"/>
  <c r="CH21" i="17"/>
  <c r="BZ21" i="17"/>
  <c r="BR21" i="17"/>
  <c r="BJ21" i="17"/>
  <c r="J14" i="17"/>
  <c r="J15" i="17"/>
  <c r="J16" i="17"/>
  <c r="J17" i="17"/>
  <c r="J18" i="17"/>
  <c r="J19" i="17"/>
  <c r="J21" i="17"/>
  <c r="FU20" i="17"/>
  <c r="FV20" i="17"/>
  <c r="FN20" i="17"/>
  <c r="FF20" i="17"/>
  <c r="EX20" i="17"/>
  <c r="EP20" i="17"/>
  <c r="EG20" i="17"/>
  <c r="DX20" i="17"/>
  <c r="DO20" i="17"/>
  <c r="DF20" i="17"/>
  <c r="CX20" i="17"/>
  <c r="CP20" i="17"/>
  <c r="CH20" i="17"/>
  <c r="J20" i="17"/>
  <c r="E14" i="17"/>
  <c r="E15" i="17"/>
  <c r="E16" i="17"/>
  <c r="E17" i="17"/>
  <c r="E18" i="17"/>
  <c r="E19" i="17"/>
  <c r="E20" i="17"/>
  <c r="BY18" i="17"/>
  <c r="BZ18" i="17"/>
  <c r="BQ18" i="17"/>
  <c r="BR18" i="17"/>
  <c r="BI18" i="17"/>
  <c r="BJ18" i="17"/>
  <c r="FU17" i="17"/>
  <c r="FV17" i="17"/>
  <c r="FN17" i="17"/>
  <c r="FE17" i="17"/>
  <c r="FF17" i="17"/>
  <c r="EW17" i="17"/>
  <c r="EX17" i="17"/>
  <c r="EO17" i="17"/>
  <c r="EP17" i="17"/>
  <c r="EF17" i="17"/>
  <c r="EG17" i="17"/>
  <c r="DW17" i="17"/>
  <c r="DX17" i="17"/>
  <c r="DN17" i="17"/>
  <c r="DO17" i="17"/>
  <c r="DF17" i="17"/>
  <c r="CW17" i="17"/>
  <c r="CX17" i="17"/>
  <c r="CO17" i="17"/>
  <c r="CP17" i="17"/>
  <c r="CG17" i="17"/>
  <c r="CH17" i="17"/>
  <c r="BY17" i="17"/>
  <c r="BZ17" i="17"/>
  <c r="BQ17" i="17"/>
  <c r="BR17" i="17"/>
  <c r="BI17" i="17"/>
  <c r="BJ17" i="17"/>
  <c r="FU16" i="17"/>
  <c r="FV16" i="17"/>
  <c r="FN16" i="17"/>
  <c r="FE16" i="17"/>
  <c r="FF16" i="17"/>
  <c r="EW16" i="17"/>
  <c r="EX16" i="17"/>
  <c r="EO16" i="17"/>
  <c r="EP16" i="17"/>
  <c r="EF16" i="17"/>
  <c r="EG16" i="17"/>
  <c r="DW16" i="17"/>
  <c r="DX16" i="17"/>
  <c r="DN16" i="17"/>
  <c r="DO16" i="17"/>
  <c r="DF16" i="17"/>
  <c r="CW16" i="17"/>
  <c r="CX16" i="17"/>
  <c r="CO16" i="17"/>
  <c r="CP16" i="17"/>
  <c r="CG16" i="17"/>
  <c r="CH16" i="17"/>
  <c r="BY16" i="17"/>
  <c r="BZ16" i="17"/>
  <c r="BQ16" i="17"/>
  <c r="BR16" i="17"/>
  <c r="BI16" i="17"/>
  <c r="BJ16" i="17"/>
  <c r="FU15" i="17"/>
  <c r="FV15" i="17"/>
  <c r="FN15" i="17"/>
  <c r="FE15" i="17"/>
  <c r="FF15" i="17"/>
  <c r="EW15" i="17"/>
  <c r="EX15" i="17"/>
  <c r="EO15" i="17"/>
  <c r="EP15" i="17"/>
  <c r="EF15" i="17"/>
  <c r="EG15" i="17"/>
  <c r="DW15" i="17"/>
  <c r="DX15" i="17"/>
  <c r="DN15" i="17"/>
  <c r="DO15" i="17"/>
  <c r="DF15" i="17"/>
  <c r="CW15" i="17"/>
  <c r="CX15" i="17"/>
  <c r="CO15" i="17"/>
  <c r="CP15" i="17"/>
  <c r="CG15" i="17"/>
  <c r="CH15" i="17"/>
  <c r="BY15" i="17"/>
  <c r="BZ15" i="17"/>
  <c r="BQ15" i="17"/>
  <c r="BR15" i="17"/>
  <c r="BI15" i="17"/>
  <c r="BJ15" i="17"/>
  <c r="FU14" i="17"/>
  <c r="FV14" i="17"/>
  <c r="FN14" i="17"/>
  <c r="FE14" i="17"/>
  <c r="FF14" i="17"/>
  <c r="EW14" i="17"/>
  <c r="EX14" i="17"/>
  <c r="EO14" i="17"/>
  <c r="EP14" i="17"/>
  <c r="EF14" i="17"/>
  <c r="EG14" i="17"/>
  <c r="DW14" i="17"/>
  <c r="DX14" i="17"/>
  <c r="DN14" i="17"/>
  <c r="DO14" i="17"/>
  <c r="DF14" i="17"/>
  <c r="CW14" i="17"/>
  <c r="CX14" i="17"/>
  <c r="CO14" i="17"/>
  <c r="CP14" i="17"/>
  <c r="CG14" i="17"/>
  <c r="CH14" i="17"/>
  <c r="BY14" i="17"/>
  <c r="BZ14" i="17"/>
  <c r="BQ14" i="17"/>
  <c r="BR14" i="17"/>
  <c r="BI14" i="17"/>
  <c r="BJ14" i="17"/>
  <c r="FU13" i="17"/>
  <c r="FV13" i="17"/>
  <c r="FN13" i="17"/>
  <c r="FE13" i="17"/>
  <c r="FF13" i="17"/>
  <c r="EW13" i="17"/>
  <c r="EX13" i="17"/>
  <c r="EO13" i="17"/>
  <c r="EP13" i="17"/>
  <c r="EF13" i="17"/>
  <c r="EG13" i="17"/>
  <c r="DW13" i="17"/>
  <c r="DX13" i="17"/>
  <c r="DN13" i="17"/>
  <c r="DO13" i="17"/>
  <c r="DF13" i="17"/>
  <c r="CW13" i="17"/>
  <c r="CX13" i="17"/>
  <c r="CO13" i="17"/>
  <c r="CP13" i="17"/>
  <c r="CG13" i="17"/>
  <c r="CH13" i="17"/>
  <c r="J4" i="17"/>
  <c r="J5" i="17"/>
  <c r="J6" i="17"/>
  <c r="J7" i="17"/>
  <c r="J8" i="17"/>
  <c r="J9" i="17"/>
  <c r="J11" i="17"/>
  <c r="J10" i="17"/>
  <c r="E4" i="17"/>
  <c r="E5" i="17"/>
  <c r="E6" i="17"/>
  <c r="E7" i="17"/>
  <c r="E8" i="17"/>
  <c r="E9" i="17"/>
  <c r="E10" i="17"/>
  <c r="FU9" i="17"/>
  <c r="FV9" i="17"/>
  <c r="FN9" i="17"/>
  <c r="FF9" i="17"/>
  <c r="EX9" i="17"/>
  <c r="EP9" i="17"/>
  <c r="EG9" i="17"/>
  <c r="DX9" i="17"/>
  <c r="DO9" i="17"/>
  <c r="DF9" i="17"/>
  <c r="CX9" i="17"/>
  <c r="CP9" i="17"/>
  <c r="CH9" i="17"/>
  <c r="BZ9" i="17"/>
  <c r="BR9" i="17"/>
  <c r="BJ9" i="17"/>
  <c r="FU8" i="17"/>
  <c r="FV8" i="17"/>
  <c r="FN8" i="17"/>
  <c r="FF8" i="17"/>
  <c r="EX8" i="17"/>
  <c r="EP8" i="17"/>
  <c r="EG8" i="17"/>
  <c r="DX8" i="17"/>
  <c r="DO8" i="17"/>
  <c r="DF8" i="17"/>
  <c r="CX8" i="17"/>
  <c r="CP8" i="17"/>
  <c r="CH8" i="17"/>
  <c r="BZ8" i="17"/>
  <c r="BR8" i="17"/>
  <c r="BJ8" i="17"/>
  <c r="BA8" i="17"/>
  <c r="BB8" i="17"/>
  <c r="AT8" i="17"/>
  <c r="AU8" i="17"/>
  <c r="FU7" i="17"/>
  <c r="FV7" i="17"/>
  <c r="FN7" i="17"/>
  <c r="FF7" i="17"/>
  <c r="EX7" i="17"/>
  <c r="EP7" i="17"/>
  <c r="EG7" i="17"/>
  <c r="DX7" i="17"/>
  <c r="DO7" i="17"/>
  <c r="DF7" i="17"/>
  <c r="CX7" i="17"/>
  <c r="CP7" i="17"/>
  <c r="CH7" i="17"/>
  <c r="BZ7" i="17"/>
  <c r="BR7" i="17"/>
  <c r="BJ7" i="17"/>
  <c r="BA7" i="17"/>
  <c r="BB7" i="17"/>
  <c r="AT7" i="17"/>
  <c r="AU7" i="17"/>
  <c r="FU6" i="17"/>
  <c r="FV6" i="17"/>
  <c r="FN6" i="17"/>
  <c r="FF6" i="17"/>
  <c r="EX6" i="17"/>
  <c r="EP6" i="17"/>
  <c r="EG6" i="17"/>
  <c r="DX6" i="17"/>
  <c r="DO6" i="17"/>
  <c r="DF6" i="17"/>
  <c r="CX6" i="17"/>
  <c r="CP6" i="17"/>
  <c r="CH6" i="17"/>
  <c r="BZ6" i="17"/>
  <c r="BR6" i="17"/>
  <c r="BJ6" i="17"/>
  <c r="BA6" i="17"/>
  <c r="BB6" i="17"/>
  <c r="AT6" i="17"/>
  <c r="AU6" i="17"/>
  <c r="FU5" i="17"/>
  <c r="FV5" i="17"/>
  <c r="FN5" i="17"/>
  <c r="FF5" i="17"/>
  <c r="EX5" i="17"/>
  <c r="EP5" i="17"/>
  <c r="EG5" i="17"/>
  <c r="DX5" i="17"/>
  <c r="DO5" i="17"/>
  <c r="DF5" i="17"/>
  <c r="CX5" i="17"/>
  <c r="CP5" i="17"/>
  <c r="CH5" i="17"/>
  <c r="BZ5" i="17"/>
  <c r="BR5" i="17"/>
  <c r="BJ5" i="17"/>
  <c r="BA5" i="17"/>
  <c r="BB5" i="17"/>
  <c r="AT5" i="17"/>
  <c r="AU5" i="17"/>
  <c r="BA4" i="17"/>
  <c r="BB4" i="17"/>
  <c r="AT4" i="17"/>
  <c r="AU4" i="17"/>
</calcChain>
</file>

<file path=xl/comments1.xml><?xml version="1.0" encoding="utf-8"?>
<comments xmlns="http://schemas.openxmlformats.org/spreadsheetml/2006/main">
  <authors>
    <author>Dan Irwin UX</author>
  </authors>
  <commentList>
    <comment ref="D1" authorId="0">
      <text>
        <r>
          <rPr>
            <b/>
            <sz val="9"/>
            <color indexed="81"/>
            <rFont val="Tahoma"/>
          </rPr>
          <t>Dan Irwin UX:</t>
        </r>
        <r>
          <rPr>
            <sz val="9"/>
            <color indexed="81"/>
            <rFont val="Tahoma"/>
          </rPr>
          <t xml:space="preserve">
How each product lines up to one of three VA Strategic Goals noted in the 2014 - 2020 VA Strategic Plan
1. Empower Veterans to improve their well-being
2. Enhance and develop trusted partnerships
3. Manage and improve VA operations to deliver seemless and integrated support</t>
        </r>
      </text>
    </comment>
  </commentList>
</comments>
</file>

<file path=xl/comments2.xml><?xml version="1.0" encoding="utf-8"?>
<comments xmlns="http://schemas.openxmlformats.org/spreadsheetml/2006/main">
  <authors>
    <author>Stephanie</author>
    <author>ofobbroo</author>
  </authors>
  <commentList>
    <comment ref="A1" authorId="0">
      <text>
        <r>
          <rPr>
            <b/>
            <sz val="9"/>
            <color indexed="81"/>
            <rFont val="Tahoma"/>
          </rPr>
          <t>Stephanie:</t>
        </r>
        <r>
          <rPr>
            <sz val="9"/>
            <color indexed="81"/>
            <rFont val="Tahoma"/>
          </rPr>
          <t xml:space="preserve">
</t>
        </r>
      </text>
    </comment>
    <comment ref="D5" authorId="1">
      <text>
        <r>
          <rPr>
            <b/>
            <sz val="8"/>
            <color indexed="81"/>
            <rFont val="Tahoma"/>
          </rPr>
          <t>Four day work week.</t>
        </r>
      </text>
    </comment>
    <comment ref="H5" authorId="1">
      <text>
        <r>
          <rPr>
            <b/>
            <sz val="8"/>
            <color indexed="81"/>
            <rFont val="Tahoma"/>
          </rPr>
          <t>Four day work week.</t>
        </r>
      </text>
    </comment>
    <comment ref="J5" authorId="1">
      <text>
        <r>
          <rPr>
            <b/>
            <sz val="8"/>
            <color indexed="81"/>
            <rFont val="Tahoma"/>
          </rPr>
          <t>Four day work week.</t>
        </r>
      </text>
    </comment>
    <comment ref="N5" authorId="1">
      <text>
        <r>
          <rPr>
            <b/>
            <sz val="8"/>
            <color indexed="81"/>
            <rFont val="Tahoma"/>
          </rPr>
          <t>Four day work week.</t>
        </r>
      </text>
    </comment>
    <comment ref="O5" authorId="1">
      <text>
        <r>
          <rPr>
            <b/>
            <sz val="8"/>
            <color indexed="81"/>
            <rFont val="Tahoma"/>
          </rPr>
          <t>Four day work week.</t>
        </r>
      </text>
    </comment>
  </commentList>
</comments>
</file>

<file path=xl/comments3.xml><?xml version="1.0" encoding="utf-8"?>
<comments xmlns="http://schemas.openxmlformats.org/spreadsheetml/2006/main">
  <authors>
    <author>Stephanie</author>
  </authors>
  <commentList>
    <comment ref="A1" authorId="0">
      <text>
        <r>
          <rPr>
            <b/>
            <sz val="9"/>
            <color indexed="81"/>
            <rFont val="Tahoma"/>
          </rPr>
          <t>Stephanie:</t>
        </r>
        <r>
          <rPr>
            <sz val="9"/>
            <color indexed="81"/>
            <rFont val="Tahoma"/>
          </rPr>
          <t xml:space="preserve">
</t>
        </r>
      </text>
    </comment>
  </commentList>
</comments>
</file>

<file path=xl/sharedStrings.xml><?xml version="1.0" encoding="utf-8"?>
<sst xmlns="http://schemas.openxmlformats.org/spreadsheetml/2006/main" count="7639" uniqueCount="2116">
  <si>
    <t>Feature Title</t>
  </si>
  <si>
    <t>Feature Nickname</t>
  </si>
  <si>
    <t>Feature Type</t>
  </si>
  <si>
    <t>Platform</t>
  </si>
  <si>
    <t>Min Access Level</t>
  </si>
  <si>
    <t>Sensitive Data</t>
  </si>
  <si>
    <t>Other Data</t>
  </si>
  <si>
    <t>TYPE OF INTG</t>
  </si>
  <si>
    <t>Check Post 9/11 GI Bill Enrollment Status</t>
  </si>
  <si>
    <t>Chapter 33 Enrollment</t>
  </si>
  <si>
    <t>Custom Built</t>
  </si>
  <si>
    <t>eBenefits</t>
  </si>
  <si>
    <t>• Name
• DOB
• VA File Number (not masked)</t>
  </si>
  <si>
    <t>• RO
• CH33 Benefits (Entitlement)
• School
• School Terms and Hours</t>
  </si>
  <si>
    <t>N/A</t>
  </si>
  <si>
    <t>Find or View Your Representative for VA Claims</t>
  </si>
  <si>
    <t>Search for Representative</t>
  </si>
  <si>
    <t>OGC</t>
  </si>
  <si>
    <t>Anonymous</t>
  </si>
  <si>
    <t>• None</t>
  </si>
  <si>
    <t>• POA</t>
  </si>
  <si>
    <t>Download VA Letters</t>
  </si>
  <si>
    <t>Letter Generator - Vet Benefit Summary Letter</t>
  </si>
  <si>
    <t>BAS</t>
  </si>
  <si>
    <t>• Name
• Address
• SSN/Claim Number (partially masked)
• Service History</t>
  </si>
  <si>
    <t>• Benefit Amount
• Amount Paid
• Effective Date
• Combined Evaluation
• Other benefits info being received</t>
  </si>
  <si>
    <t>• Vet’s Info:
o Name
o SSN/Claim Number (partially masked)
o Service History
• NonVet’s Info:
o Name
o Address</t>
  </si>
  <si>
    <t>• Vet’s Info:
o Veteran death info
• NonVet’s Info:
o Benefit Amount
o Amount Paid
o Effective Date
o Combined Evaluation</t>
  </si>
  <si>
    <t>Letter Generator - Benefits Verification Letter</t>
  </si>
  <si>
    <t>• Name
• Address
• SSN (partially masked)</t>
  </si>
  <si>
    <t xml:space="preserve">• Benefit Amount
• Amount Paid
• Effective Date
• Combined Evaluation
</t>
  </si>
  <si>
    <t>Letter Generator - Service Verification Letter</t>
  </si>
  <si>
    <t>• Name
• Address
• SSN (partially masked)
• Service History</t>
  </si>
  <si>
    <t>Letter Generator - Civil Service Preference Letter</t>
  </si>
  <si>
    <t xml:space="preserve">• Name
• Address
• SSN (partially masked)
</t>
  </si>
  <si>
    <t xml:space="preserve">• Character of Service
• Receiving pension or comp for sc-disabilities
</t>
  </si>
  <si>
    <t>Letter Generator - Proof of Service Letter</t>
  </si>
  <si>
    <t>• Name
• Address
• SSN (partially masked)
• VA File Number (not masked)</t>
  </si>
  <si>
    <t>Account Activity History</t>
  </si>
  <si>
    <t>TBD</t>
  </si>
  <si>
    <t>Not Integrated</t>
  </si>
  <si>
    <t>Message Center</t>
  </si>
  <si>
    <t>• Message From
• Message Status
• Message Subject
• Date Received
• Message Body</t>
  </si>
  <si>
    <t>JDBC</t>
  </si>
  <si>
    <t>BVA Appeals</t>
  </si>
  <si>
    <t xml:space="preserve">• Current and historical appeals summary
• Appeal details and status
• SOJ
• POA
• Items received at BVA and when
• Progress History
</t>
  </si>
  <si>
    <t>Benefits Explorer</t>
  </si>
  <si>
    <t>• VA Disability Rating
• DoD Disability Rating
• Permanent &amp; Total</t>
  </si>
  <si>
    <t xml:space="preserve">• Active Duty Status
• Military Component
• Marital Status
• Gender
• Age
• Ethnicity
</t>
  </si>
  <si>
    <t>Letter Generator - Commissary Letter</t>
  </si>
  <si>
    <t>• Character of Service
• Branch of Service
• 100% SC disability</t>
  </si>
  <si>
    <t>Payment History</t>
  </si>
  <si>
    <t>• Net Payment Amount
• Payment Date
• Payment Method
• Bank Name
• Account Number (partially masked)</t>
  </si>
  <si>
    <t>eBenefits Profile</t>
  </si>
  <si>
    <t>INTERNAL</t>
  </si>
  <si>
    <t>eBenefits FAQs on IRIS</t>
  </si>
  <si>
    <t>Static Link</t>
  </si>
  <si>
    <t>C&amp;P Claim Status</t>
  </si>
  <si>
    <t>• Contentions for Open and Historic claims</t>
  </si>
  <si>
    <t>Exam Appointments Calendar</t>
  </si>
  <si>
    <t>Exam Appointment Calendar</t>
  </si>
  <si>
    <t>• Appointment Date/Time
• Appointment Location
• Appointment Status
• Exam Date/Time
• Requested Exam Info</t>
  </si>
  <si>
    <t>Download Your Own VA Medical Records using VA Blue Button</t>
  </si>
  <si>
    <t>MyHealtheVet - Bluebutton</t>
  </si>
  <si>
    <t>SSO Link</t>
  </si>
  <si>
    <t>MHV</t>
  </si>
  <si>
    <t>SSO</t>
  </si>
  <si>
    <t>Update Personal Contact Information for DEERS and VA Outreach</t>
  </si>
  <si>
    <t>DoD Personal Contact Info</t>
  </si>
  <si>
    <t>DMDC</t>
  </si>
  <si>
    <t>Transfer Post-9/11 GI Bill Education Status</t>
  </si>
  <si>
    <t>Transfer Chapter 33 Entitlement (TEB)</t>
  </si>
  <si>
    <t>Service Member Civilian Employment Information</t>
  </si>
  <si>
    <t>Service Member Civilian Info</t>
  </si>
  <si>
    <t>Service Member Out-of-Pocket Medical Expenses (CCD)</t>
  </si>
  <si>
    <t>Service Member CCD</t>
  </si>
  <si>
    <t>Service Member Personnel Information</t>
  </si>
  <si>
    <t>Service Member Personnel Info</t>
  </si>
  <si>
    <t>DoD</t>
  </si>
  <si>
    <t>Insurance</t>
  </si>
  <si>
    <t>Update Direct Deposit and Contact Information for Compensation &amp; Pension and Post 9/11 GI Bill Education</t>
  </si>
  <si>
    <t>PCIU</t>
  </si>
  <si>
    <t>Manage Prescription Refills using MyHealtheVet</t>
  </si>
  <si>
    <t>MyHealtheVet - Prescription Refill</t>
  </si>
  <si>
    <t>Securely Communicate with Your VA Health Care Team Using My HealtheVet</t>
  </si>
  <si>
    <t>MyHealtheVet - Communicate with Team</t>
  </si>
  <si>
    <t>Specially Adapted Housing Grant Application and Claim Status</t>
  </si>
  <si>
    <t>Specially Adapted Housing</t>
  </si>
  <si>
    <t>VA Home Loan Certificate of Eligibility</t>
  </si>
  <si>
    <t>Home Loan COE</t>
  </si>
  <si>
    <t>Veterans' Group Life Insurance</t>
  </si>
  <si>
    <t>VGLI</t>
  </si>
  <si>
    <t>VBMS</t>
  </si>
  <si>
    <t>Order Hearing Aid Batteries and Prosthetic Socks</t>
  </si>
  <si>
    <t>Order Medical Equipment (ROES)</t>
  </si>
  <si>
    <t>View VA Appointments using MyHealtheVet</t>
  </si>
  <si>
    <t>MyHealtheVet - Appointments</t>
  </si>
  <si>
    <t>Montgomery GI Bill Verify Enrollment (WAVE)</t>
  </si>
  <si>
    <t>WAVE</t>
  </si>
  <si>
    <t>DoD TRICARE Health Insurance</t>
  </si>
  <si>
    <t>TRICARE</t>
  </si>
  <si>
    <t>• VA Disability Rating</t>
  </si>
  <si>
    <t>SAML</t>
  </si>
  <si>
    <t>MyPay</t>
  </si>
  <si>
    <t>DFAS MyPay</t>
  </si>
  <si>
    <t>DFAS</t>
  </si>
  <si>
    <t>Apply for Disability Compensation</t>
  </si>
  <si>
    <t>21-526EZ</t>
  </si>
  <si>
    <t>Apply for or Modify Dependency Benefits</t>
  </si>
  <si>
    <t>21-686c/674</t>
  </si>
  <si>
    <t>21-22/21-22a</t>
  </si>
  <si>
    <t>Request Official Military Personnel File</t>
  </si>
  <si>
    <t>Request DoD Documents</t>
  </si>
  <si>
    <t>DPRIS</t>
  </si>
  <si>
    <t>WSRP</t>
  </si>
  <si>
    <t>21-4142</t>
  </si>
  <si>
    <t>Apply for Veterans Benefits via VONAPP</t>
  </si>
  <si>
    <t>VONAPP</t>
  </si>
  <si>
    <t>SSO iFrame</t>
  </si>
  <si>
    <t>Manage My Authorizations and Preferences (VLER)</t>
  </si>
  <si>
    <t>VAPii</t>
  </si>
  <si>
    <t>Apply for VA Health Care Using Form 10-10EZ</t>
  </si>
  <si>
    <t>VOA</t>
  </si>
  <si>
    <t>iFrame</t>
  </si>
  <si>
    <t>Purchased Care Health Benefits Forms</t>
  </si>
  <si>
    <t>eLearning Center</t>
  </si>
  <si>
    <t>eLearning/MHS Learn</t>
  </si>
  <si>
    <t>Request State Benefits Information</t>
  </si>
  <si>
    <t>Request State Benefits</t>
  </si>
  <si>
    <t xml:space="preserve">Federal Individual Recovery Plan (FIRP) </t>
  </si>
  <si>
    <t>FIRP</t>
  </si>
  <si>
    <t>FRCP
FCMT</t>
  </si>
  <si>
    <t>• FIRP Task Owner</t>
  </si>
  <si>
    <t xml:space="preserve">• FIRP Category
• FIRP Topic
• FIRP Goal
• FIRP Task Info (status, dates, duration)
</t>
  </si>
  <si>
    <t>SEP</t>
  </si>
  <si>
    <t>EVSS</t>
  </si>
  <si>
    <t>Access Creditable Coverage Letters (two letters)</t>
  </si>
  <si>
    <t>NRD</t>
  </si>
  <si>
    <t>Authenticated and Unauthenticated Chat</t>
  </si>
  <si>
    <t>Profile - Rated Disabilities</t>
  </si>
  <si>
    <t>Profile - Ancillary Benefits</t>
  </si>
  <si>
    <t>Profile - Supplemental Benefits</t>
  </si>
  <si>
    <t>eBenefits
SEP</t>
  </si>
  <si>
    <t>Profile - Representative</t>
  </si>
  <si>
    <t>Profile - Work in Progress - Intent to File</t>
  </si>
  <si>
    <t>Intent to File</t>
  </si>
  <si>
    <t>Profile - Dependents</t>
  </si>
  <si>
    <t>Search for Veteran</t>
  </si>
  <si>
    <t>VSO Work Queue</t>
  </si>
  <si>
    <t>Manage Representation Requests</t>
  </si>
  <si>
    <t>• Contentions for Open claims</t>
  </si>
  <si>
    <r>
      <t>• Application Submitted
• Application Status
• Application Type
• Application Updates
• Application Actions</t>
    </r>
    <r>
      <rPr>
        <sz val="10"/>
        <color rgb="FF7030A0"/>
        <rFont val="Arial Narrow"/>
        <family val="2"/>
      </rPr>
      <t xml:space="preserve">
</t>
    </r>
  </si>
  <si>
    <t>Profile - Work In Process - Open Applications</t>
  </si>
  <si>
    <t>eBenefits
VDC
SEP</t>
  </si>
  <si>
    <t>LOA 3</t>
  </si>
  <si>
    <t>BGS</t>
  </si>
  <si>
    <t>• Name
• DOB
• SSN
• Location (City, State)
• POA
• Whether Veteran has an eBenefits account
• Email Address
• Any information accessible via: Claim Status, VDC, Payment History, and the Profile)</t>
  </si>
  <si>
    <t>• Name
• Location (City, State, etc.)
• File Number
• SSN
• Email Address
• Phone Number</t>
  </si>
  <si>
    <t>Enabling Capability</t>
  </si>
  <si>
    <t>Users Supported</t>
  </si>
  <si>
    <t>User Value</t>
  </si>
  <si>
    <t>Education Benefits</t>
  </si>
  <si>
    <t>Check Status</t>
  </si>
  <si>
    <t>Veterans, Servicemembers, and Family Members</t>
  </si>
  <si>
    <t>Education</t>
  </si>
  <si>
    <t>Business Line Partners</t>
  </si>
  <si>
    <t>VRM, OGC</t>
  </si>
  <si>
    <t>Veterans</t>
  </si>
  <si>
    <t>Family Members</t>
  </si>
  <si>
    <t xml:space="preserve">All VBA, VHA, and NCA benefits </t>
  </si>
  <si>
    <t>Learn</t>
  </si>
  <si>
    <t>All VBA, VHA, and NCA benefit providers plus BVA</t>
  </si>
  <si>
    <t>Veterans, Servicemembers, Family Members, VSOs, attorneys, and agents</t>
  </si>
  <si>
    <t>VHA</t>
  </si>
  <si>
    <t>Disability Compensation, Pension, Survivor's Pension and DIC</t>
  </si>
  <si>
    <t xml:space="preserve">Users are able to check the status of their pending Compensation and Pension claims, view details including required documents, upload evidence, and view the documents they have uploaded. They can also submit a 5103 notice to notify the VA that they have no further evidence to provide. </t>
  </si>
  <si>
    <t>Compensation, Pension, and VBMS</t>
  </si>
  <si>
    <t>Veterans, Servicemembers, VSOs, attorneys, and agents</t>
  </si>
  <si>
    <t>Compensation</t>
  </si>
  <si>
    <t xml:space="preserve">Users are able to view the dependents the VA has on record and see if they are on their Compensation award or not. </t>
  </si>
  <si>
    <t>Users are able to view upcoming VHA medical appointments. (Note: VBA benefit exams are not yet included. They cannot schedule any type of appointment.)</t>
  </si>
  <si>
    <t xml:space="preserve">Users are able to download their VHA medical records. </t>
  </si>
  <si>
    <t xml:space="preserve">Users are able to update their contact information in DEERS. </t>
  </si>
  <si>
    <t xml:space="preserve">Users are able to view their active representative who has Power of Attorney to act on their behalf. </t>
  </si>
  <si>
    <t xml:space="preserve">Users are able to view their current disabliity ratings for each contention and the combined disability rating. </t>
  </si>
  <si>
    <t>Apply for Benefits</t>
  </si>
  <si>
    <t>Servicemembers</t>
  </si>
  <si>
    <t xml:space="preserve">Servicemembers are able to Transfer Education Benefits to their dependents. </t>
  </si>
  <si>
    <t>Profile - Contact Info and DD/EFT</t>
  </si>
  <si>
    <t>Connection to Representative Support</t>
  </si>
  <si>
    <t>Compensation Benefits, Pension Benefits, Survivor's Benefits, DIC, VR&amp;E Benefits, Connection to Representative Support</t>
  </si>
  <si>
    <t>Disability Compensation, Pension, Survivor's Pension, DIC</t>
  </si>
  <si>
    <t>Disability Compensation</t>
  </si>
  <si>
    <t>Disability Compensation and Pension</t>
  </si>
  <si>
    <t>VHA Healthcare</t>
  </si>
  <si>
    <t>DoD Products, VA Access via DS Logon</t>
  </si>
  <si>
    <t>Life Insurance</t>
  </si>
  <si>
    <t xml:space="preserve">Users are able to update their contact information and DD/EFT. Note: This feature only works for benefits where business lines are using the Corp DB or in the case of Ch. 33, BDN. </t>
  </si>
  <si>
    <t>Compensation, Pension, VR&amp;E</t>
  </si>
  <si>
    <t>Loan Guaranty</t>
  </si>
  <si>
    <t xml:space="preserve">Users are able to apply for Specially Adapted Housing benefits and check the status of their request. </t>
  </si>
  <si>
    <t>Home Loans</t>
  </si>
  <si>
    <t>Housing Compensation Based on Service-Connected Disability Rating</t>
  </si>
  <si>
    <t>Employment Center</t>
  </si>
  <si>
    <t>Employment Resources, and Connection to Employers</t>
  </si>
  <si>
    <t>Veterans and Servicemembers</t>
  </si>
  <si>
    <t xml:space="preserve">Users with a &gt;30% service-connected ability rating are able to add and remove dependents from their award, or to submit additional information if their child is school-aged. </t>
  </si>
  <si>
    <t>Multiple VA, DoD, and third party benefits</t>
  </si>
  <si>
    <t>VSOs, attorneys, and agents</t>
  </si>
  <si>
    <t>VSOs</t>
  </si>
  <si>
    <t xml:space="preserve">Content editors are able to update content, images, and links on their own without development support. </t>
  </si>
  <si>
    <t xml:space="preserve">Users are able to locate the records of the people they represent. From there they have access to a menu of features they can use to support that particular client. </t>
  </si>
  <si>
    <t xml:space="preserve">VSOs who need to review each other's work or have their work reviewed can use this tool to view the work they need to complete. </t>
  </si>
  <si>
    <t xml:space="preserve">VSOs are able to view pending requests for representation and either accept or reject that request. </t>
  </si>
  <si>
    <t>Third Party Work Management Tools</t>
  </si>
  <si>
    <t>Connection to Veterans, Servicemembers, and Family Members</t>
  </si>
  <si>
    <t xml:space="preserve">Apply for Benefits, Check Claim Status </t>
  </si>
  <si>
    <t>DoD Health Insurance</t>
  </si>
  <si>
    <t>VA or DoD Product</t>
  </si>
  <si>
    <t>VA Disability Compensation</t>
  </si>
  <si>
    <t>VA Disability Compensation and Pension</t>
  </si>
  <si>
    <t>Service Provider</t>
  </si>
  <si>
    <t>System of Record</t>
  </si>
  <si>
    <t>VACOLS</t>
  </si>
  <si>
    <t>Column Name</t>
  </si>
  <si>
    <t>Definition</t>
  </si>
  <si>
    <t>Examples</t>
  </si>
  <si>
    <t>The benefit or service that the VA or DoD is providing to their customers. The benefit name may or may not align to the name of the line of business involved in providing that benefit.</t>
  </si>
  <si>
    <t>Disability Compensation, Education Benefits, Healthcare, Connection to Representatives</t>
  </si>
  <si>
    <t xml:space="preserve">The touchpoints through the customer journey when the customer is interacting with the VA or DoD to explore, obtain, manage, and access their benefits and services. </t>
  </si>
  <si>
    <t>Learn, Apply, Check Status, View Benefits, Manage Profile, View and Schedule Appointments</t>
  </si>
  <si>
    <t xml:space="preserve">The name of the current feature that is accessible through eBenefits or SEP. </t>
  </si>
  <si>
    <t>What users can accomplish when accessing the feature.</t>
  </si>
  <si>
    <t>The customer segments who can access and accomplish tasks via this feature.</t>
  </si>
  <si>
    <t xml:space="preserve">The lines of business that are consulted to create, maintain, and enhance the feature. </t>
  </si>
  <si>
    <t>Compensation, Pension, Loan Guaranty, VHA-CBO</t>
  </si>
  <si>
    <t xml:space="preserve">The level of integration and ownership by the EVSS program team. </t>
  </si>
  <si>
    <t>SSO, Integrated Portlet, Custom Built</t>
  </si>
  <si>
    <t>Type of Integration</t>
  </si>
  <si>
    <t>Web service, SSO</t>
  </si>
  <si>
    <t>Who provides the services used by the feature.</t>
  </si>
  <si>
    <t xml:space="preserve">The minimum level of assurance required to access the feature. </t>
  </si>
  <si>
    <t>The types of PII and PHI used in the feature.</t>
  </si>
  <si>
    <t xml:space="preserve">Other types of data used by the feature. </t>
  </si>
  <si>
    <t xml:space="preserve">The integration pattern used in the feature. </t>
  </si>
  <si>
    <t xml:space="preserve"> </t>
  </si>
  <si>
    <t>Document Repository</t>
  </si>
  <si>
    <t>VVA</t>
  </si>
  <si>
    <t>Education Benefits, Burial Benefits, Pension</t>
  </si>
  <si>
    <t>Disability Compensation, Connection to Representative Support</t>
  </si>
  <si>
    <t xml:space="preserve">Users can see any VDC applications that they have started and not yet submitted. </t>
  </si>
  <si>
    <t>Compensation, VRM, OGC</t>
  </si>
  <si>
    <t>This is a legacy system that needs to be retired. Forms need to be migrated over to the new UX, architecture, and business process paradigm at the VA.</t>
  </si>
  <si>
    <t>Education, Pension</t>
  </si>
  <si>
    <t>Content Management</t>
  </si>
  <si>
    <t>eCMS</t>
  </si>
  <si>
    <t>Alfresco</t>
  </si>
  <si>
    <t xml:space="preserve">Users are able to chat with VA customer service representatives. </t>
  </si>
  <si>
    <t>eGain</t>
  </si>
  <si>
    <t>Users are able to explore links related to multiple benefit and program resources.</t>
  </si>
  <si>
    <t>DoD (NRD team)</t>
  </si>
  <si>
    <t>28-1900 and 28-8832</t>
  </si>
  <si>
    <t>Vocational Rehabilitation and Employment</t>
  </si>
  <si>
    <t>Vocational Rehabilitation Benefits &amp; Counseling</t>
  </si>
  <si>
    <t>VOA (or 10-10EZ)</t>
  </si>
  <si>
    <t>Users can apply for VHA healthcare benefits.</t>
  </si>
  <si>
    <t>VHA-CBO</t>
  </si>
  <si>
    <t>Application Developer</t>
  </si>
  <si>
    <t xml:space="preserve">No documents currently displayed in appeals status. </t>
  </si>
  <si>
    <t>Users are able to view system generated notices and confirmation messages. This is not a "secure messaging" feature.</t>
  </si>
  <si>
    <t>Benefits Verification</t>
  </si>
  <si>
    <t>Service Verification</t>
  </si>
  <si>
    <t>Creditable Healthcare Coverage Verification</t>
  </si>
  <si>
    <t>Almost all VA Benefits</t>
  </si>
  <si>
    <t>Additional VHA Healthcare such as CHAMPVA Benefits, Meds by Mail, Spina Bifida Claim, Foreign Medical Program Registration</t>
  </si>
  <si>
    <t xml:space="preserve">Users can download forms to apply for CHAMPVA Benefits, Meds by Mail, Spina Bifida Claim, Foreign Medical Program Registration. They would need to complete them by hand and mail them in. </t>
  </si>
  <si>
    <t>Apply for Benefits, Manage Benefits</t>
  </si>
  <si>
    <t>VR&amp;E</t>
  </si>
  <si>
    <t>Users can apply for VR&amp;E benefits including general benefits if they have a service-connected disability rating &gt; 10% or regular counseling whether or not they have a disability rating.</t>
  </si>
  <si>
    <t>Users can enroll for life insurance, or view and update their existing VGLI policy. They can also download forms and print their Certificate of Insurance.</t>
  </si>
  <si>
    <t>VA Digital Service</t>
  </si>
  <si>
    <t>EC</t>
  </si>
  <si>
    <t xml:space="preserve">Users can search for jobs, translate skills, and create resumes to share with employers. Employers can post jobs, search for resumes and make a hiring commitment. </t>
  </si>
  <si>
    <t xml:space="preserve">Users can view their Post-9/11 GI Bill education enrollment status and entitlement. </t>
  </si>
  <si>
    <t>Manage Appointments</t>
  </si>
  <si>
    <t>Profile - Documents</t>
  </si>
  <si>
    <t>Manage Benefits</t>
  </si>
  <si>
    <t xml:space="preserve">All </t>
  </si>
  <si>
    <t xml:space="preserve">Users receiving Education benefits can edit their enrollment, change their address, enroll or update DD/EFT and check claim status. </t>
  </si>
  <si>
    <t>Rehabilitation and Prosthetics Services</t>
  </si>
  <si>
    <t xml:space="preserve">Users can order hearing aids and prosthetic socks. </t>
  </si>
  <si>
    <t>VHA, OAL</t>
  </si>
  <si>
    <t>Users can review and print documents from their official Military Personnel File, including their DD 214.</t>
  </si>
  <si>
    <t>Users are able to view and update their civilian employment and student information.</t>
  </si>
  <si>
    <t>Profile - Employment, Profile - Education</t>
  </si>
  <si>
    <t>Users are able to view a summary of their personnel information in DEERS.</t>
  </si>
  <si>
    <t xml:space="preserve">Manage Benefits, Profile - Contact Info, Profile - DD/EFT, Profile- Education </t>
  </si>
  <si>
    <t>VHA healthcare</t>
  </si>
  <si>
    <t>Communication Tools</t>
  </si>
  <si>
    <t>Profile- Documents</t>
  </si>
  <si>
    <t>Learn, Tools to Connect with Employers, Profile - Contact Info, Profile - Education, Profile- Employment</t>
  </si>
  <si>
    <t>Apply for Benefits, Manage Authorization</t>
  </si>
  <si>
    <t>Users can enroll in the Virtual Lifetime Electronic Record (VLER) Health Program to securely share parts of their health records among VA, DoD, and selected private health care providers.</t>
  </si>
  <si>
    <t>Manage Authorization</t>
  </si>
  <si>
    <t>Change or review your current pay information, or check your pay statements for DoD payments. Receive tax statements and travel advice of payment in myPay.</t>
  </si>
  <si>
    <t>Profile - Personal Info</t>
  </si>
  <si>
    <r>
      <t xml:space="preserve">Profile - Work In </t>
    </r>
    <r>
      <rPr>
        <sz val="10"/>
        <rFont val="Arial Narrow"/>
        <family val="2"/>
      </rPr>
      <t>Process- Clai</t>
    </r>
    <r>
      <rPr>
        <sz val="10"/>
        <color theme="1"/>
        <rFont val="Arial Narrow"/>
        <family val="2"/>
      </rPr>
      <t>m Status</t>
    </r>
  </si>
  <si>
    <t>Profile - Payment History</t>
  </si>
  <si>
    <t>Profile- Payment History</t>
  </si>
  <si>
    <t>Profile - Disabilities</t>
  </si>
  <si>
    <t>Profile - Family Members</t>
  </si>
  <si>
    <t>Profile - Benefits</t>
  </si>
  <si>
    <t>Verification</t>
  </si>
  <si>
    <t>General Information</t>
  </si>
  <si>
    <t>Users are able to update the email address connected to their eBenefits profile. This is not the same as the DEERS or Corp DB address.</t>
  </si>
  <si>
    <r>
      <t>Users can view a list of their VA-prescribed medications and have them delivered to their home using My Health</t>
    </r>
    <r>
      <rPr>
        <i/>
        <sz val="10"/>
        <color theme="1"/>
        <rFont val="Arial Narrow"/>
        <family val="2"/>
      </rPr>
      <t>e</t>
    </r>
    <r>
      <rPr>
        <sz val="10"/>
        <color theme="1"/>
        <rFont val="Arial Narrow"/>
        <family val="2"/>
      </rPr>
      <t>Vet.</t>
    </r>
  </si>
  <si>
    <t>Users can use secure messaging to communicate with their VA health care team. They can ask about VA appointments, medications, and lab results using My HealtheVet.</t>
  </si>
  <si>
    <t>Users can view their VHA appointments using myHealtheVet.</t>
  </si>
  <si>
    <t>Users can view their total out-of-pocket expenses, claim records, and TRICARE fees for the current and prior fiscal years.</t>
  </si>
  <si>
    <t>Health Insurance</t>
  </si>
  <si>
    <t>Move!11 Health Questionnaire</t>
  </si>
  <si>
    <t>Move!11</t>
  </si>
  <si>
    <t>Users can complete the Move! questionnaire to get practical weight management advice. They can print patient and provider reports that are based on their answers.</t>
  </si>
  <si>
    <t>Profile - Medical History</t>
  </si>
  <si>
    <t>Open Burn Pit Registry</t>
  </si>
  <si>
    <t>Public Health</t>
  </si>
  <si>
    <t xml:space="preserve">Users are able to supply information about their exposure to open burn pits in order to be added to a registry. They are also provided information about the potential health effects. </t>
  </si>
  <si>
    <t>Learn, Profile - Contact Info, Profile- Military History, Profile - Medical History, Profile - Employment History</t>
  </si>
  <si>
    <t>VHA Public Health</t>
  </si>
  <si>
    <t>SSO link</t>
  </si>
  <si>
    <t>Users are able to request benefits information packets from State Veterans Affairs offices.</t>
  </si>
  <si>
    <t>VA GPS Training</t>
  </si>
  <si>
    <t xml:space="preserve">Geared towards Servicemembers but available to everyone. </t>
  </si>
  <si>
    <t>Users cam take courses to understand the benefits they may be entitled to as they transition into Veteran status. No log in required and available to all users.</t>
  </si>
  <si>
    <t>Notes</t>
  </si>
  <si>
    <t>Users are able to view recent activity on their account, include last login.</t>
  </si>
  <si>
    <t>Security</t>
  </si>
  <si>
    <t>Multiple</t>
  </si>
  <si>
    <t>VBA benefits</t>
  </si>
  <si>
    <t>Users can view a list of FAQs about VBA benefits and eBenefits.</t>
  </si>
  <si>
    <t>All eBenefits users</t>
  </si>
  <si>
    <t>VRM</t>
  </si>
  <si>
    <t>email address</t>
  </si>
  <si>
    <t>Application initiation date</t>
  </si>
  <si>
    <t>Compensation, Pension</t>
  </si>
  <si>
    <t>eBenefits,
SEP</t>
  </si>
  <si>
    <t>DEERS</t>
  </si>
  <si>
    <t>VHA Healthcare- Prescriptions</t>
  </si>
  <si>
    <t>Users can calculate their VA Home Loan benefit and entitlement to get a Certificate of Eligibility.</t>
  </si>
  <si>
    <t>DoD Benefits</t>
  </si>
  <si>
    <t>Manage Benefits, Profile - Payment History</t>
  </si>
  <si>
    <t>Check Status, Profile- Benefits</t>
  </si>
  <si>
    <t>Profile - Contact Info</t>
  </si>
  <si>
    <t>Veterans, Servicemembers, Family Members, and Employers</t>
  </si>
  <si>
    <t xml:space="preserve">Who created or currently owns the application code. </t>
  </si>
  <si>
    <t xml:space="preserve">Other informal names used to describe the feature. </t>
  </si>
  <si>
    <t>The databases that store the information surfaced in or sent by the features via web services.</t>
  </si>
  <si>
    <t xml:space="preserve">The document repositories storing pdfs and tifs. </t>
  </si>
  <si>
    <t>Corp DB, VACOLS</t>
  </si>
  <si>
    <t>Anonymous, Basic, Premium</t>
  </si>
  <si>
    <t>Other important notes about the feature.</t>
  </si>
  <si>
    <t>Users are able to download a letter containing a summary of various benefits. Users may also customize the letter by selecting which benefits to include in the generated letter.  This letter is effectively a combination of the Benefits Verification Letter and Service Verification Letter.This version of the letter is for Veterans only.</t>
  </si>
  <si>
    <t>Users are able to download a letter containing a summary of various benefits. Users may also customize the letter by selecting which benefits to include in the generated letter.  This letter is effectively a combination of the Benefits Verification Letter and Service Verification Letter.This version of the letter is for Non-Veterans only.</t>
  </si>
  <si>
    <t>Users are able to download a letter containing a summary of the user's service history.</t>
  </si>
  <si>
    <t>Qualified users are able to download a letter informing they are eligible for civil service prefence when seeking employment.</t>
  </si>
  <si>
    <t>Users are able to download a letter that contains a 'card' confirming the individual did serve.</t>
  </si>
  <si>
    <t>Qualified users are able to download a letter informing they are eligible for using the Commissary.</t>
  </si>
  <si>
    <t>Users are able to download a letter informing they are enrolled in VA Healthcare as evidence they have the required coverage per the ACA.</t>
  </si>
  <si>
    <t>Users can view a personalized list of possible benefits based on their eBenefits profile. Users may modify attributes to see what benefits they may be eligible for under different scenarios.</t>
  </si>
  <si>
    <t>Users are able to check the status of their Compensation Service payments.</t>
  </si>
  <si>
    <t>Compensation (for now)</t>
  </si>
  <si>
    <t>Users are able to view Intents to File that they have submitted via any channel. This provides confirmation that the VA has preserved their effective date for claims.</t>
  </si>
  <si>
    <t>Users are able to view the status of various ancillary and other benefits</t>
  </si>
  <si>
    <t>Compensation, VR&amp;E</t>
  </si>
  <si>
    <t>Veterans and Family Members</t>
  </si>
  <si>
    <t xml:space="preserve">Users with a DEERS record can enroll and manage their DoD health insurance benefits. </t>
  </si>
  <si>
    <t>Users can complete forms for benefits and services from business lines.</t>
  </si>
  <si>
    <t>Users enrolled in FIRP can view their FIRP plan for improving their financial, education, employment and personal situation, developed with an assigned FIRP Coordinator.</t>
  </si>
  <si>
    <t>Any eBenefits user such as a Veteran, Servicemember, Family Member, or caregiver</t>
  </si>
  <si>
    <t>Path</t>
  </si>
  <si>
    <t>/ebenefits/vdc?target=%2Fwssweb%2FVDC526%2Fcompensation.do</t>
  </si>
  <si>
    <t>/ebenefits/vdc?target=%2Fwssweb%2FVDC686%2Fdependent.do</t>
  </si>
  <si>
    <t>Direct Path</t>
  </si>
  <si>
    <t>/ebenefits/vdc?target=%2Fwssweb%2FVDC2122%2Frepresentative.do</t>
  </si>
  <si>
    <t>/ebenefits/voa</t>
  </si>
  <si>
    <t>/ebenefits/payments</t>
  </si>
  <si>
    <t>/ebenefits/aah</t>
  </si>
  <si>
    <t>/ebenefits/benefits-explorer</t>
  </si>
  <si>
    <t>/ebenefits/CHAMPVADashboard</t>
  </si>
  <si>
    <t>/ebenefits/Chapter33Enrollment</t>
  </si>
  <si>
    <t>/ebenefits/PCIU</t>
  </si>
  <si>
    <t>/ebenefits/claims</t>
  </si>
  <si>
    <t>/ebenefits/download-letters</t>
  </si>
  <si>
    <t>/ebenefits/exam-appointments</t>
  </si>
  <si>
    <t>/ebenefits/MessageCenter</t>
  </si>
  <si>
    <t>/ebenefits/DPRIS</t>
  </si>
  <si>
    <t>/ebenefits/OrderMedicalEquip</t>
  </si>
  <si>
    <t>/ebenefits/RequestStateBenefits</t>
  </si>
  <si>
    <t>/ebenefits/SAH</t>
  </si>
  <si>
    <t>/ebenefits/vapii</t>
  </si>
  <si>
    <t>/ebenefits/coe</t>
  </si>
  <si>
    <t>/ebenefits/vgli</t>
  </si>
  <si>
    <t>/ebenefits/vonapp</t>
  </si>
  <si>
    <t>/ebenefits/vso-search</t>
  </si>
  <si>
    <t>/ebenefits/wave</t>
  </si>
  <si>
    <t>http://www.move.va.gov/move23.asp</t>
  </si>
  <si>
    <t>/ebenefits/EditProfile</t>
  </si>
  <si>
    <t>http://jko.jten.mil/courses/tap/TGPS%20Standalone%20Training/start.html</t>
  </si>
  <si>
    <t>https://webct2.dmdc.osd.mil/identitymanagement/sso/www.ebenefits.va.gov/mypay.dfas.mil/init.do</t>
  </si>
  <si>
    <t>https://webct2.dmdc.osd.mil/milconnect/faces/pages/ccd.jspx</t>
  </si>
  <si>
    <t>https://webct2.dmdc.osd.mil/milconnect/faces/pages/health_care.jspx</t>
  </si>
  <si>
    <t>https://www.dmdc.osd.mil/milconnect/faces/pages/teb.jspx</t>
  </si>
  <si>
    <t>https://www.dmdc.osd.mil/esgr/ceiMainAction.do</t>
  </si>
  <si>
    <t>https://webct2.dmdc.osd.mil/milconnect/faces/pages/update_my_profile.jspx</t>
  </si>
  <si>
    <t>/ebenefits/vdc?target=%2Fwssweb%2FVDC4142%2Fmedical.do</t>
  </si>
  <si>
    <t>https://iris.custhelp.com/app/answers/list</t>
  </si>
  <si>
    <t>/ebenefits/representative</t>
  </si>
  <si>
    <t>/ebenefits/disabilities</t>
  </si>
  <si>
    <t>/ebenefits/dependents</t>
  </si>
  <si>
    <t>/ebenefits/benefits</t>
  </si>
  <si>
    <t>https://int.eauth.va.gov/mhv-portal-web/eauth?deeplinking=download_my_data</t>
  </si>
  <si>
    <t>https://www.vets.gov/veterans-employment-center</t>
  </si>
  <si>
    <t>https://int.eauth.va.gov/mhv-portal-web/eauth?deeplinking=prescription_refill</t>
  </si>
  <si>
    <t>https://int.eauth.va.gov/mhv-portal-web/eauth?deeplinking=secure_messaging</t>
  </si>
  <si>
    <t>https://int.eauth.va.gov/mhv-portal-web/eauth?deeplinking=appointments</t>
  </si>
  <si>
    <t>/ebenefits/nrd</t>
  </si>
  <si>
    <t>ebenefits/profile</t>
  </si>
  <si>
    <t>Profile- Dashboard</t>
  </si>
  <si>
    <t>Users are able to view an overview of their information and a set of actions they can take.</t>
  </si>
  <si>
    <t>Compensation, VRM, Education, VR&amp;E</t>
  </si>
  <si>
    <t>ebenefits/claims</t>
  </si>
  <si>
    <t>Profile - Historical Claims</t>
  </si>
  <si>
    <t xml:space="preserve">Users are able to view their historical Compensation and Pension claims, view details including required documents, upload evidence, and view the documents they have uploaded. They can also submit a 5103 notice to notify the VA that they have no further evidence to provide. </t>
  </si>
  <si>
    <t>/ebenefits/historicalClaims</t>
  </si>
  <si>
    <t>Profile- Work In Progress- Open Appeals</t>
  </si>
  <si>
    <t xml:space="preserve">Users are able to check the status of their open VA appeals. They are not able to upload or download documents related to their appeal. </t>
  </si>
  <si>
    <t>Profile- Historical Appeals</t>
  </si>
  <si>
    <t>/ebenefits/historicalAppeals</t>
  </si>
  <si>
    <t xml:space="preserve">Users are able to view historical VA appeals. </t>
  </si>
  <si>
    <t>ebenefits/vdc?target=/wssweb/VDC/dashboard.do</t>
  </si>
  <si>
    <t>Online Applications Dashboard</t>
  </si>
  <si>
    <t>VDC dashboard</t>
  </si>
  <si>
    <t xml:space="preserve">Users can see any VDC applications that they have started and not yet submitted. They can also see completed applications and initiate new applications. </t>
  </si>
  <si>
    <t>SGLI</t>
  </si>
  <si>
    <t>Servicemembers' Group Life Insurance (SGLI)</t>
  </si>
  <si>
    <t>Users can find out how much personal and family coverage their SGLI policy provides.</t>
  </si>
  <si>
    <t>https://webct2.dmdc.osd.mil/milconnect/faces/pages/sgli.jspx</t>
  </si>
  <si>
    <t>va.gov/AHBurnPitRegistry-v2/index.html#page/home</t>
  </si>
  <si>
    <t>/ebenefits/vre</t>
  </si>
  <si>
    <t>Employment Resources</t>
  </si>
  <si>
    <t>Commissary Benefits</t>
  </si>
  <si>
    <t>Disability Compensation, Pension, Education, VR&amp;E</t>
  </si>
  <si>
    <t>Integrated Portlet</t>
  </si>
  <si>
    <t>Workload Management</t>
  </si>
  <si>
    <t>Manage Represenation Requests</t>
  </si>
  <si>
    <t>Profile</t>
  </si>
  <si>
    <t>All Benefits</t>
  </si>
  <si>
    <t>Access</t>
  </si>
  <si>
    <t>Users can take online courses designed to help you manage your health. They can choose from a variety of topics, such as managing stress and succeeding at work.</t>
  </si>
  <si>
    <t>Healthcare</t>
  </si>
  <si>
    <t>CUSTOM</t>
  </si>
  <si>
    <t>The portal interfaces that the feature is accessible from</t>
  </si>
  <si>
    <t>eBenefits, SEP</t>
  </si>
  <si>
    <t>The url of the feature.</t>
  </si>
  <si>
    <t>Sort ID</t>
  </si>
  <si>
    <t>Name</t>
  </si>
  <si>
    <t>Type</t>
  </si>
  <si>
    <t>Access Level</t>
  </si>
  <si>
    <t>Model</t>
  </si>
  <si>
    <t>What do you want to do?</t>
  </si>
  <si>
    <t>Appoint a claims agent, attorney, or Veterans Service Organization (VSO)</t>
  </si>
  <si>
    <t>Dependent Compensation</t>
  </si>
  <si>
    <t>VA Health Care</t>
  </si>
  <si>
    <t>Educational Benefits</t>
  </si>
  <si>
    <t>Pension Benefits</t>
  </si>
  <si>
    <t>See all applications for benefits</t>
  </si>
  <si>
    <t>Compensation Claim Status</t>
  </si>
  <si>
    <t>Direct Deposit and Contact Information</t>
  </si>
  <si>
    <t>VA Payment History</t>
  </si>
  <si>
    <t>VA Letters</t>
  </si>
  <si>
    <t>Certificate of Eligibility for Home Loan</t>
  </si>
  <si>
    <t>Supporting Document Upload for Claims</t>
  </si>
  <si>
    <t>See all options to manage benefits</t>
  </si>
  <si>
    <t>Manage Health</t>
  </si>
  <si>
    <t>VA Medical Records</t>
  </si>
  <si>
    <t>VA Prescription Refills</t>
  </si>
  <si>
    <t>VA Medical Appointment Scheduling</t>
  </si>
  <si>
    <t>Hearing Aid Batteries and Prosthetic Socks</t>
  </si>
  <si>
    <t>VA Medical Provider Messaging</t>
  </si>
  <si>
    <t>DoD TRICARE® Health Insurance</t>
  </si>
  <si>
    <t>See all options to manage your health</t>
  </si>
  <si>
    <t>Featured Resources</t>
  </si>
  <si>
    <t>Service Members</t>
  </si>
  <si>
    <t>Women</t>
  </si>
  <si>
    <t>Wounded, Ill, or Injured</t>
  </si>
  <si>
    <t>Rural Populations</t>
  </si>
  <si>
    <t>Learn About Benefits and Services</t>
  </si>
  <si>
    <t>Learn more</t>
  </si>
  <si>
    <t>Health Care</t>
  </si>
  <si>
    <t>Housing</t>
  </si>
  <si>
    <t>Pension</t>
  </si>
  <si>
    <t>Apply</t>
  </si>
  <si>
    <t>Burial</t>
  </si>
  <si>
    <t>Burial Benefits</t>
  </si>
  <si>
    <t>Supporting Tasks for Compensation</t>
  </si>
  <si>
    <t>Upload supporting documents for a submitted claim</t>
  </si>
  <si>
    <t>Request a representative for VA claims</t>
  </si>
  <si>
    <t>Release medical records to VA</t>
  </si>
  <si>
    <t>Vocational Rehabilitation and Employment Benefits</t>
  </si>
  <si>
    <t>Purchased Care Health Benefits</t>
  </si>
  <si>
    <t>TRICARE® Health Benefits</t>
  </si>
  <si>
    <t>local</t>
  </si>
  <si>
    <t>/ebenefits/apply#housing</t>
  </si>
  <si>
    <t>links/local/apply/housing.xml</t>
  </si>
  <si>
    <t>Specially Adapted Housing (SAH) Grant</t>
  </si>
  <si>
    <t>Certificate of Eligibility for VA Home Loan</t>
  </si>
  <si>
    <t>Apply - Insurance</t>
  </si>
  <si>
    <t>Veterans' Group Life Insurance (VGLI)</t>
  </si>
  <si>
    <t>View your open and submitted applications</t>
  </si>
  <si>
    <t>manage your benefits</t>
  </si>
  <si>
    <t>Manage</t>
  </si>
  <si>
    <t>Status Tracking</t>
  </si>
  <si>
    <t>Documents and Records</t>
  </si>
  <si>
    <t>Contact and Direct Deposit Information</t>
  </si>
  <si>
    <t>VA Representative</t>
  </si>
  <si>
    <t>/ebenefits/manage/pension</t>
  </si>
  <si>
    <t>links/local/manage/pension.xml</t>
  </si>
  <si>
    <t>Compensation Appeal Status</t>
  </si>
  <si>
    <t>Post-9/11 GI Bill® Enrollment Status</t>
  </si>
  <si>
    <t>Montgomery GI Bill® (WAVE) Enrollment Status</t>
  </si>
  <si>
    <t>Post-9/11 GI Bill® Transfer Status</t>
  </si>
  <si>
    <t>Education Appeal Status</t>
  </si>
  <si>
    <t>Health Care Appeal Status</t>
  </si>
  <si>
    <t>Specially Adapted Housing (SAH) Grant Application Status</t>
  </si>
  <si>
    <t>Housing Appeal Status</t>
  </si>
  <si>
    <t>Insurance Appeal Status</t>
  </si>
  <si>
    <t>Pension Claim Status</t>
  </si>
  <si>
    <t>Pension Appeal Status</t>
  </si>
  <si>
    <t>Military Personnel File</t>
  </si>
  <si>
    <t>VA Health Record Sharing</t>
  </si>
  <si>
    <t>myPay</t>
  </si>
  <si>
    <t>Contact and Direct Deposit</t>
  </si>
  <si>
    <t>Direct Deposit and Contact Information Update</t>
  </si>
  <si>
    <t>Defense Enrollment Eligibility Reporting System (DEERS) Update</t>
  </si>
  <si>
    <t>eBenefits Email Address Update</t>
  </si>
  <si>
    <t>Representative Request</t>
  </si>
  <si>
    <t>Representative Search</t>
  </si>
  <si>
    <t>Compensation Exam Appointment Calendar</t>
  </si>
  <si>
    <t>Post 9/11 GI Bill® Enrollment Status</t>
  </si>
  <si>
    <t>Montgomery GI Bill® (WAVE) Enrollment Verification</t>
  </si>
  <si>
    <t>Post-9/11 GI Bill® Benefits Transfer</t>
  </si>
  <si>
    <t>Direct Deposit Information</t>
  </si>
  <si>
    <t>Health Records</t>
  </si>
  <si>
    <t>Health Management</t>
  </si>
  <si>
    <t>VA Exam Appointment Calendar</t>
  </si>
  <si>
    <t>VA Prescription Refill</t>
  </si>
  <si>
    <t>My HealtheVet Resources</t>
  </si>
  <si>
    <t>DoD Other Health Insurance Information</t>
  </si>
  <si>
    <t>Service Member Out-of-Pocket Medical Expenses</t>
  </si>
  <si>
    <t>Weight Management Questionnaire</t>
  </si>
  <si>
    <t>e-Learning Center</t>
  </si>
  <si>
    <t>Servicemembers' Group Life Insurance</t>
  </si>
  <si>
    <t>Pension Exam Appointment Calendar</t>
  </si>
  <si>
    <t>Your Path to Benefits</t>
  </si>
  <si>
    <t>My Veteran's Health Benefits Handbook</t>
  </si>
  <si>
    <t>State Benefits Information Packet</t>
  </si>
  <si>
    <t>VA Transition Assistance Program (TAP) Course</t>
  </si>
  <si>
    <t>Explore Benefits</t>
  </si>
  <si>
    <t>Learn More About Compensation Benefits</t>
  </si>
  <si>
    <t>Apply for Compensation Benefits</t>
  </si>
  <si>
    <t>register</t>
  </si>
  <si>
    <t>log in to your account</t>
  </si>
  <si>
    <t>Start Your Application for Compensation Benefits</t>
  </si>
  <si>
    <t>Supporting Tasks for Compensation Applications</t>
  </si>
  <si>
    <t>Manage Your Compensation Benefits</t>
  </si>
  <si>
    <t>Learn More About Education and Training Benefits</t>
  </si>
  <si>
    <t>Apply for Education and Training Benefits</t>
  </si>
  <si>
    <t>comparing VA-approved programs</t>
  </si>
  <si>
    <t>Start Your Application for Education and Training Benefits</t>
  </si>
  <si>
    <t>Manage Your Education Benefits</t>
  </si>
  <si>
    <t>Post -9/11 GI Bill® Enrollment Status</t>
  </si>
  <si>
    <t>Learn More About Health Care Benefits</t>
  </si>
  <si>
    <t>Start Your Application for Health Care Benefits</t>
  </si>
  <si>
    <t>TRICARE® Health Plans</t>
  </si>
  <si>
    <t>Learn More About Housing Benefits</t>
  </si>
  <si>
    <t>Start Your Application for Housing Benefits</t>
  </si>
  <si>
    <t>Manage Your Housing Benefits</t>
  </si>
  <si>
    <t>visit the Health benefits page</t>
  </si>
  <si>
    <t>Learn More About Insurance Benefits</t>
  </si>
  <si>
    <t>Apply for Insurance Benefits</t>
  </si>
  <si>
    <t>review a complete list</t>
  </si>
  <si>
    <t>Start Your Application for Insurance</t>
  </si>
  <si>
    <t>Manage Your Insurance Policy</t>
  </si>
  <si>
    <t>Learn More About Pension Benefits</t>
  </si>
  <si>
    <t>Apply for Pension Benefits</t>
  </si>
  <si>
    <t>request a representative for VA claims</t>
  </si>
  <si>
    <t>feature</t>
  </si>
  <si>
    <t>Start Your Application for Pension</t>
  </si>
  <si>
    <t>Supporting Tasks for Pension Applications</t>
  </si>
  <si>
    <t>Manage Your Pension</t>
  </si>
  <si>
    <t>National Resource Directory</t>
  </si>
  <si>
    <t>Benefits &amp; Compensation</t>
  </si>
  <si>
    <t>Education &amp; Training</t>
  </si>
  <si>
    <t>Employment</t>
  </si>
  <si>
    <t>Family &amp; Caregiver Support</t>
  </si>
  <si>
    <t>Health</t>
  </si>
  <si>
    <t>Homeless Assistance</t>
  </si>
  <si>
    <t>Transportation &amp; Travel</t>
  </si>
  <si>
    <t>Other Services &amp; Resources</t>
  </si>
  <si>
    <t>NRD API</t>
  </si>
  <si>
    <t>NRD Widgets</t>
  </si>
  <si>
    <t>NRD Participation Policy</t>
  </si>
  <si>
    <t>NRD RSS Feeds</t>
  </si>
  <si>
    <t>Search Results</t>
  </si>
  <si>
    <t>Job Search</t>
  </si>
  <si>
    <t>Skills Translator</t>
  </si>
  <si>
    <t>Resume Builder</t>
  </si>
  <si>
    <t>Post Jobs</t>
  </si>
  <si>
    <t>Manage Employer Profile</t>
  </si>
  <si>
    <t>Make a Hiring Commitment</t>
  </si>
  <si>
    <t>Contact</t>
  </si>
  <si>
    <t>Online</t>
  </si>
  <si>
    <t>Ask Questions, Send Comments</t>
  </si>
  <si>
    <t>Help Us Improve eBenefits</t>
  </si>
  <si>
    <t>In Person</t>
  </si>
  <si>
    <t>Find Your Regional Benefits Office</t>
  </si>
  <si>
    <t>Help</t>
  </si>
  <si>
    <t>Hot Topics</t>
  </si>
  <si>
    <t>eBenefits Account Registration</t>
  </si>
  <si>
    <t>Tips for Using eBenefits</t>
  </si>
  <si>
    <t>Frequently Asked Questions</t>
  </si>
  <si>
    <t>Maintenance Schedule</t>
  </si>
  <si>
    <t>About eBenefits</t>
  </si>
  <si>
    <t>Levels of Access</t>
  </si>
  <si>
    <t>DS Logon</t>
  </si>
  <si>
    <t>Policies</t>
  </si>
  <si>
    <t>How We Use Google Analytics</t>
  </si>
  <si>
    <t>Promotional</t>
  </si>
  <si>
    <t>Social Media</t>
  </si>
  <si>
    <t>Interstitial Page</t>
  </si>
  <si>
    <t>Pre-Discharge Program for Disability Compensation</t>
  </si>
  <si>
    <t>Families</t>
  </si>
  <si>
    <t>Apply for Survivors Pension</t>
  </si>
  <si>
    <t>Learn about VA services for women</t>
  </si>
  <si>
    <t>Learn about women's health care special services</t>
  </si>
  <si>
    <t>Apply for benefits</t>
  </si>
  <si>
    <t>Manage your benefits</t>
  </si>
  <si>
    <t>Wounded, Ill and Injured</t>
  </si>
  <si>
    <t>Rural Residence</t>
  </si>
  <si>
    <t>Log In</t>
  </si>
  <si>
    <t>Register</t>
  </si>
  <si>
    <t>Log Out</t>
  </si>
  <si>
    <t>My Profile</t>
  </si>
  <si>
    <t>Left Sidebar</t>
  </si>
  <si>
    <t>Personal Information</t>
  </si>
  <si>
    <t>Representative</t>
  </si>
  <si>
    <t>Disabilities</t>
  </si>
  <si>
    <t>Dependents</t>
  </si>
  <si>
    <t>My Documents</t>
  </si>
  <si>
    <t>/ebenefits/myDocuments</t>
  </si>
  <si>
    <t>Work in Process</t>
  </si>
  <si>
    <t>Historical Claims</t>
  </si>
  <si>
    <t>Historical Appeals</t>
  </si>
  <si>
    <t>Benefits</t>
  </si>
  <si>
    <t>Messages</t>
  </si>
  <si>
    <t>Account Activity</t>
  </si>
  <si>
    <t>What would you like to do next?</t>
  </si>
  <si>
    <t>Manage Your Benefits</t>
  </si>
  <si>
    <t>Manage Your Health</t>
  </si>
  <si>
    <t>ID</t>
  </si>
  <si>
    <t>Apply for disability compensation</t>
  </si>
  <si>
    <t>Apply for VA health Care</t>
  </si>
  <si>
    <t>View or update your Compensation and Pension (C&amp;P) claim</t>
  </si>
  <si>
    <t>Order hearing aid batteries and prosthetic socks</t>
  </si>
  <si>
    <t>Vocational Rehabilitation and Employment (VRE)</t>
  </si>
  <si>
    <r>
      <t xml:space="preserve">This is a protected worksheet. If you unlock it - whatever you do - </t>
    </r>
    <r>
      <rPr>
        <b/>
        <sz val="11"/>
        <color rgb="FFFF0000"/>
        <rFont val="Calibri"/>
        <family val="2"/>
        <scheme val="minor"/>
      </rPr>
      <t>DO NOT sort it</t>
    </r>
    <r>
      <rPr>
        <sz val="11"/>
        <color rgb="FFFF0000"/>
        <rFont val="Calibri"/>
        <family val="2"/>
        <scheme val="minor"/>
      </rPr>
      <t>. Excel will update the references in other sheets if you insert or delete a row or column, but it does not do so for sort operations.</t>
    </r>
  </si>
  <si>
    <t>Home</t>
  </si>
  <si>
    <t>/ebenefits/homepage</t>
  </si>
  <si>
    <t>links/local/home.xml</t>
  </si>
  <si>
    <t>/ebenefits/apply</t>
  </si>
  <si>
    <t>links/local/apply.xml</t>
  </si>
  <si>
    <t>/ebenefits/apply#burial</t>
  </si>
  <si>
    <t>links/local/apply/burial.xml</t>
  </si>
  <si>
    <t>/ebenefits/apply#compensation</t>
  </si>
  <si>
    <t>links/local/apply/compensation.xml</t>
  </si>
  <si>
    <t>/ebenefits/apply#education</t>
  </si>
  <si>
    <t>links/local/apply/education.xml</t>
  </si>
  <si>
    <t>/ebenefits/apply#health</t>
  </si>
  <si>
    <t>links/local/apply/health.xml</t>
  </si>
  <si>
    <t>/ebenefits/apply#insurance</t>
  </si>
  <si>
    <t>links/local/apply/insurance.xml</t>
  </si>
  <si>
    <t>/ebenefits/apply#pension</t>
  </si>
  <si>
    <t>links/local/apply/pension.xml</t>
  </si>
  <si>
    <t>/ebenefits/manage</t>
  </si>
  <si>
    <t>links/local/manage/manage.xml</t>
  </si>
  <si>
    <t>/ebenefits/manage/status</t>
  </si>
  <si>
    <t>links/local/manage/status.xml</t>
  </si>
  <si>
    <t>/ebenefits/manage/documents</t>
  </si>
  <si>
    <t>links/local/manage/documents.xml</t>
  </si>
  <si>
    <t>/ebenefits/manage/contact</t>
  </si>
  <si>
    <t>links/local/manage/contact.xml</t>
  </si>
  <si>
    <t>/ebenefits/manage/representative</t>
  </si>
  <si>
    <t>links/local/manage/representative.xml</t>
  </si>
  <si>
    <t>/ebenefits/manage/compensation</t>
  </si>
  <si>
    <t>links/local/manage/compensation.xml</t>
  </si>
  <si>
    <t>/ebenefits/manage/education</t>
  </si>
  <si>
    <t>links/local/manage/education.xml</t>
  </si>
  <si>
    <t>/ebenefits/manage/health</t>
  </si>
  <si>
    <t>links/local/manage/health.xml</t>
  </si>
  <si>
    <t>/ebenefits/manage/housing</t>
  </si>
  <si>
    <t>links/local/manage/housing.xml</t>
  </si>
  <si>
    <t>/ebenefits/manage/insurance</t>
  </si>
  <si>
    <t>links/local/manage/insurance.xml</t>
  </si>
  <si>
    <t>/ebenefits/learn</t>
  </si>
  <si>
    <t>links/local/learn/learn.xml</t>
  </si>
  <si>
    <t>/ebenefits/learn/compensation</t>
  </si>
  <si>
    <t>links/local/learn/compensation.xml</t>
  </si>
  <si>
    <t>/ebenefits/learn/education</t>
  </si>
  <si>
    <t>links/local/learn/education.xml</t>
  </si>
  <si>
    <t>/ebenefits/learn/health</t>
  </si>
  <si>
    <t>links/local/learn/healthcare.xml</t>
  </si>
  <si>
    <t>/ebenefits/learn/housing</t>
  </si>
  <si>
    <t>links/local/learn/housing.xml</t>
  </si>
  <si>
    <t>/ebenefits/learn/insurance</t>
  </si>
  <si>
    <t>links/local/learn/insurance.xml</t>
  </si>
  <si>
    <t>/ebenefits/learn/employment</t>
  </si>
  <si>
    <t>/ebenefits/learn/pension</t>
  </si>
  <si>
    <t>links/local/learn/pension.xml</t>
  </si>
  <si>
    <t>links/local/nrd/nrd.xml</t>
  </si>
  <si>
    <t>/ebenefits/nrd/nrd-results#/search?searchtype=topic&amp;keyword=&amp;location=&amp;radius=&amp;territory=&amp;topic=Benefits%20%26%20Compensation&amp;matchAll=true</t>
  </si>
  <si>
    <t>links/local/nrd/benefits-and-compensation.xml</t>
  </si>
  <si>
    <t>/ebenefits/nrd/nrd-results#/search?searchtype=topic&amp;keyword=&amp;location=&amp;radius=&amp;territory=&amp;topic=Education%20%26%20Training</t>
  </si>
  <si>
    <t>links/local/nrd/education-and-training.xml</t>
  </si>
  <si>
    <t>/ebenefits/nrd/nrd-results#/search?searchtype=topic&amp;keyword=&amp;location=&amp;radius=&amp;territory=&amp;topic=Employment</t>
  </si>
  <si>
    <t>links/local/nrd/employment.xml</t>
  </si>
  <si>
    <t>/ebenefits/nrd/nrd-results#/search?searchtype=topic&amp;keyword=&amp;location=&amp;radius=&amp;territory=&amp;topic=Family%20%26%20Caregiver%20Support</t>
  </si>
  <si>
    <t>links/local/nrd/family-and-caregiver-support.xml</t>
  </si>
  <si>
    <t>/ebenefits/nrd/nrd-results#/search?searchtype=topic&amp;keyword=&amp;location=&amp;radius=&amp;territory=&amp;topic=Health</t>
  </si>
  <si>
    <t>links/local/nrd/health.xml</t>
  </si>
  <si>
    <t>/ebenefits/nrd/nrd-results#/search?searchtype=topic&amp;keyword=&amp;location=&amp;radius=&amp;territory=&amp;topic=Homeless%20Assistance</t>
  </si>
  <si>
    <t>links/local/nrd/homeless-assistance.xml</t>
  </si>
  <si>
    <t>/ebenefits/nrd/nrd-results#/search?searchtype=topic&amp;keyword=&amp;location=&amp;radius=&amp;territory=&amp;topic=Housing</t>
  </si>
  <si>
    <t>links/local/nrd/housing.xml</t>
  </si>
  <si>
    <t>/ebenefits/nrd/nrd-results#/search?searchtype=topic&amp;keyword=&amp;location=&amp;radius=&amp;territory=&amp;topic=Transportation%20%26%20Travel</t>
  </si>
  <si>
    <t>links/local/nrd/transportation-and-travel.xml</t>
  </si>
  <si>
    <t>/ebenefits/nrd/nrd-results#/search?searchtype=topic&amp;keyword=&amp;location=&amp;radius=&amp;territory=&amp;topic=Other%20Services%20%26%20Resources</t>
  </si>
  <si>
    <t>links/local/nrd/other-services-and-resources.xml</t>
  </si>
  <si>
    <t>/ebenefits/nrd/nrd-api</t>
  </si>
  <si>
    <t>links/local/nrd/api.xml</t>
  </si>
  <si>
    <t>/ebenefits/widgets</t>
  </si>
  <si>
    <t>links/local/nrd/widgets.xml</t>
  </si>
  <si>
    <t>/ebenefits/nrd/participation-policy</t>
  </si>
  <si>
    <t>links/local/nrd/participation-policy.xml</t>
  </si>
  <si>
    <t>/ebenefits/nrd/rss</t>
  </si>
  <si>
    <t>links/local/nrd/rss.xml</t>
  </si>
  <si>
    <t>/ebenefits/nrd/search-results</t>
  </si>
  <si>
    <t>{Not Required}</t>
  </si>
  <si>
    <t>/ebenefits/jobs</t>
  </si>
  <si>
    <t>links/local/employment-center/employment-center.xml</t>
  </si>
  <si>
    <t>links/local/employment-center/job-search.xml</t>
  </si>
  <si>
    <t>/ebenefits/jobs?page=skills</t>
  </si>
  <si>
    <t>links/local/employment-center/skills-translator.xml</t>
  </si>
  <si>
    <t>/ebenefits/jobs?page=resume</t>
  </si>
  <si>
    <t>links/local/employment-center/resume-builder.xml</t>
  </si>
  <si>
    <t>/ebenefits/jobs?page=post</t>
  </si>
  <si>
    <t>links/local/employment-center/post-jobs.xml</t>
  </si>
  <si>
    <t>/ebenefits/jobs?page=manage</t>
  </si>
  <si>
    <t>links/local/employment-center/manage-employer-profile.xml</t>
  </si>
  <si>
    <t>/ebenefits/jobs?page=commitment</t>
  </si>
  <si>
    <t>links/local/employment-center/make-a-hiring-commitment.xml</t>
  </si>
  <si>
    <t>/ebenefits/contact</t>
  </si>
  <si>
    <t>links/local/contact/contact.xml</t>
  </si>
  <si>
    <t>/ebenefits/help</t>
  </si>
  <si>
    <t>links/local/contact/help.xml</t>
  </si>
  <si>
    <t>/ebenefits/help/maintenance</t>
  </si>
  <si>
    <t>links/local/help/maintenance.xml</t>
  </si>
  <si>
    <t>/ebenefits/about</t>
  </si>
  <si>
    <t>links/local/about/about.xml</t>
  </si>
  <si>
    <t>/ebenefits/about/policies</t>
  </si>
  <si>
    <t>links/local/about/policies.xml</t>
  </si>
  <si>
    <t>Partners</t>
  </si>
  <si>
    <t>/ebenefits/about/partners</t>
  </si>
  <si>
    <t>links/local/about/partners.xml</t>
  </si>
  <si>
    <t>/ebenefits/about/promotional</t>
  </si>
  <si>
    <t>links/local/about/promotional.xml</t>
  </si>
  <si>
    <t>/ebenefits/about/social</t>
  </si>
  <si>
    <t>links/local/about/social.xml</t>
  </si>
  <si>
    <t>/ebenefits/about/feature</t>
  </si>
  <si>
    <t>/ebenefits/featured</t>
  </si>
  <si>
    <t>links/local/featured/featured.xml</t>
  </si>
  <si>
    <t>/ebenefits/featured#service-members</t>
  </si>
  <si>
    <t>links/local/featured/service-members.xml</t>
  </si>
  <si>
    <t>/ebenefits/featured#families</t>
  </si>
  <si>
    <t>links/local/featured/families.xml</t>
  </si>
  <si>
    <t>/ebenefits/featured#women</t>
  </si>
  <si>
    <t>links/local/featured/women.xml</t>
  </si>
  <si>
    <t>/ebenefits/featured#injured</t>
  </si>
  <si>
    <t>links/local/featured/seriously-injured.xml</t>
  </si>
  <si>
    <t>/ebenefits/featured#rural</t>
  </si>
  <si>
    <t>links/local/featured/rural.xml</t>
  </si>
  <si>
    <t>https://myaccess.dmdc.osd.mil/identitymanagement/authenticate.do</t>
  </si>
  <si>
    <t>links/local/login.xml</t>
  </si>
  <si>
    <t>https://myaccess.dmdc.osd.mil/identitymanagement/registration.do</t>
  </si>
  <si>
    <t>links/local/register.xml</t>
  </si>
  <si>
    <t>https://int.eauth.va.gov/pkmslogout?filename=ebenefits-logout.html</t>
  </si>
  <si>
    <t>links/local/logout.xml</t>
  </si>
  <si>
    <t>Read an overview of compensation types</t>
  </si>
  <si>
    <t>third-party</t>
  </si>
  <si>
    <t>http://www.benefits.va.gov/COMPENSATION/types-compensation.asp</t>
  </si>
  <si>
    <t>Learn about eligibility requirements for disabilitiy compensation</t>
  </si>
  <si>
    <t>http://www.benefits.va.gov/COMPENSATION/types-disability.asp</t>
  </si>
  <si>
    <t>Explore VA education and training benefits</t>
  </si>
  <si>
    <t>http://www.benefits.va.gov/gibill/index.asp</t>
  </si>
  <si>
    <t>Download the Post-9/11 GI Bill® informational pamphlet</t>
  </si>
  <si>
    <t>http://www.benefits.va.gov/gibill/docs/pamphlets/ch33_pamphlet.pdf</t>
  </si>
  <si>
    <t>Learn more about transferring education benefits to family members</t>
  </si>
  <si>
    <t>http://www.benefits.va.gov/gibill/post911_transfer.asp</t>
  </si>
  <si>
    <t>Explore VA vocational rehabilitation and employment benefits</t>
  </si>
  <si>
    <t>http://www.benefits.va.gov/vocrehab/index.asp</t>
  </si>
  <si>
    <t>Learn about the Transition Assistance Program (TAP)</t>
  </si>
  <si>
    <t>http://www.benefits.va.gov/tap/</t>
  </si>
  <si>
    <t>Learn about the VetSuccess on campus Program</t>
  </si>
  <si>
    <t>http://www.benefits.va.gov/vocrehab/vsoc.asp</t>
  </si>
  <si>
    <t>Assess your health care eligibility</t>
  </si>
  <si>
    <t>http://hbexplorer.vacloud.us/</t>
  </si>
  <si>
    <t>Explore VA health benefits</t>
  </si>
  <si>
    <t>http://www.va.gov/healthbenefits/</t>
  </si>
  <si>
    <t>Search for a VA health facility</t>
  </si>
  <si>
    <t>http://www.va.gov/directory/guide/division_flsh.asp?dnum=1</t>
  </si>
  <si>
    <t>Get an overview of the Veterans Health Administration</t>
  </si>
  <si>
    <t>http://www.va.gov/health/</t>
  </si>
  <si>
    <t>Learn more about VA home loans</t>
  </si>
  <si>
    <t>http://benefits.va.gov/homeloans/index.asp</t>
  </si>
  <si>
    <t>Learn more about purchase and cash-out refinancing</t>
  </si>
  <si>
    <t>http://benefits.va.gov/homeloans/purchasecashout.asp</t>
  </si>
  <si>
    <t>Learn more about insurance for Service members and Veterans</t>
  </si>
  <si>
    <t>http://www.benefits.va.gov/insurance/index.asp</t>
  </si>
  <si>
    <t>Learn more about Servicemembers' Group Life Insurance</t>
  </si>
  <si>
    <t>http://www.benefits.va.gov/insurance/sgli.asp</t>
  </si>
  <si>
    <t>Learn more about Veterans' Group Life Insurance</t>
  </si>
  <si>
    <t>http://www.benefits.va.gov/insurance/vgli.asp</t>
  </si>
  <si>
    <t>Learn more about pension eligibiility for Veterans and survivors</t>
  </si>
  <si>
    <t>http://www.benefits.va.gov/pension/index.asp</t>
  </si>
  <si>
    <t>How to calculate survivors pension</t>
  </si>
  <si>
    <t>http://www.benefits.va.gov/pension/spousepencalc.asp</t>
  </si>
  <si>
    <t>How to read pension benefit rate tables</t>
  </si>
  <si>
    <t>http://www.benefits.va.gov/pension/rates.asp</t>
  </si>
  <si>
    <t>Compare VA-approved GI Bill programs</t>
  </si>
  <si>
    <t>http://www.benefits.va.gov/gibill/comparison_tool.asp</t>
  </si>
  <si>
    <t>Review a complete insurance list</t>
  </si>
  <si>
    <t>http://www.benefits.va.gov/insurance/</t>
  </si>
  <si>
    <t>Submit a question or comment</t>
  </si>
  <si>
    <t>https://iris.custhelp.com/app/ask/</t>
  </si>
  <si>
    <t>Submit your contact information</t>
  </si>
  <si>
    <t>mailto:ebensuggest.vbaaus@va.gov</t>
  </si>
  <si>
    <t>Find your nearest VA office</t>
  </si>
  <si>
    <t>http://www.va.gov/directory/guide/home.asp?isflash=1</t>
  </si>
  <si>
    <t>Requirements for getting your free eBenefits account</t>
  </si>
  <si>
    <t>https://ebenefits.custhelp.com/app/answers/detail/a_id/1669</t>
  </si>
  <si>
    <t>How to register for a free account</t>
  </si>
  <si>
    <t>http://www.knowva.ebenefits.va.gov/system/selfservice/selfservice.controller?CONFIGURATION=1018&amp;PARTITION_ID=1&amp;TIMEZONE_OFFSET=14400000&amp;CMD=VIEW_ARTICLE&amp;ARTICLE_ID=4874&amp;TOPIC_ID=2368</t>
  </si>
  <si>
    <t>Understanding DS Logon for eBenefits</t>
  </si>
  <si>
    <t>https://ebenefits.custhelp.com/app/answers/detail/a_id/1681</t>
  </si>
  <si>
    <t>How to use your DS Logon activation code</t>
  </si>
  <si>
    <t>https://ebenefits.custhelp.com/app/answers/detail/a_id/1685/related/1</t>
  </si>
  <si>
    <t>How to recover your password</t>
  </si>
  <si>
    <t>https://myaccess.dmdc.osd.mil/identitymanagement/resetpassword.do?execution=e2s1</t>
  </si>
  <si>
    <t>How to address a security certificate error message</t>
  </si>
  <si>
    <t>https://ebenefits.custhelp.com/app/answers/detail/a_id/1617</t>
  </si>
  <si>
    <t>Available payment history on eBenefits</t>
  </si>
  <si>
    <t>https://ebenefits.custhelp.com/app/answers/detail/a_id/1628</t>
  </si>
  <si>
    <t>How to access your DD214</t>
  </si>
  <si>
    <t>https://ebenefits.custhelp.com/app/answers/detail/a_id/1850/kw/How%20to%20access%20your%20DD214/related/1</t>
  </si>
  <si>
    <t>FAQs</t>
  </si>
  <si>
    <t>VA Twitter</t>
  </si>
  <si>
    <t>https://twitter.com/VAVetBenefits</t>
  </si>
  <si>
    <t>VA Facebook</t>
  </si>
  <si>
    <t>https://www.facebook.com/VeteransBenefits</t>
  </si>
  <si>
    <t>VA Youtube</t>
  </si>
  <si>
    <t>https://www.youtube.com/user/vavetbenefits</t>
  </si>
  <si>
    <t>VA Home</t>
  </si>
  <si>
    <t>http://www.va.gov/</t>
  </si>
  <si>
    <t>About VA</t>
  </si>
  <si>
    <t>http://www.va.gov/about_va/</t>
  </si>
  <si>
    <t>VA Forms</t>
  </si>
  <si>
    <t>http://www.va.gov/vaforms/</t>
  </si>
  <si>
    <t>KnowVA</t>
  </si>
  <si>
    <t>http://www.knowva.ebenefits.va.gov/</t>
  </si>
  <si>
    <t>VA Facility Locator</t>
  </si>
  <si>
    <t>http://www.va.gov/directory</t>
  </si>
  <si>
    <t>Contact VA</t>
  </si>
  <si>
    <t>https://iris.va.gov/</t>
  </si>
  <si>
    <t>VA Privacy Policy</t>
  </si>
  <si>
    <t>http://www.va.gov/privacy/</t>
  </si>
  <si>
    <t>VA Web Policies</t>
  </si>
  <si>
    <t>http://www.va.gov/webpolicylinks.asp</t>
  </si>
  <si>
    <t>Regulations &amp; Guidance Documents</t>
  </si>
  <si>
    <t>http://www1.va.gov/orpm/</t>
  </si>
  <si>
    <t>VA Freedom of Information Act</t>
  </si>
  <si>
    <t>http://www.foia.va.gov/</t>
  </si>
  <si>
    <t>NO Fear Act Data</t>
  </si>
  <si>
    <t>http://www.va.gov/orm/NOFEAR_Select.asp</t>
  </si>
  <si>
    <t>Section 508 Accessibility</t>
  </si>
  <si>
    <t>http://www.section508.va.gov/</t>
  </si>
  <si>
    <t>Forms.gov</t>
  </si>
  <si>
    <t>http://www.forms.gov/</t>
  </si>
  <si>
    <t>DoD Forms</t>
  </si>
  <si>
    <t>http://www.dtic.mil/whs/directives/infomgt/forms/formsprogram.htm</t>
  </si>
  <si>
    <t>White House</t>
  </si>
  <si>
    <t>http://www.whitehouse.gov/</t>
  </si>
  <si>
    <t>USA.gov</t>
  </si>
  <si>
    <t>http://www.usa.gov/</t>
  </si>
  <si>
    <t>Regulations.gov</t>
  </si>
  <si>
    <t>http://www.regulations.gov/index.jsp</t>
  </si>
  <si>
    <t>GovBenefits.gov</t>
  </si>
  <si>
    <t>http://www.benefits.gov/</t>
  </si>
  <si>
    <t>Serve.gov</t>
  </si>
  <si>
    <t>http://www.serve.gov/</t>
  </si>
  <si>
    <t>DefenseLINK</t>
  </si>
  <si>
    <t>http://www.defenselink.mil/</t>
  </si>
  <si>
    <t>DoD Freedom of Information Act (FOIA)</t>
  </si>
  <si>
    <t>http://www.defenselink.mil/pubs/foi/</t>
  </si>
  <si>
    <t>Google's main privacy policy</t>
  </si>
  <si>
    <t>http://www.google.com/policies/privacy/</t>
  </si>
  <si>
    <t>Cookies &amp; Google Analytics on Websites</t>
  </si>
  <si>
    <t>https://developers.google.com/analytics/devguides/collection/analyticsjs/cookie-usage</t>
  </si>
  <si>
    <t>Opt out of Google Analytics Cookies</t>
  </si>
  <si>
    <t>https://tools.google.com/dlpage/gaoptout</t>
  </si>
  <si>
    <t>http://www.benefits.va.gov/pension/spousepen.asp</t>
  </si>
  <si>
    <t>http://www.va.gov/womenvet/</t>
  </si>
  <si>
    <t>http://www.womenshealth.va.gov/</t>
  </si>
  <si>
    <t>Learn about the Wounded Warrior Project</t>
  </si>
  <si>
    <t>http://www.woundedwarriorproject.org/</t>
  </si>
  <si>
    <t>Learn about VA's War Related Illness and Injury Study Center</t>
  </si>
  <si>
    <t>http://www.warrelatedillness.va.gov/</t>
  </si>
  <si>
    <t>Learn about the Warrior Care Policy Office</t>
  </si>
  <si>
    <t>http://prhome.defense.gov/HA/WCP</t>
  </si>
  <si>
    <t>Learn about Social Security Benefits for Wounded Warriors</t>
  </si>
  <si>
    <t>http://www.ssa.gov/woundedwarriors/webinar1.htm</t>
  </si>
  <si>
    <t>Learn about Compensation and Benefits Handbook for Wounded Warriors</t>
  </si>
  <si>
    <t>http://www.woundedwarriorregiment.org/wwr/assets/File/2011-DoD-Compensation-and-Benefits-Handbook1.pdf</t>
  </si>
  <si>
    <t>Learn about the VA Office of Rural Health</t>
  </si>
  <si>
    <t>http://www.ruralhealth.va.gov/</t>
  </si>
  <si>
    <t>Find Rural Health Resource Centers</t>
  </si>
  <si>
    <t>https://www.ruralcenter.org/</t>
  </si>
  <si>
    <t>Learn about USDA's New Farmers Program</t>
  </si>
  <si>
    <t>http://www.usda.gov/wps/portal/usda/newfarmers?navid=newfarmers</t>
  </si>
  <si>
    <t>Learn about VA's Telehealth Services</t>
  </si>
  <si>
    <t>http://www.telehealth.va.gov/</t>
  </si>
  <si>
    <t>Learn about the Native American Direct Loan Program</t>
  </si>
  <si>
    <t>http://www.benefits.va.gov/homeloans/nadl.asp</t>
  </si>
  <si>
    <t>GA Tracker</t>
  </si>
  <si>
    <t>Additional Auth Criteria</t>
  </si>
  <si>
    <t>/links/features/payment-history.xml</t>
  </si>
  <si>
    <t>user management</t>
  </si>
  <si>
    <t>/links/features/account-activity.xml</t>
  </si>
  <si>
    <t>/links/features/benefits-explorer.xml</t>
  </si>
  <si>
    <t>Compensation Claim Appeal Status</t>
  </si>
  <si>
    <t>/ebenefits/appeals</t>
  </si>
  <si>
    <t>/links/features/compensation-claim-appeal-status.xml</t>
  </si>
  <si>
    <t>Compensation Claim Appeal Status (BVA)</t>
  </si>
  <si>
    <t>/links/features/purchased-care-health-benefits.xml</t>
  </si>
  <si>
    <t>Purchased Care Health Benefits (ChampVA)</t>
  </si>
  <si>
    <t>Post 9/11 GI Bill Enrollment Status</t>
  </si>
  <si>
    <t>/links/features/post-911-gi-bill-enrollment-status.xml</t>
  </si>
  <si>
    <t>Post 911 GI Bill Enrollment Status (Chapter 33)</t>
  </si>
  <si>
    <t>/links/features/direct-deposit-and-contact-information.xml</t>
  </si>
  <si>
    <t>Direct Deposit and Contact Information (PCIU)</t>
  </si>
  <si>
    <t>Compensation / Pension Claim Status</t>
  </si>
  <si>
    <t>/links/features/compensation-pension-claim-status.xml</t>
  </si>
  <si>
    <t>/links/features/va-letters.xml</t>
  </si>
  <si>
    <t>/links/features/compensation-pension-exam-appointments-calendar.xml</t>
  </si>
  <si>
    <t>/links/features/message-center.xml</t>
  </si>
  <si>
    <t>/links/features/military-personnel-file.xml</t>
  </si>
  <si>
    <t>Military Personnel File (DPRIS)</t>
  </si>
  <si>
    <t>User.isVeteran = true</t>
  </si>
  <si>
    <t>/links/features/hearing-aid-batteries-and-prosthetic-socks.xml</t>
  </si>
  <si>
    <t>Order Medical Equipment</t>
  </si>
  <si>
    <t>Batteries: https://eauth.va.gov/ROESDMDC/csp/vah/PatOrdering/PatOrdEBenefitDirect.csp</t>
  </si>
  <si>
    <t>Socks: https://eauth.va.gov/ROESDMDC/csp/vah/PatOrdering/PatOrdEBenefitDirect2.csp</t>
  </si>
  <si>
    <t>/links/features/request-state-benefits.xml</t>
  </si>
  <si>
    <t>Specially Adapted Housing Grant</t>
  </si>
  <si>
    <t>/links/features/sah-grant.xml</t>
  </si>
  <si>
    <t>Specially Adapted Housing Grant (SAH)</t>
  </si>
  <si>
    <t>Record Sharing through VLER</t>
  </si>
  <si>
    <t>/links/features/record-sharing-through-vler.xml</t>
  </si>
  <si>
    <t>VAPII</t>
  </si>
  <si>
    <t>Certificate of Eligibility for home loan</t>
  </si>
  <si>
    <t>/links/features/cert-of-eligibility-home-loan.xml</t>
  </si>
  <si>
    <t>Certificate of Eligibility for home loan (COE)</t>
  </si>
  <si>
    <t>VGLI Policy Management</t>
  </si>
  <si>
    <t>/links/features/vgli-policy-management.xml</t>
  </si>
  <si>
    <t>(CV through preprod)   /FIM/sps/saml11fedCSP/saml11/login?TARGET=https://giosgli-cert.prudential.com/osgli/Controller/eBenefitsUser</t>
  </si>
  <si>
    <t>(Prod)  /FIM/sps/saml11fedCSP/saml11/login?TARGET=https://giosgli.prudential.com/osgli/Controller/eBenefitsUser</t>
  </si>
  <si>
    <t>VA Health Care 10-10ez Form</t>
  </si>
  <si>
    <t>/links/features/va-health-care-10-10ez-form.xml</t>
  </si>
  <si>
    <t>VA Health Care (10-10EZ Form)</t>
  </si>
  <si>
    <t>Veterans Online Applications (VONAPP)</t>
  </si>
  <si>
    <t>/links/features/veterans-online-applications.xml</t>
  </si>
  <si>
    <t>/links/features/representative-search.xml</t>
  </si>
  <si>
    <t>VSO Search</t>
  </si>
  <si>
    <t>Montgomery Bill Enrollment Verification</t>
  </si>
  <si>
    <t>/links/features/montgomery-gi-bill-enrollment-verification-wave.xml</t>
  </si>
  <si>
    <t>WAVE Status</t>
  </si>
  <si>
    <t>Weight Management Move Questionnaire</t>
  </si>
  <si>
    <t>/links/features/weight-management.xml</t>
  </si>
  <si>
    <t>Move23</t>
  </si>
  <si>
    <t>Health Benefits Handbook</t>
  </si>
  <si>
    <t>http://www.va.gov/healthbenefits/assets/documents/publications/hb_handbook_sample3_2013.pdf</t>
  </si>
  <si>
    <t>/links/features/health-benefits-handbook.xml</t>
  </si>
  <si>
    <t>Transition Assistance Program</t>
  </si>
  <si>
    <t>https://int.eauth.va.gov/FIM/sps/saml11fed_CSP/saml11/login?TARGET=https://ssopt.csd.disa.mil/amserver/samlsso.jsp?redirect=MHSL_EBENEFITS</t>
  </si>
  <si>
    <t>/links/features/transition-assistance-program.xml</t>
  </si>
  <si>
    <t>Transition Assistance Program (TAP)</t>
  </si>
  <si>
    <t>https://int.eauth.va.gov/mhv-portal-web/eauth</t>
  </si>
  <si>
    <t>/links/features/my-healthevet-resources.xml</t>
  </si>
  <si>
    <t>MHV Resources</t>
  </si>
  <si>
    <t>My HealtheVet Appointment Scheduling</t>
  </si>
  <si>
    <t>/links/features/my-healthevet-appointment-scheduling.xml</t>
  </si>
  <si>
    <t>MHV Appointments</t>
  </si>
  <si>
    <t>Blue Button Record Access</t>
  </si>
  <si>
    <t>/links/features/va-blue-button-record-access.xml</t>
  </si>
  <si>
    <t>MHV DownloadMyData</t>
  </si>
  <si>
    <t>My HealtheVet Prescription Management</t>
  </si>
  <si>
    <t>/links/features/my-healthevet-prescription-management.xml</t>
  </si>
  <si>
    <t>MHV PrescriptionRefill</t>
  </si>
  <si>
    <t>My HealtheVet Secure Messaging</t>
  </si>
  <si>
    <t>/links/features/my-healthevet-secure-messaging.xml</t>
  </si>
  <si>
    <t>MHV SecureMessaging</t>
  </si>
  <si>
    <t>/links/features/mypay.xml</t>
  </si>
  <si>
    <t>Service Member out of pocket Medical</t>
  </si>
  <si>
    <t>/links/features/service-member-out-of-pocket-medical-expenses.xml</t>
  </si>
  <si>
    <t>Out of Pocket Medical Expenses</t>
  </si>
  <si>
    <t>Tricare Insurance</t>
  </si>
  <si>
    <t>/links/features/tricare-insurance.xml</t>
  </si>
  <si>
    <t>DoD Other health Insurance</t>
  </si>
  <si>
    <t>https://webct2.dmdc.osd.mil/milconnect/faces/pages/ohi.jspx</t>
  </si>
  <si>
    <t>/links/features/dod-other-health-insurance.xml</t>
  </si>
  <si>
    <t>DoD Other Health Insurance</t>
  </si>
  <si>
    <t>Service Member Group Life Insurance</t>
  </si>
  <si>
    <t>/links/features/servicemember-group-life-insurance.xml</t>
  </si>
  <si>
    <t>/links/features/servicemember-personnel-information.xml</t>
  </si>
  <si>
    <t>/links/features/servicemember-civilian-employment-information.xml</t>
  </si>
  <si>
    <t>Post 9/11 Education Benefits Transfer</t>
  </si>
  <si>
    <t>/links/features/post-911-education-benefits-transfer.xml</t>
  </si>
  <si>
    <t>Transfer Post-9/11 GI Bill Education Benefits</t>
  </si>
  <si>
    <t>/ebenefits/profile</t>
  </si>
  <si>
    <t>/links/local/profile/profile.xml</t>
  </si>
  <si>
    <t>Update Contact Info</t>
  </si>
  <si>
    <t>/links/features/email-address.xml</t>
  </si>
  <si>
    <t>/ebenefits-portal/ebenefits.portal?_nfpb=true&amp;_nfxr=false&amp;_pageLabel=eLearning</t>
  </si>
  <si>
    <t>/links/features/e-learning-center.xml</t>
  </si>
  <si>
    <t>/links/features/disability-compensation.xml</t>
  </si>
  <si>
    <t>VDC: Disability Compensation Benefits</t>
  </si>
  <si>
    <t>Dependant Compensation</t>
  </si>
  <si>
    <t>/links/features/dependent-compensation.xml</t>
  </si>
  <si>
    <t>VDC: Dependent Compensation Benefits</t>
  </si>
  <si>
    <t>Request a VSO Representative</t>
  </si>
  <si>
    <t>/links/features/request-vso-representative.xml</t>
  </si>
  <si>
    <t>VDC: Request a VSO Representative</t>
  </si>
  <si>
    <t>Release medical record to VA</t>
  </si>
  <si>
    <t>/links/features/release-medical-records.xml</t>
  </si>
  <si>
    <t>VDC: Release Medical Records</t>
  </si>
  <si>
    <t>Service Member Group Life Insurance - SOES</t>
  </si>
  <si>
    <t>/ebenefits/SOES</t>
  </si>
  <si>
    <t>Business Line</t>
  </si>
  <si>
    <t>EBN DB</t>
  </si>
  <si>
    <t xml:space="preserve">In some cases:
* Name
* Address
* SSN </t>
  </si>
  <si>
    <t>* All clickstream activity of user during session</t>
  </si>
  <si>
    <t>* Name
* Address
* SSN (partially masked)</t>
  </si>
  <si>
    <t>* None</t>
  </si>
  <si>
    <t>BIRLS</t>
  </si>
  <si>
    <t>VetRecordService.findVeteranByPID</t>
  </si>
  <si>
    <t>EVSS, BGS</t>
  </si>
  <si>
    <t>Admin</t>
  </si>
  <si>
    <t>* Name</t>
  </si>
  <si>
    <t>IRIS</t>
  </si>
  <si>
    <t>Representative organization name</t>
  </si>
  <si>
    <t>* Participant Id</t>
  </si>
  <si>
    <t>eGain exposes user PII to Chat Representative, but not via EVSS</t>
  </si>
  <si>
    <t>NRD DB</t>
  </si>
  <si>
    <t>* Resource descriptions (including addresses)</t>
  </si>
  <si>
    <t>Move11 survey captures demographic data around lifestyle, eating and exercise habits, and support</t>
  </si>
  <si>
    <t>Move! Develompent Team</t>
  </si>
  <si>
    <t>* diagnostic text
* diagnostic type code
* diagnostic type name</t>
  </si>
  <si>
    <t>* service-connected combined degree
* non-service-connected combined degree
* exam dates
* relevant military service period
* decisions
* withholding amount</t>
  </si>
  <si>
    <t>* Dependent name
* DOB
* Gender
* SSN (partially masked)</t>
  </si>
  <si>
    <t>ROES</t>
  </si>
  <si>
    <t>• Name
• Mailing Address
• Payment Mailing Address
• Payment Direct Deposit (partially masked routing/account number)
• Phone Numbers
* Email Address</t>
  </si>
  <si>
    <t>* Email address</t>
  </si>
  <si>
    <t>* EDIPI</t>
  </si>
  <si>
    <t>* Relationship</t>
  </si>
  <si>
    <t>* Eligibility determinations
* Special monthly compenstation benefits
*  Adapative equipment
* Automobile grant
* Special adaptive housing
* VR&amp;E benefits</t>
  </si>
  <si>
    <t>Pathways</t>
  </si>
  <si>
    <t>HDR</t>
  </si>
  <si>
    <t>* Service history
* Education history
* Employment history</t>
  </si>
  <si>
    <t>* Name
* DOB
* Gender
* Address
* SSN (partially masked)
* Email address
* Disabilities
* Banking data (via PCIU)
* Doctor name
* Doctor address
* Hospitalization records</t>
  </si>
  <si>
    <t>* Relationship
* Dependent education information</t>
  </si>
  <si>
    <t>NHI</t>
  </si>
  <si>
    <t>Description</t>
  </si>
  <si>
    <t>* Name
* Address
* SSN / File Number</t>
  </si>
  <si>
    <t>* Education history
* Employment history
* Military service history</t>
  </si>
  <si>
    <t>1. Empower Veterans to improve their well-being</t>
  </si>
  <si>
    <t>3. Manage and improve VA operations to deliver seemless and integrated support</t>
  </si>
  <si>
    <t>1. Empower Veterans to improve their well-being
3. Manage and improve VA operations to deliver seemless and integrated support</t>
  </si>
  <si>
    <t>1. Empower Veterans to improve their well-being
2. Enhance and develop trusted partnerships
3. Manage and improve VA operations to deliver seemless and integrated support</t>
  </si>
  <si>
    <t>• Claimant Name
* Claimant SSN
* DOB
• Vet File Number/SSN
• Mailing Address
* Veteran Name
* VSO Rep Name</t>
  </si>
  <si>
    <t>* VSO Organization
* Vet participant Id
* Claimant participant Id
* Claimant relationship
* Status of application</t>
  </si>
  <si>
    <t>* Branch of service
* RAD date
* Station of Jurisdiction</t>
  </si>
  <si>
    <t>* Name
* DOB
* Gender
* Address
* SSN (partially masked)
* FN (partially masked)
* Email address
* Phone</t>
  </si>
  <si>
    <t>* VSO</t>
  </si>
  <si>
    <t>VAP DB</t>
  </si>
  <si>
    <t>* Name
* DOB
* Gender
* SSN</t>
  </si>
  <si>
    <t xml:space="preserve">* Claimaint Name
* SSN (partially masked)
* Veteran Name
* Phone
* Veteran address
</t>
  </si>
  <si>
    <t>* Veteran Name
* Veteran DOB
* SSN/FN (partially masked)
* Patient Name
* Patient DOB
* Patient Address
* Patient SSN (partially masked)
* Patient Phone</t>
  </si>
  <si>
    <t>• Name
• Phone Number
• Mailing Address
• DOB
* Email address</t>
  </si>
  <si>
    <t>* State
* Topic category</t>
  </si>
  <si>
    <t>CPRS</t>
  </si>
  <si>
    <t>DoD, DHA</t>
  </si>
  <si>
    <t>MHV (VistA)</t>
  </si>
  <si>
    <t>• Claim Date
• Claim Status
• Claim Type
• Claim Updates
• Claim Actions
• List of uploaded documents
• Estimated Claim Completion Dates
• Tracked Items Due
• Tracked Items Received</t>
  </si>
  <si>
    <t>Profile -My Documents</t>
  </si>
  <si>
    <t>Profile - My Documents</t>
  </si>
  <si>
    <t>Users are able to see and download documents they have uploaded to the VA</t>
  </si>
  <si>
    <t>* Any type of PII/PHI</t>
  </si>
  <si>
    <t>* Other</t>
  </si>
  <si>
    <t>MessageCenterService.sendMessageCenterMessage</t>
  </si>
  <si>
    <t>references (Service/Operation)</t>
  </si>
  <si>
    <t>Custom Built, EVSS-Hosted Capability</t>
  </si>
  <si>
    <t>Custom Built, EVSS-Hosted Web Service</t>
  </si>
  <si>
    <t>EVSS-Hosted Capability</t>
  </si>
  <si>
    <t>JDBC / SOAP-Based Web Service</t>
  </si>
  <si>
    <t>Link</t>
  </si>
  <si>
    <t>SOAP-Based Web Services</t>
  </si>
  <si>
    <t>* PHI</t>
  </si>
  <si>
    <t>* Name
* Contact</t>
  </si>
  <si>
    <t xml:space="preserve">DEERS, </t>
  </si>
  <si>
    <t>SOAP-based Web Service (Provider)</t>
  </si>
  <si>
    <t>LGY</t>
  </si>
  <si>
    <t>Compass</t>
  </si>
  <si>
    <t>Web Automated Verification of Enrollment</t>
  </si>
  <si>
    <t>MHS Learn</t>
  </si>
  <si>
    <t>VA Goal Alignment</t>
  </si>
  <si>
    <t>Email / SMTP</t>
  </si>
  <si>
    <t>Universal capability enabling outgoing email from the EVSS system.  Emails can be routed to ROs, Veterans or State agencies to enable business processes.</t>
  </si>
  <si>
    <t>Partner / Service Provider</t>
  </si>
  <si>
    <t>Authentication</t>
  </si>
  <si>
    <t>Registration</t>
  </si>
  <si>
    <t>Custom framework for enabling or restricting access to features and capabilities based on user-type, role, and Level of Access.</t>
  </si>
  <si>
    <t>SAML, SOAP-Based Web Services</t>
  </si>
  <si>
    <t>VAAFI</t>
  </si>
  <si>
    <t>DEERS, MVI, OGC</t>
  </si>
  <si>
    <t>DEERS, MVI, OGC, VBA Corp</t>
  </si>
  <si>
    <t>eBenefits: eBenefits.va.gov
SEP: sep.va.gov</t>
  </si>
  <si>
    <t>SGLI, DEERS</t>
  </si>
  <si>
    <t>https://www.ebenefits.va.gov/ebenefits/about/feature?feature=request-vso-representative</t>
  </si>
  <si>
    <t>Chapter 33, LTS</t>
  </si>
  <si>
    <t>BGS, OGC</t>
  </si>
  <si>
    <t>VBA Corp, BIRLS</t>
  </si>
  <si>
    <t>VBA Corp, BIRLS, VHA</t>
  </si>
  <si>
    <t>VBA Corp</t>
  </si>
  <si>
    <t>VBA Corp, BDN</t>
  </si>
  <si>
    <t>VBMS eFolder</t>
  </si>
  <si>
    <t>VBMS eFolder, NHI DB</t>
  </si>
  <si>
    <t>EVSS Alfresco</t>
  </si>
  <si>
    <t>LOA 1 (eBenefits Basic)</t>
  </si>
  <si>
    <t>LOA 2 (eBenefits Premium)</t>
  </si>
  <si>
    <t>Role-Based Access Control Framework</t>
  </si>
  <si>
    <t>Any</t>
  </si>
  <si>
    <t>eGain, IAM</t>
  </si>
  <si>
    <t>VAAFI, MVI, Symantec, DMDC, OGC</t>
  </si>
  <si>
    <t>Name, DoB, SSN, Username, Password, Email Address</t>
  </si>
  <si>
    <t>WSS Common-Services</t>
  </si>
  <si>
    <t>WSS Framework</t>
  </si>
  <si>
    <t>PDF Generation</t>
  </si>
  <si>
    <t>Shared custom platform used to abstract the service architecture from the consuming applications and provide service loose coupling to better accomodate service changes.  The EVSS Service Tier is meant to be the single (primary) point of integration with VA service tiers as well as providing the Enterprise Domain Model to Self-Service applications.  VA Enterprise services of any prootocol are consumed on the service tier and exposed RESTfully to the rest of the EVSS components.  These services can also be consumed by other VA Self-service entities.</t>
  </si>
  <si>
    <t>SOAP-Based Web Services, RESTful Web Services, JDBC, Any</t>
  </si>
  <si>
    <t>iText</t>
  </si>
  <si>
    <t>Ability to programmatically create PDF documents or convert documents of other types to PDF</t>
  </si>
  <si>
    <t>Document Virus Scanning</t>
  </si>
  <si>
    <t>Ability to scan incoming and outgoing documents for viruses and malware in order to prevent threats to data security</t>
  </si>
  <si>
    <t>ClamAV Anti-virus Software</t>
  </si>
  <si>
    <t>ClamAV</t>
  </si>
  <si>
    <t>ALL</t>
  </si>
  <si>
    <t>Custom codebase housing commonly used developer utilities and components and frameworks for security and access control.</t>
  </si>
  <si>
    <t>Ability to automate registration to the portal via integration to CSPs with self-proofing capabilities</t>
  </si>
  <si>
    <t>Secure integration with VA Identity and Access Management for user authentication and identity management across all CSPs.</t>
  </si>
  <si>
    <t>Chapter 33, LTS, VAAFI</t>
  </si>
  <si>
    <t>BGS, MVI</t>
  </si>
  <si>
    <t>BGS, MVI,
VIERS</t>
  </si>
  <si>
    <t>EVSS, BVA</t>
  </si>
  <si>
    <t>DMDC, VAAFI</t>
  </si>
  <si>
    <t>TRICARE, VAAFI</t>
  </si>
  <si>
    <t>MHV, VAAFI</t>
  </si>
  <si>
    <t>LGY, VAAFI</t>
  </si>
  <si>
    <t>VGLI, VAAFI</t>
  </si>
  <si>
    <t>VA Digital Service, VAAFI</t>
  </si>
  <si>
    <t>ROES, VAAFI</t>
  </si>
  <si>
    <t>WAVE, VAAFI</t>
  </si>
  <si>
    <t>DFAS, VAAFI</t>
  </si>
  <si>
    <t>DPRIS, VAAFI</t>
  </si>
  <si>
    <t>VONAPP, VAAFI</t>
  </si>
  <si>
    <t>AHOBP, VAAFI</t>
  </si>
  <si>
    <t>SGLI, VAAFI</t>
  </si>
  <si>
    <t>VAAFI SSO Junction</t>
  </si>
  <si>
    <t>VAAFI SSO Junction (Milconnect)</t>
  </si>
  <si>
    <t>BGS, VIERS, VBMS, MVI</t>
  </si>
  <si>
    <t>BGS, VBMS</t>
  </si>
  <si>
    <t>VBA Corp, VBMS</t>
  </si>
  <si>
    <t>BGS, OGC, MVI, VADIR</t>
  </si>
  <si>
    <t>VBA Corp, OGC, VADIR</t>
  </si>
  <si>
    <t>BGS, RBPS</t>
  </si>
  <si>
    <t>Letter Generator - NonVet Dependent Benefit Summary Letter</t>
  </si>
  <si>
    <t>National Resource Directory (NRD)</t>
  </si>
  <si>
    <t>Users are able to complete form 21-4142, granting release of medical information to the VA, via a guided interview. At the end they are instructed to print the form and upload it or mail it.</t>
  </si>
  <si>
    <r>
      <t>VBMS</t>
    </r>
    <r>
      <rPr>
        <sz val="10"/>
        <color theme="1"/>
        <rFont val="Arial Narrow"/>
        <family val="2"/>
      </rPr>
      <t xml:space="preserve"> eFolder</t>
    </r>
  </si>
  <si>
    <t>ClaimantWebService.findGeneralInformationByFileNumber
EBenefitsBnftClaimStatusWebService.findBenefitClaimStatusBySSN
EBenefitsBnftClaimStatusWebService.findBenefitClaimDetailsByBnftClaimId
UploadedDocumentWebService.findUpldedDcmntByBnftClaimId
DBQWebService.findDBQByBnftClaimId
TrackedItemService.findTrackedItem</t>
  </si>
  <si>
    <t xml:space="preserve">EBenefitsBnftClaimStatusWebService.findBenefitClaimStatusBySSN
EBenefitsBnftClaimStatusWebService.findBenefitClaimDetailsByBnftClaimId
UploadedDocumentWebService.findUpldedDcmntByBnftClaimId
</t>
  </si>
  <si>
    <t>EVSS REST Endpoints Supporting Feature</t>
  </si>
  <si>
    <t>Usage Metrics</t>
  </si>
  <si>
    <t>BGS Web Services:
CPPersonalInformationService.readPersonalRecord
VetRecordWebService.findVeteranByFileNumber
AwardWebService.findStationOfJurisdiction
RORoutingService.getRegionalOfficeByZipCode
VRMDraftFormPersistenceService.readForm
VnpPersonService.vnpPersonCreate
VnpProcService.vnpProcCreate
VnpAtchmsWebService.vnpAtchmsCreate
VeteranRepresentativeService.createVeteranRepresentative</t>
  </si>
  <si>
    <t>BGS Web Services:
Interview:
IntentToFileWebService.insertIntentToFile
MilitaryHistoryService.getMilitaryServiceHistory
MilitaryHistoryService.addUnverifiedVeteranPeriodOfCaptivity
MilitaryHistoryService.manageUnverifiedVeteranPeriodOfService
Submission:
ClaimService.establshClaim
RORoutingService
ClaimService.createContentions</t>
  </si>
  <si>
    <t xml:space="preserve">BGS Web Services:
RatingWebService.findRatingData
VetRecordWebService.findVeteranByFileNumber
AwardWebService.findStationOfJurisdiction
RORoutingService.getRegionalOfficeByZipCode
VnpPersonService
ShareStandardDataWebService.findStationAddress
VnpPtcpntService.VnpPtcpntCreate
VnpProcFormService.VnpProcFormCreate
ClaimantWebService.findDependents
StandardDataWebService.findBenefitClaimTypeIncrement
</t>
  </si>
  <si>
    <t>BGS Web Services:
findVeteranByFileNumberService.findVeteranByFileNumber()
personContactService.getServicePeriod(servicePeriodRequest)
findRatingInfoService.findRatingData(findRatingInfoServiceRequest)</t>
  </si>
  <si>
    <t>LTS Web Services:
Chapter33GetClaimantService
Chapter33GetEnrollmentService</t>
  </si>
  <si>
    <t>Additional Service Documentation:
https://icfironworks.atlassian.net/wiki/display/PTL/Chapter+33+Web+Services+Tips</t>
  </si>
  <si>
    <t>BGS Web Services:
ClaimantWebService.findGeneralInformationByFileNumber
EBenefitsBnftClaimStatusWebService.findBenefitClaimStatusBySSN
EBenefitsBnftClaimStatusWebService.findBenefitClaimDetailsByBnftClaimId
UploadedDocumentWebService.findUpldedDcmntByBnftClaimId
DBQWebService.findDBQByBnftClaimId
TrackedItemService.findTrackedItem</t>
  </si>
  <si>
    <t>MVI Web Services:
MviService.getIcn()
Pathways Web Services:
Pathways.findData(Icn, ResolvedIds, StartDate, EndDate)</t>
  </si>
  <si>
    <t>EVSS Web Services:
EBenefits_Firp.getFirpData</t>
  </si>
  <si>
    <t>BGS Web Services:
IntentToFileWebService.insertIntentToFile()
IntentToFileWebService.findIntentToFilleByPtcpantIdItfTypeCd()</t>
  </si>
  <si>
    <t>BGS Web Services:
VetRecordWebService:findVeteranByPID(PID)
ClaimantWebService:   findGeneralInformationByPID(PID)
ClaimantWebService:   findOtherAwardInformation(PID)
RatingService: findRatingDataByParticipant(PID)</t>
  </si>
  <si>
    <t>BGS Web Services:
VetRecordWebService:findVeteranByPID(PID)
ClaimantWebService:   findOtherAwardInformation(PID)
RatingService:findRatingDataByParticipant(PID)</t>
  </si>
  <si>
    <t>BGS Web Services:
VetRecordWebService:findVeteranByPID(PID)
RatingService:findRatingDataByParticipant(PID)
RatingWebService:isEligibleChapter35ByParticipantId(PID)</t>
  </si>
  <si>
    <t>BGS Web Services:
VetRecordWebService:findVeteranByPID(PID)
ClaimantWebService:   findGeneralInformationByPID(PID)
ClaimantWebService:   findOtherAwardInformation(PID)
RatingService:findRatingDataByParticipant(PID)
RatingWebService:isEligibleChapter35ByParticipantId(PID)</t>
  </si>
  <si>
    <t>BGS Web Services:
VetRecordService.findVeteranByPID</t>
  </si>
  <si>
    <t>BGS Web Services:
ManageRepresentativeService.readPOARequest
ManageRepresentativeService.updatePOARelationship
ManageRepresentativeService.updatePOARequest</t>
  </si>
  <si>
    <t>VBMS Web Services:
eDocumentService.listDocuments(FIleNumber)
eDocumentService.fetchDocumentById(DocumentId)
eDocumentService.getDocumentTypes
eDocumentService.list(DocumentType)</t>
  </si>
  <si>
    <t>BGS Web Services:
PaymentInformationService.retrievePaymentSummaryWithBDN
VetRecordWebService.findVeteranByFileNumber
BenefitClaimWebService.findGeneralInformationByFileNumber (ClaimantWevService?)
DdeftWebService.findComericaRoutingTrnsitNbr
EBenefitsAddressUpdateWebService.updateAddress</t>
  </si>
  <si>
    <t>BGS Web Services:
CliaimantWebService.findDependents(fileNumber)</t>
  </si>
  <si>
    <t>BGS Web Services:
RatingService.findRatingData(FileNumber)
RatingService.findRatingDataByParticipant(participantId)</t>
  </si>
  <si>
    <t xml:space="preserve">BGS Web Services:
CPPersonalInformationService.readPersonalRecord
VetRecordWebService.findVeteranByFileNumber
AwardWebService.findStationOfJurisdiction
RORoutingService.getRegionalOfficeByZipCode
VRMDraftFormPersistenceService.readForm
VnpPersonService.vnpPersonCreate
VnpProcService.vnpProcCreate
VnpAtchmsWebService.vnpAtchmsCreate
VeteranRepresentativeService.createVeteranRepresentative
</t>
  </si>
  <si>
    <t>JDBC Connection to VACOLS</t>
  </si>
  <si>
    <t>BGS Web Services:
RatingService.findRatingData(fileNumber)</t>
  </si>
  <si>
    <t>/BGS Web Services:
IntentToFileWebServiceBean/IntentToFileWebService?WSDL:findIntentToFileByPtcpntIdItfTypeCd
/EBenefitsBnftClaimStatusWebServiceBean/EBenefitsBnftClaimStatusWebService?WSDL:findOpenBenefitClaimsStatusBySSN
/CaseWebServiceBean/CaseWebService?WSDL:findCh31CaseByPtcpntVetId</t>
  </si>
  <si>
    <t>MVI Web Services:
/psim_webservice/IdMWebService:controlActProcess
BGS Web Services:
/EBenefitsAddressUpdateWebServiceBean/EBenefitsAddressUpdateWebService?wsdl:updateAddress</t>
  </si>
  <si>
    <t>BGS Web Services:
SEPVeteranSearchService.sepVeteranSearch</t>
  </si>
  <si>
    <t>BGS Web Services:
VRMDraftFormDocumentService</t>
  </si>
  <si>
    <t>BGS Web Services:
/SvnTypeEJBV2/SvnTypeV2Service:findListValuesResponse</t>
  </si>
  <si>
    <t>BGS Web Services:
ManageRepresentativeService.readVSOWorkQueue</t>
  </si>
  <si>
    <t>Account Activity History
Message Center</t>
  </si>
  <si>
    <t>Reporting</t>
  </si>
  <si>
    <t>Data Capture, Date Retrieval</t>
  </si>
  <si>
    <t>Ability to provide aggregate reporting data specific to a feature in order to determine how the featue is being used and by whom.  This capability highlights specific business reporting requests as documented in the features' Business Requirements.</t>
  </si>
  <si>
    <t>eBenefits
SEP
VDC</t>
  </si>
  <si>
    <t>BGS, EVSS</t>
  </si>
  <si>
    <t>VBA Corp, EVSS DB</t>
  </si>
  <si>
    <t>Any / All</t>
  </si>
  <si>
    <t>/letterGeneratorService/{version}//getLetterByType("Affordable Care Act Minimum Essential Coverage Letter")</t>
  </si>
  <si>
    <t>/benefitsExplorer/{version}/retrieveBenefits</t>
  </si>
  <si>
    <t>/appealsStatusService/{version}/getAppeals</t>
  </si>
  <si>
    <t>/chapter33/{version}//getChapter33Information</t>
  </si>
  <si>
    <t>/myDashboardService/{version}//updateMyDashboard</t>
  </si>
  <si>
    <t>/eacService/{version}/retrieveEAC</t>
  </si>
  <si>
    <t>/firpEBenefits/{version}/getFirpData</t>
  </si>
  <si>
    <t>/letterGeneratorService/{version}//getLetterByType("Benefit Verification Letter")</t>
  </si>
  <si>
    <t>/letterGeneratorService/{version}//getLetterByType("Civil Service Preference Letter")</t>
  </si>
  <si>
    <t>/letterGeneratorService/{version}//getLetterByType("Commissary Letter")</t>
  </si>
  <si>
    <t>/letterGeneratorService/{version}//getLetterByType("Benefit Summary Letter - dependent")
/letterGeneratorService/{version}//getBenefitsSummaryLetter</t>
  </si>
  <si>
    <t>/letterGeneratorService/{version}//getLetterByType("Proof of Service Letter")</t>
  </si>
  <si>
    <t>/letterGeneratorService/{version}//getLetterByType("Service Verification Letter")</t>
  </si>
  <si>
    <t>/letterGeneratorService/{version}//getLetterByType("Benefit Summary Letter")
/letterGeneratorService/{version}//getBenefitsSummaryLetter</t>
  </si>
  <si>
    <t>/recommendedResource/{version}/getRecommendedResource
/nrdRatingService/{version}/getResourceRating
/suggestedResourceService/{version}/getSubjectsAudiences
/suggestedResourceService/{version}/saveSuggestedResource
/suggestedResourceService/{version}/createOrganization</t>
  </si>
  <si>
    <t>/pciu/{version}/retrievePciuInfo
/pciu/{version}/updatePciuInfo</t>
  </si>
  <si>
    <t>96,608 avg letters generated per month
264,146 avg monthly visits to Letter Generator</t>
  </si>
  <si>
    <t>25,307 avg letters generated per month
264,146 avg monthly visits to Letter Generator</t>
  </si>
  <si>
    <t>6,197 avg letters generated per month
264,146 avg monthly visits to Letter Generator</t>
  </si>
  <si>
    <t xml:space="preserve">72,675 avg letters generated per month (all users)
264,146 avg monthly visits to Letter Generator
</t>
  </si>
  <si>
    <t xml:space="preserve">19,674 avg letters generated per month
264,146 avg monthly visits to Letter Generator
</t>
  </si>
  <si>
    <t xml:space="preserve">20,720 avg letters generated per month
264,146 avg monthly visits to Letter Generator
</t>
  </si>
  <si>
    <t>Generate Letters</t>
  </si>
  <si>
    <t>FIRP, EVSS</t>
  </si>
  <si>
    <t>VBA Corp, OGC</t>
  </si>
  <si>
    <t>BGS, MVI, OGC</t>
  </si>
  <si>
    <t>Document Upload</t>
  </si>
  <si>
    <t>Document Download</t>
  </si>
  <si>
    <t>Workflow Management</t>
  </si>
  <si>
    <t>Custom code or COTS product that enables workflow support inside the web applications / features.  This allows the ability to track data such as form data or claims processing data through a workflow and track the state of approvals of work being performed on or with that data.</t>
  </si>
  <si>
    <t>Frameowrk for enabling asynchronous (AJAX) uploading of one or more documents.  This is primarily used by the EVSS users to provide evidence in support of their claims or to submit claims that are not available in electronic interview format online.</t>
  </si>
  <si>
    <t>Framwork for enabling asynchronous (AJAX) download of documents previously uploaded to the VA for viewing by the user.</t>
  </si>
  <si>
    <t>eBeneifts
SEP
VDC</t>
  </si>
  <si>
    <t>Batch Processing &amp; Scheduling</t>
  </si>
  <si>
    <t>Ability to schedule jobs to manipulate data or files in batch on a timed basis.</t>
  </si>
  <si>
    <t>CRON, Quartz</t>
  </si>
  <si>
    <t>Service Orchestration</t>
  </si>
  <si>
    <t>Transaction Management</t>
  </si>
  <si>
    <t>Ability to execute multiple instructions in sequence and rollback any changes in the event of a failure of any of the instructions.  This is primarily used to orchestrate multiple sequenced web-service calls where the success of the entire transaction is dependent on the success of each individual transaction.  Example features are 21-526 interview and Claims Status document upload.</t>
  </si>
  <si>
    <t>Managing the execution of multiple service calls through a single control point in order to enable data composition or business process execution or both.</t>
  </si>
  <si>
    <t>29440 avg monthly visits</t>
  </si>
  <si>
    <t>146047 avg monthly visits</t>
  </si>
  <si>
    <t>232,377 avg monthly visits</t>
  </si>
  <si>
    <t xml:space="preserve">18,035 avg letters generated per month
263,198 avg monthly visits to Letter Generator
</t>
  </si>
  <si>
    <t>14,747 avg monthly visits</t>
  </si>
  <si>
    <t>37,079 avg monthly visits</t>
  </si>
  <si>
    <t>1,426,010 avg monthly visits</t>
  </si>
  <si>
    <t>318,748 avg monthly visits</t>
  </si>
  <si>
    <t>130,079 avg monthly visits</t>
  </si>
  <si>
    <t>140,047 avg monthly visits</t>
  </si>
  <si>
    <t>10,556 avg monthly visits</t>
  </si>
  <si>
    <t>100,812 avg monthly visits</t>
  </si>
  <si>
    <t>7 avg monthly visits</t>
  </si>
  <si>
    <t>66,103 avg monthly visits</t>
  </si>
  <si>
    <t>93,029 avg monthly visits</t>
  </si>
  <si>
    <t>33,592 avg monthly visits</t>
  </si>
  <si>
    <t>12,658 avg monthly visits</t>
  </si>
  <si>
    <t>10,257 avg monthly visits</t>
  </si>
  <si>
    <t>696,824 avg monthly visits</t>
  </si>
  <si>
    <t>129,085 avg monthly visits</t>
  </si>
  <si>
    <t>667,625 avg monthly visits</t>
  </si>
  <si>
    <t>2,671,316 avg monthly visits</t>
  </si>
  <si>
    <t>7,330 avg monthly visits</t>
  </si>
  <si>
    <t>6,913 avg monthly visits</t>
  </si>
  <si>
    <t>13,055 avg monthly visits</t>
  </si>
  <si>
    <t>8,578 avg monthly visits</t>
  </si>
  <si>
    <t>50,758 avg monthly visits</t>
  </si>
  <si>
    <t>527,442 avg monthly visits</t>
  </si>
  <si>
    <t>42,761 avg monthly visits</t>
  </si>
  <si>
    <t>298,108 avg monthly visits</t>
  </si>
  <si>
    <t>1,187 avg monthly visits</t>
  </si>
  <si>
    <t>8,385 avg monthly visits</t>
  </si>
  <si>
    <t>/download-letters, but this will include all letters</t>
  </si>
  <si>
    <t>/claims, but will show all claim status-- not just ITF</t>
  </si>
  <si>
    <t>Message Encryption</t>
  </si>
  <si>
    <t>Ability to encrypt a service message request with a signed certificate prior to submission</t>
  </si>
  <si>
    <t>Recommend DBQs</t>
  </si>
  <si>
    <t>Profile - Work in Process- Claim Status - Upload Supporting Evidence</t>
  </si>
  <si>
    <t>C&amp;P Claim Status - Doc Upload</t>
  </si>
  <si>
    <t>C&amp;P Claim Status - Recommend DBQs
526 - Recommend DBQs</t>
  </si>
  <si>
    <t>While checking the status of their pending Compensation claims, users can upload documents in support of their claim or to answer specific requests for additioonal evidence.</t>
  </si>
  <si>
    <t>While applying for disability compensation benefits or viewing the status of an existing claim, the system will recommend specific disability questionnaires that are likely related to the claimed disabilities.</t>
  </si>
  <si>
    <t xml:space="preserve">Account Activity History
</t>
  </si>
  <si>
    <t xml:space="preserve">PDF Generation
Reporting
Account Activity History
</t>
  </si>
  <si>
    <t xml:space="preserve">Email / SMTP
Message Center
PDF Generation
Account Activity History
</t>
  </si>
  <si>
    <t xml:space="preserve">Message Center
Email / SMTP
Account Activity History
</t>
  </si>
  <si>
    <t>Universal Capabilities / Architectural Components</t>
  </si>
  <si>
    <t>PDF Generation
Account Activity History
Reporting
Service Orchestration
Message Encryption</t>
  </si>
  <si>
    <t>Account Activity History
PDF Generation
Account Activity History
Reporting
Service Orchestration</t>
  </si>
  <si>
    <t>Account Activity History
Service Orchestration</t>
  </si>
  <si>
    <t>Account Activity History
Reporting
Service Orchestration</t>
  </si>
  <si>
    <t>PDF Generation
Reporting
Account Activity History</t>
  </si>
  <si>
    <t xml:space="preserve">Account Activity History
Service Orchestration
</t>
  </si>
  <si>
    <t>Account Activity History
Reporting
Service Orchestration
Workflow Management</t>
  </si>
  <si>
    <t>VBMS Services:
eDocumentService…</t>
  </si>
  <si>
    <t xml:space="preserve">BGS Web Services:
DBQWebService.findDBQByBnftClaimId
</t>
  </si>
  <si>
    <t>Current Research?</t>
  </si>
  <si>
    <t>Pain Points</t>
  </si>
  <si>
    <t>Opportunity</t>
  </si>
  <si>
    <t>In-Flight Storage</t>
  </si>
  <si>
    <t>Document Queue</t>
  </si>
  <si>
    <t xml:space="preserve">Necessary Feature,  Users who are using this feature are the power users of SEP.  Must ask vets.gov what their solution is for SEP. There must be capability for the same functionality. </t>
  </si>
  <si>
    <t>Candidate for Migration/Priority</t>
  </si>
  <si>
    <t>There are pain points where VSO is not able to come into the system through SEP . Data in BIRLS corp and DEERS have to match before the submission is allowed. OGC. Jurisdictions (allowing to search in a specific jurisdiction. Allowing to submit an org that does not have representation in SEP. Status. VSO wants to see status of claim. Still a manual work around in OGC to allow access for VSO acceptance of 21-22 and processing the claim without supervision</t>
  </si>
  <si>
    <t>Complexity Usage</t>
  </si>
  <si>
    <t>Politically Sensative</t>
  </si>
  <si>
    <t>Group with Items</t>
  </si>
  <si>
    <t xml:space="preserve">High Complexity/ Low Usage, </t>
  </si>
  <si>
    <t>Better keyword search, Eharmony analogy matching vets to VSOs. Trying to map against the veterans profile, although this may increase complexity with VSO's providing that information. Helping Veterans understand how to change their VSO, VSO matching status?</t>
  </si>
  <si>
    <t>Need to add (how many veterans are using print+mail feature and how many are submitting online. And how many are accepted by VSOs (how many are off-ramped that require manual intervention) ) Veterans DO Trust VSO's to guide them through the process.</t>
  </si>
  <si>
    <t>Search for representative, manage representative requests</t>
  </si>
  <si>
    <t>Ripple 3</t>
  </si>
  <si>
    <t xml:space="preserve">This is not a submission, at the end of the process you must print it out and mail it in. The other option is a scanned paper copy and then submit it with 526. Should be combined with the 526.  </t>
  </si>
  <si>
    <t xml:space="preserve">has to be united with the 526, difficult to convince that should be migrated with such low usage. Purely a paper process, does not have any systematic processing at this point. This is in the current state but we know that it can be so much more.  </t>
  </si>
  <si>
    <t>5119 avg monthly visits (re-validate this metric)</t>
  </si>
  <si>
    <t xml:space="preserve"> Ripple 3</t>
  </si>
  <si>
    <t>KEY : High -ripple 1, Med - Ripple 2, Low - ripple 3</t>
  </si>
  <si>
    <t>Low complexity/Low Usage?</t>
  </si>
  <si>
    <t>No</t>
  </si>
  <si>
    <t xml:space="preserve">Combine with the 526 and integrate with PMR program. Addition of electronic signature. </t>
  </si>
  <si>
    <t>21-526</t>
  </si>
  <si>
    <t>user interaction models can be used to bolster the user experience</t>
  </si>
  <si>
    <t>High Complexity/High Usage</t>
  </si>
  <si>
    <t>Veterans do not like having multiple login accounts and passwords</t>
  </si>
  <si>
    <t>VDC 526 (but this will include others). Alternatively, /disabilities, but that will include visiters looking for information. FROG + CSRA have done work to enhance the user experience.</t>
  </si>
  <si>
    <t xml:space="preserve">1. MVI mismatch; 2. When veteran is getting a CAC, there is a registration delay (usually no more than 2 weeks) any DOD employee , contractor, active guard + reserve would experience this issue. 3. Experience of going through the application. 4. Workflow issue forcing people to go through extra forms, regardless of whether or not you claim it. </t>
  </si>
  <si>
    <t>Ripple 1</t>
  </si>
  <si>
    <t>Add usage of CIS + EMIS (Enterprise CDI services)</t>
  </si>
  <si>
    <t>High sensativity VBA</t>
  </si>
  <si>
    <t>Yes DOD</t>
  </si>
  <si>
    <t>High sensativity VA</t>
  </si>
  <si>
    <t>General findings about logins (vets would like to have 1 all reaching login), improving a more turbo tax interview style form. Number of forms that are submitted need to be looked at.</t>
  </si>
  <si>
    <t>Ripple 2</t>
  </si>
  <si>
    <t>High Complexity / High Usage</t>
  </si>
  <si>
    <t>Also impacts eFolder and is also stored in virtual VA</t>
  </si>
  <si>
    <t xml:space="preserve">1. Follow rules based processing or it gets off-ramped. 2. Workflow and the way the questions are asked. 3. All services are expecting information from the veteran. 4. If there is no claim then cannot even access the 686.  </t>
  </si>
  <si>
    <t>Received feedback from OBPI, need to look at it and consider it. This process should be derailed and disassociated with the 526. Should be able to identify dependants at any time, without the need for a claim to be submitted beforehand. The opportunity is to handle this without the use of the form all together.</t>
  </si>
  <si>
    <t>Email to mailboxes at RO's we are waiting for updated list from VR&amp;E have to keep doing that until case management system is  built an online.</t>
  </si>
  <si>
    <t>Current experience is very generic, looking for a more tailored experience</t>
  </si>
  <si>
    <t xml:space="preserve">High Complexity (due to account challenges) / High Usage </t>
  </si>
  <si>
    <t>dependant submission and migration to VBMS</t>
  </si>
  <si>
    <t>no, internal vba sensativity</t>
  </si>
  <si>
    <t>Yes, *ACA*</t>
  </si>
  <si>
    <t xml:space="preserve">1. heading, name, suffix and gender must be correct in corporate database. 2.  </t>
  </si>
  <si>
    <t>Refresh the language, making the corrispondence consistant, coordination with call center letters</t>
  </si>
  <si>
    <t>Duplicate by outside functionality, not necessary</t>
  </si>
  <si>
    <t>to be able to flip the view, look at this as an opportunity to change how we look at this information. It is a cultural change for those who processes appeals. We can use this to track the claim status in connection to a specific diagnosis.</t>
  </si>
  <si>
    <t>Current research suggests this feature is not being actively utilized</t>
  </si>
  <si>
    <t xml:space="preserve">1. Difficult to discern what the status of the appeals. 2. Not attorneys agents and VSO's </t>
  </si>
  <si>
    <t>1.Not all of the data is available in VACOLS. 2. User data weakness, they do not provide enough or accurate information.</t>
  </si>
  <si>
    <t>Minimal information provided, and no decision showed.</t>
  </si>
  <si>
    <t>Add NOD form if they are in the 1 year appeal period and we can be sure that they are not already appealing.</t>
  </si>
  <si>
    <t>Data issue, still relying on adjudication team</t>
  </si>
  <si>
    <t xml:space="preserve">Timeline for decisions is not explained, no high level process overview, veterans want to be able to click in to get more detail, give them explanations why claims are moving backward in the process, </t>
  </si>
  <si>
    <t>Medium Complexity/High Usage</t>
  </si>
  <si>
    <t>Highly Political - VA</t>
  </si>
  <si>
    <t>RIPPLE 2 (10-14)</t>
  </si>
  <si>
    <t>Many physicians are not willing to fill out the DBQ</t>
  </si>
  <si>
    <t>Veterans are not familiar with the feature and are not sure how to properly utilize it.</t>
  </si>
  <si>
    <t>Veterans are basically lost and unsure about if things are required , recommended to call out what specifically needs to be done</t>
  </si>
  <si>
    <t xml:space="preserve">setting up a sort of "to-do" list and so that the veteran will know what still needs to be done. </t>
  </si>
  <si>
    <t>Revisitting whether it is appropriate to project dates, or if we should just show average times for adjudication. Opportunity to add Mobile update notifications. Would help with transparency</t>
  </si>
  <si>
    <t>Yes because it is part of documentation needed for a claim, comes back to completeness of a fully developed claim to expedite processing</t>
  </si>
  <si>
    <t>low complexity / low usage</t>
  </si>
  <si>
    <t xml:space="preserve">Limited paint point - not available at all times due to servers going down to do batch processing on the back end </t>
  </si>
  <si>
    <t>Ripple 1 *First Priority*</t>
  </si>
  <si>
    <t>low complexity / high usage</t>
  </si>
  <si>
    <t xml:space="preserve">no </t>
  </si>
  <si>
    <t xml:space="preserve">education </t>
  </si>
  <si>
    <t>These FAQ's should be tied into vets.gov FAQ's</t>
  </si>
  <si>
    <t>Duplicated functionality on myhealthevet , not to be migrated</t>
  </si>
  <si>
    <t>Contact re-design team to understand inertia. They are in the process of rebuilding.</t>
  </si>
  <si>
    <t>Low Complexity / Low Usage</t>
  </si>
  <si>
    <t>Users are able to download a letter containing a summary of various benefits.</t>
  </si>
  <si>
    <t>May be duplicative of the benefit summary letter</t>
  </si>
  <si>
    <t>Do not have a clear set of requirements for all set user types that should be able to access every letter. (27-33)</t>
  </si>
  <si>
    <t>Ripple 2 based on requirements for level 2 access</t>
  </si>
  <si>
    <t xml:space="preserve">not migrating, we need to build consensus with BEC/JEC </t>
  </si>
  <si>
    <t>NRD has been vetted and is trusted by veterans. This is an extremely important resource for the veterans crisis line. If it does not migrate we will lose an important</t>
  </si>
  <si>
    <t>Extremely Politically Sensative</t>
  </si>
  <si>
    <t>AHOBP</t>
  </si>
  <si>
    <t xml:space="preserve">Vets would like to know which account the payments were made from, and any time there is a change in the payment ammount they would like to understand why </t>
  </si>
  <si>
    <t>Have had data mismatch issues</t>
  </si>
  <si>
    <t>Opportunity to expose the reasoning behind payments increase/decrease before the explanation letter arrives (usually 2-3 weeks later)</t>
  </si>
  <si>
    <t>no</t>
  </si>
  <si>
    <t xml:space="preserve">Politically sensative </t>
  </si>
  <si>
    <t>A very high value feature but also a target for fraudsters, need to have a enterprise wide fraud solution, that handles this for the veterans.</t>
  </si>
  <si>
    <t>Data mismatches, possibility of fraud due to no centralized fraud detection. There is also no centralized contact information repository</t>
  </si>
  <si>
    <t>Improve security, centralize data,</t>
  </si>
  <si>
    <t>High Complexity/ High Usage</t>
  </si>
  <si>
    <t>Ripple 2 - dependent on the rest of the dependency process</t>
  </si>
  <si>
    <t>Vets would like to have personalization as well as customization</t>
  </si>
  <si>
    <t>Read Only (dashboard view), depending on the rating we need to inform veterans of any changes in dependency and changes in payment ammounts.</t>
  </si>
  <si>
    <t>To make adding dependents seamless and instantaneous. Being able to say that the VA recognizes dependents quickly is paramount</t>
  </si>
  <si>
    <t>High complexity / high usage</t>
  </si>
  <si>
    <t>No pain points</t>
  </si>
  <si>
    <t>taking care of the states.</t>
  </si>
  <si>
    <t xml:space="preserve">1. There was a false positive feedback for a document upload that affected 9,000 people. 2. Error handling / Error control capability needs to be expressed to vets.gov team. 3. Production system that has a dependancy on resilliancy, need to make sure that the framework and work on AWS is considered. </t>
  </si>
  <si>
    <t>To create a document repository that Veterans can effictively maintain a documentation set that can be associated with any process in our system</t>
  </si>
  <si>
    <t>Lack of records management plan. VBMS does not associate documents with a claim.</t>
  </si>
  <si>
    <t>High compexity/ high usage</t>
  </si>
  <si>
    <t>Yes, VA</t>
  </si>
  <si>
    <t>research suggests veterans would like to know which documents have been uploaded and relation to claim status</t>
  </si>
  <si>
    <t>Ripple 3 - Must have capability to uphold the digital claims process. We need to make a decision about the level of effort we are willing to put into it. *Have FROG team do a deep dive (look at combination w/Blue Button)</t>
  </si>
  <si>
    <t>1. Supplemental disabilities 2. Not all disabilities show up even when they are in corporate. 3. Having to backfill some of the ratings even though they are not in corporate so they have to go to RO to backfill. 4.</t>
  </si>
  <si>
    <t>Display more accurately, ensure data is properly populated in all of the data repositories</t>
  </si>
  <si>
    <t xml:space="preserve">yes, Internal VBA </t>
  </si>
  <si>
    <t>Follow up with FROG to backfill research</t>
  </si>
  <si>
    <t xml:space="preserve">Display all known POA's, to develop an enterprise POA process in the VA that allows for general and specific POA's </t>
  </si>
  <si>
    <t>No indicator for multiple POA's only displays one, potentially different POA's for appeals, only most recent POA is displayed. Acceptance of the POA request , must be able to be segmented through the system, must be considered through the enterprise. Potentially a policy change required to only accept a primary POA, multiple can be potentially  managed through paper. As more VSO's and attorneys get more known, could potentially cause exponential problems, OGC database</t>
  </si>
  <si>
    <t>1. Not all ancillary benefits show up even when they are in corporate.2. SMC - special monthly compensation</t>
  </si>
  <si>
    <t>Medium Complexity / High Usage</t>
  </si>
  <si>
    <t>Display more accurately, ensure data is properly populated in all of the data elements</t>
  </si>
  <si>
    <t>Veterans would like a more detailed display of what is required for a started application. Potentially creation of a FAQ, or video instructions.</t>
  </si>
  <si>
    <t>Need to have a way to translate from VA speak to plain language that veterans can understand.</t>
  </si>
  <si>
    <t>to mash all of this into a single view, the veteran does not think of this as three separate processes and there is an opportunity to present this as a singular progression.  Moving to a new platform allows to a potential culture change.</t>
  </si>
  <si>
    <t>Ripple 1 - discussion should be initiated during the initial phase of IPT establishment</t>
  </si>
  <si>
    <t>Currently it displays information that might not be as useful to the veteran</t>
  </si>
  <si>
    <t>Universal dashboard/ profile within the VA</t>
  </si>
  <si>
    <t xml:space="preserve">High Complexity / High Usage </t>
  </si>
  <si>
    <t>not a candidate for migration</t>
  </si>
  <si>
    <t>low complexity low usage</t>
  </si>
  <si>
    <t>Universal Customized Profile and Dashboard Capabilities</t>
  </si>
  <si>
    <t>Ability to customize a dashboard to display the most pertinent information that the user would like to view on a singular VA wide profile.</t>
  </si>
  <si>
    <t xml:space="preserve">Current status - contract rotation and new contractor has come in and is replanning the work that was done at the end of the previous contract. We need to add additional content explaining the need for DD214. </t>
  </si>
  <si>
    <t>low complexity/high usage</t>
  </si>
  <si>
    <t>Link the workflow into the claims process. Federate those documents into a single view.</t>
  </si>
  <si>
    <t xml:space="preserve">DPRIS has montly usage statistics. </t>
  </si>
  <si>
    <t xml:space="preserve">Veterans really like this feature so removal would cause upheaval </t>
  </si>
  <si>
    <t>put this feature in a more prominent location so that veterans can have access to the benefits they can receive from the states.</t>
  </si>
  <si>
    <t>low complexity/ low usage</t>
  </si>
  <si>
    <t xml:space="preserve">Need to search for EXACT spelling of the VSO, fundamentally this feature was built off the wrong requirements. </t>
  </si>
  <si>
    <t>Complete overhaul is required of the database and the logic on the front and back end.</t>
  </si>
  <si>
    <t>High complexity / High Usage</t>
  </si>
  <si>
    <t>Yes</t>
  </si>
  <si>
    <t>Search for Veteran (SEP)</t>
  </si>
  <si>
    <t>VSO Work Queue (SEP)</t>
  </si>
  <si>
    <t xml:space="preserve">Records must be in VADIR for veteran's info to be pulled. 2. gaps in information due to duplicates, mismatches. </t>
  </si>
  <si>
    <t>Ripple 3+</t>
  </si>
  <si>
    <t xml:space="preserve">To improve the search capability through MVI </t>
  </si>
  <si>
    <t>yes VSO issues</t>
  </si>
  <si>
    <t>High Complexity/High Usage (statistically low usage, but potential user base will start to grow, feature is used 100% of the time by those who use it) Need a key to start the car</t>
  </si>
  <si>
    <t>Low complexity/ low usage</t>
  </si>
  <si>
    <t>Ripple 3 *likely candidate for no migration, we need to discern how this can be accessed (tricare website?)*</t>
  </si>
  <si>
    <t>could be potentially combined with the employment center.</t>
  </si>
  <si>
    <t>Ripple 3 - *likely candidate for no migration due to duplicative features*</t>
  </si>
  <si>
    <t>Could be comebined with current employment center on vets.gov platform</t>
  </si>
  <si>
    <t xml:space="preserve">veterans want to be notified of any changes or logins to their account. </t>
  </si>
  <si>
    <t>Changes in this information would affect veteran status</t>
  </si>
  <si>
    <t>possible chance to bring this in as a part of the customizable dashboard</t>
  </si>
  <si>
    <t>Occasionaly site goes down</t>
  </si>
  <si>
    <t xml:space="preserve">possible combination with VGLI, </t>
  </si>
  <si>
    <t xml:space="preserve">low complexity / </t>
  </si>
  <si>
    <t xml:space="preserve">yes DOD,VBA </t>
  </si>
  <si>
    <t>vets.gov has to talk with LGY regarding this feature</t>
  </si>
  <si>
    <t xml:space="preserve">usage is low, but very specific group </t>
  </si>
  <si>
    <t>Yes, VSO's</t>
  </si>
  <si>
    <t>The way it is identified there might be a separate IPT.  There are two separate actions, to apply for SAH, and to check claim status it is under "manage"</t>
  </si>
  <si>
    <t>discuss linking both of these features in one spot to reduce headaches for vet's/vsos</t>
  </si>
  <si>
    <t>Proper education, most do not know about the ability to transfer these benefits</t>
  </si>
  <si>
    <t>To educate our vets about the ability to transfer these benefits to dependents</t>
  </si>
  <si>
    <t>low usage</t>
  </si>
  <si>
    <t xml:space="preserve">potential for vets.gov to serve a portion of potential user base. </t>
  </si>
  <si>
    <t>Remote proofing is a must if not using DSLOGON</t>
  </si>
  <si>
    <t xml:space="preserve">During separation there is a "firehose" of documentation and information for vets leaving active duty. Could potentially be a quick win. </t>
  </si>
  <si>
    <t>Re-tool the training and rebrand to vets.gov</t>
  </si>
  <si>
    <t>Many veterans were not very happy with TAP briefings.</t>
  </si>
  <si>
    <t>To overhaul the training including new information (videos, process explanation, FAQ's)</t>
  </si>
  <si>
    <t>VA GPS Training (Transition GPS)</t>
  </si>
  <si>
    <t>5 Forms : 10-5345-SSA - Req for authorization release of medical records ; 10-0484A - Revocation form ; 10-0484 - Revocation of release of individual identifiable health record; 10-0485 - end win form National health information network ; 10-5345AMHV - My healthevet medical request for medical records</t>
  </si>
  <si>
    <t>Ripple 2 (@ best)</t>
  </si>
  <si>
    <t>release the latest forms.</t>
  </si>
  <si>
    <t>medium complexity / high usage</t>
  </si>
  <si>
    <t>1. Clumsy, works on and off. 2. Form needs to be updated right now (want off-cycle release). 3. because we are using an old form we do not want to release the form publicly . 4. When they ask for updates from users, too many log on and it crashes the site</t>
  </si>
  <si>
    <t>Determine whether or not this page needs to exist in its current design - need to revisit this , we split all of the pages out so that each page could be accessed without the need for the dashboard</t>
  </si>
  <si>
    <t>Not a candidate for migration, but still need to have this discussion as to how this page is utilized.</t>
  </si>
  <si>
    <t>Once we did the redesign this page was hidden, this feature would be absorbed into the universal dashboard capability. May need to be a potential capability in SEP</t>
  </si>
  <si>
    <t>SSO link that we provide, but this needs to be handled by the insurance service and vets.gov possible combination with SGLI. James Whitehed - VGLI PMO</t>
  </si>
  <si>
    <t>already migrated</t>
  </si>
  <si>
    <t>High Political Sensitivity</t>
  </si>
  <si>
    <t>duplicative of VA.gov , not a candidate for migration.</t>
  </si>
  <si>
    <t>Some of the benefit forms do not have electronic versions</t>
  </si>
  <si>
    <t xml:space="preserve">Work Queue needs to be overhauled, </t>
  </si>
  <si>
    <t xml:space="preserve">EXTREME political sensitivity they will STOMP you </t>
  </si>
  <si>
    <t>Ripple 3 + would have to be funded in order to make the extreme changes that it needs - tied to 526 (we need to know how vets.gov plans to incorporate 526)</t>
  </si>
  <si>
    <t>education has to work with vets.gov to determine migration eligability</t>
  </si>
  <si>
    <t>Row Labels</t>
  </si>
  <si>
    <t>Profile - Work In Process- Claim Status</t>
  </si>
  <si>
    <t>Grand Total</t>
  </si>
  <si>
    <t>0 avg monthly visits (is this metric correct?)</t>
  </si>
  <si>
    <t>(blank)</t>
  </si>
  <si>
    <t>(Multiple Items)</t>
  </si>
  <si>
    <t>Tab</t>
  </si>
  <si>
    <t>Report Name</t>
  </si>
  <si>
    <t>Source</t>
  </si>
  <si>
    <t>Frequency</t>
  </si>
  <si>
    <t>Distribution</t>
  </si>
  <si>
    <t>Accounts</t>
  </si>
  <si>
    <t>DS Logon Account Registrered Users</t>
  </si>
  <si>
    <t>This report shows the current month detail of Basic (Level 1), Premium (Level 2), and total number of users registered in eBenefits.  The report shows the total account counts across the dimensions of Branch of Service (Other Uniformed Services, Navy, Marines, Coast Guard, Army, and Air Force) and by User Type (Veteran, Service Member, Retiree, and Dependents)</t>
  </si>
  <si>
    <t>Steven Elliott (DMDC) provides this data on a monthly basis.  (Steven.Elliott.CTR@osd.pentagon.mil)
Alternate: Shelly Jones (Shelly.Jones.CTR@osd.pentagon.mil)</t>
  </si>
  <si>
    <t>Quarterly</t>
  </si>
  <si>
    <t>Benefits Assistance Service (BAS), eBenefits Governance Board</t>
  </si>
  <si>
    <t>DD-214</t>
  </si>
  <si>
    <t>Requests for OMPF Information (DD-214)</t>
  </si>
  <si>
    <t xml:space="preserve">This reports the number of user requests for the Official Military Personnel File (OMPF) Information using eBenefits by month.  </t>
  </si>
  <si>
    <t xml:space="preserve">Keith Limbacher (Keith.Limbacher@osd.pentagon.mil)
OR Ellen Sulerzyski (sulerzyski_ellen@bah.com)
</t>
  </si>
  <si>
    <t>Monthly, Quarterly</t>
  </si>
  <si>
    <t>BAS
Governance Board</t>
  </si>
  <si>
    <t>COE</t>
  </si>
  <si>
    <t>Requests for VA Home Loan Certificate of Eligibility</t>
  </si>
  <si>
    <t xml:space="preserve">This report shows the number of automatic certificate of eligibility (COE) issued by ACE via the eBenefits portal by month.  Additionally, this report will also show the number of COE issued that required supporting documentation and were then issued manually via the eBenefits portal by month.
</t>
  </si>
  <si>
    <t>Contact Steve Varlas (steve.varlas@va.gov) to request updates.</t>
  </si>
  <si>
    <t>C&amp;P</t>
  </si>
  <si>
    <t>Compensation &amp; Pension (C&amp;P) Claims Status</t>
  </si>
  <si>
    <t xml:space="preserve">This report will show the number of C&amp;P claim status inquiries made in eBenefits by month.
</t>
  </si>
  <si>
    <t>Contact eBenefits team for Google-Analytics data.
Note:  It is anticipated that AITC will assume the responsibility by fall 2010.</t>
  </si>
  <si>
    <t>Pay History</t>
  </si>
  <si>
    <t>This report shows the number of C&amp;P claims payment history inquires made in eBenefits by month.</t>
  </si>
  <si>
    <t>States</t>
  </si>
  <si>
    <t>Request State Benefit Information</t>
  </si>
  <si>
    <t>This report will show the number of state benefit requests submitted.</t>
  </si>
  <si>
    <t xml:space="preserve">Is it worthwhile to show what states or the top states that are receiving a </t>
  </si>
  <si>
    <t>Appeals</t>
  </si>
  <si>
    <t>Veterans' Appeal Status</t>
  </si>
  <si>
    <t xml:space="preserve">This report will show the number of appeal status inquiries made in eBenefits by month.
</t>
  </si>
  <si>
    <t>2.6 Features (Letter Gen &amp; Chat)</t>
  </si>
  <si>
    <t>SAH</t>
  </si>
  <si>
    <t>Specially Adapted Housing (SAH)</t>
  </si>
  <si>
    <t xml:space="preserve">This report will show the number of SAH inquiries made in eBenefits by month.
</t>
  </si>
  <si>
    <t>Transfer of Education Benefits SSO</t>
  </si>
  <si>
    <t>??? - Number of hits?</t>
  </si>
  <si>
    <t>Personal Contact Information Update</t>
  </si>
  <si>
    <t>JULY '10</t>
  </si>
  <si>
    <t>AUGUST '10</t>
  </si>
  <si>
    <t>SEPTEMBER '10</t>
  </si>
  <si>
    <t>OCTOBER '10</t>
  </si>
  <si>
    <t>NOVEMBER '10</t>
  </si>
  <si>
    <t>DECEMBER '10</t>
  </si>
  <si>
    <t>JANUARY '11</t>
  </si>
  <si>
    <t>FEBRUARY '11</t>
  </si>
  <si>
    <t>MARCH '11</t>
  </si>
  <si>
    <t>APRIL '11</t>
  </si>
  <si>
    <t>MAY '11</t>
  </si>
  <si>
    <t>JUNE '11</t>
  </si>
  <si>
    <t>JULY '11</t>
  </si>
  <si>
    <t>AUGUST '11</t>
  </si>
  <si>
    <t>SEPTEMBER '11</t>
  </si>
  <si>
    <t>OCTOBER '11</t>
  </si>
  <si>
    <t>As of 08/01/10</t>
  </si>
  <si>
    <t>As of 09/01/10</t>
  </si>
  <si>
    <t>As of 10/01/10</t>
  </si>
  <si>
    <t>As of 11/01/2010</t>
  </si>
  <si>
    <t>As of 12/01/2010</t>
  </si>
  <si>
    <t>As of 01/01/2011</t>
  </si>
  <si>
    <t>As of 1/31/2011</t>
  </si>
  <si>
    <t>As of 2/28/2011</t>
  </si>
  <si>
    <t>As of 3/31/2011</t>
  </si>
  <si>
    <t>Active DS Logons</t>
  </si>
  <si>
    <r>
      <t>Total Eligible Active Duty, Guard/Reserve 
(</t>
    </r>
    <r>
      <rPr>
        <b/>
        <sz val="7"/>
        <rFont val="Arial"/>
        <family val="2"/>
      </rPr>
      <t>as of 07-MAR-2011</t>
    </r>
    <r>
      <rPr>
        <b/>
        <sz val="8"/>
        <rFont val="Arial"/>
        <family val="2"/>
      </rPr>
      <t>)</t>
    </r>
  </si>
  <si>
    <t>Acceptance Rate  
by Service</t>
  </si>
  <si>
    <r>
      <t>Total Eligible Active Duty, Guard/Reserve &amp; Retirees
(</t>
    </r>
    <r>
      <rPr>
        <b/>
        <sz val="7"/>
        <rFont val="Arial"/>
        <family val="2"/>
      </rPr>
      <t>as of 04-APR-2011</t>
    </r>
    <r>
      <rPr>
        <b/>
        <sz val="8"/>
        <rFont val="Arial"/>
        <family val="2"/>
      </rPr>
      <t>)</t>
    </r>
  </si>
  <si>
    <t>Previous Month</t>
  </si>
  <si>
    <r>
      <t>Total Eligible Active Duty, Guard/Reserve &amp; Retirees
(</t>
    </r>
    <r>
      <rPr>
        <b/>
        <sz val="7"/>
        <rFont val="Arial"/>
        <family val="2"/>
      </rPr>
      <t>as of 09-MAY-2011</t>
    </r>
    <r>
      <rPr>
        <b/>
        <sz val="8"/>
        <rFont val="Arial"/>
        <family val="2"/>
      </rPr>
      <t>)</t>
    </r>
  </si>
  <si>
    <r>
      <t>Total Eligible Active Duty, Guard/Reserve &amp; Retirees
(</t>
    </r>
    <r>
      <rPr>
        <b/>
        <sz val="7"/>
        <rFont val="Arial"/>
        <family val="2"/>
      </rPr>
      <t>as of 06-JUN-2011</t>
    </r>
    <r>
      <rPr>
        <b/>
        <sz val="8"/>
        <rFont val="Arial"/>
        <family val="2"/>
      </rPr>
      <t>)</t>
    </r>
  </si>
  <si>
    <r>
      <t>Total Eligible Active Duty, Guard/Reserve &amp; Retirees
(</t>
    </r>
    <r>
      <rPr>
        <b/>
        <sz val="7"/>
        <rFont val="Arial"/>
        <family val="2"/>
      </rPr>
      <t>as of 01-AUG-2011</t>
    </r>
    <r>
      <rPr>
        <b/>
        <sz val="8"/>
        <rFont val="Arial"/>
        <family val="2"/>
      </rPr>
      <t>)</t>
    </r>
  </si>
  <si>
    <r>
      <t>Total Eligible Active Duty, Guard/Reserve &amp; Retirees
(</t>
    </r>
    <r>
      <rPr>
        <b/>
        <sz val="7"/>
        <rFont val="Arial"/>
        <family val="2"/>
      </rPr>
      <t>as of 06-SEPT-2011</t>
    </r>
    <r>
      <rPr>
        <b/>
        <sz val="8"/>
        <rFont val="Arial"/>
        <family val="2"/>
      </rPr>
      <t>)</t>
    </r>
  </si>
  <si>
    <r>
      <t>Total Eligible Active Duty, Guard/Reserve &amp; Retirees
(</t>
    </r>
    <r>
      <rPr>
        <b/>
        <sz val="7"/>
        <rFont val="Arial"/>
        <family val="2"/>
      </rPr>
      <t>as of 03-OCT-2011</t>
    </r>
    <r>
      <rPr>
        <b/>
        <sz val="8"/>
        <rFont val="Arial"/>
        <family val="2"/>
      </rPr>
      <t>)</t>
    </r>
  </si>
  <si>
    <r>
      <t>Total Eligible Active Duty, Guard/Reserve &amp; Retirees
(</t>
    </r>
    <r>
      <rPr>
        <b/>
        <sz val="7"/>
        <rFont val="Arial"/>
        <family val="2"/>
      </rPr>
      <t>as of 08-NOV-2011</t>
    </r>
    <r>
      <rPr>
        <b/>
        <sz val="8"/>
        <rFont val="Arial"/>
        <family val="2"/>
      </rPr>
      <t>)</t>
    </r>
  </si>
  <si>
    <r>
      <t>Total Eligible Active Duty, Guard/Reserve &amp; Retirees
(</t>
    </r>
    <r>
      <rPr>
        <b/>
        <sz val="7"/>
        <rFont val="Arial"/>
        <family val="2"/>
      </rPr>
      <t>as of 05-DEC-2011</t>
    </r>
    <r>
      <rPr>
        <b/>
        <sz val="8"/>
        <rFont val="Arial"/>
        <family val="2"/>
      </rPr>
      <t>)</t>
    </r>
  </si>
  <si>
    <r>
      <t>Total Eligible Active Duty, Guard/Reserve &amp; Retirees
(</t>
    </r>
    <r>
      <rPr>
        <b/>
        <sz val="7"/>
        <rFont val="Arial"/>
        <family val="2"/>
      </rPr>
      <t>as of 06-FEB-2012</t>
    </r>
    <r>
      <rPr>
        <b/>
        <sz val="8"/>
        <rFont val="Arial"/>
        <family val="2"/>
      </rPr>
      <t>)</t>
    </r>
  </si>
  <si>
    <r>
      <t>Total Eligible Active Duty, Guard/Reserve &amp; Retirees
(</t>
    </r>
    <r>
      <rPr>
        <b/>
        <sz val="7"/>
        <rFont val="Arial"/>
        <family val="2"/>
      </rPr>
      <t>as of 09-APR-2012</t>
    </r>
    <r>
      <rPr>
        <b/>
        <sz val="8"/>
        <rFont val="Arial"/>
        <family val="2"/>
      </rPr>
      <t>)</t>
    </r>
  </si>
  <si>
    <r>
      <t>Total Eligible Active Duty, Guard/Reserve &amp; Retirees
(</t>
    </r>
    <r>
      <rPr>
        <b/>
        <sz val="7"/>
        <rFont val="Arial"/>
        <family val="2"/>
      </rPr>
      <t>as of 08-MAY-2012</t>
    </r>
    <r>
      <rPr>
        <b/>
        <sz val="8"/>
        <rFont val="Arial"/>
        <family val="2"/>
      </rPr>
      <t>)</t>
    </r>
  </si>
  <si>
    <r>
      <t>Total Eligible Active Duty, Guard/Reserve &amp; Retirees
(</t>
    </r>
    <r>
      <rPr>
        <b/>
        <sz val="7"/>
        <rFont val="Arial"/>
        <family val="2"/>
      </rPr>
      <t>as of 08-JUL-2012</t>
    </r>
    <r>
      <rPr>
        <b/>
        <sz val="8"/>
        <rFont val="Arial"/>
        <family val="2"/>
      </rPr>
      <t>)</t>
    </r>
  </si>
  <si>
    <t>User Category</t>
  </si>
  <si>
    <t>Level I</t>
  </si>
  <si>
    <t>Level II</t>
  </si>
  <si>
    <t>Total</t>
  </si>
  <si>
    <t xml:space="preserve">Army  </t>
  </si>
  <si>
    <t>2.97%</t>
  </si>
  <si>
    <t>Active Duty</t>
  </si>
  <si>
    <t xml:space="preserve">Navy  </t>
  </si>
  <si>
    <t>6.08%</t>
  </si>
  <si>
    <t>---</t>
  </si>
  <si>
    <t>2.36%</t>
  </si>
  <si>
    <t>2.81%</t>
  </si>
  <si>
    <t>3.49%</t>
  </si>
  <si>
    <t>3.48%</t>
  </si>
  <si>
    <t>4.49%</t>
  </si>
  <si>
    <t>4.83%</t>
  </si>
  <si>
    <t>5.34%</t>
  </si>
  <si>
    <t>5.66%</t>
  </si>
  <si>
    <t>Air Force</t>
  </si>
  <si>
    <t>2.45%</t>
  </si>
  <si>
    <t>2.87%</t>
  </si>
  <si>
    <t>3.45%</t>
  </si>
  <si>
    <t>4.25%</t>
  </si>
  <si>
    <t>4.24%</t>
  </si>
  <si>
    <t>5.32%</t>
  </si>
  <si>
    <t>5.74%</t>
  </si>
  <si>
    <t>6.51%</t>
  </si>
  <si>
    <t>6.98%</t>
  </si>
  <si>
    <t xml:space="preserve">Marines  </t>
  </si>
  <si>
    <t>2.09%</t>
  </si>
  <si>
    <t>4.46%</t>
  </si>
  <si>
    <t>5.13%</t>
  </si>
  <si>
    <t>5.92%</t>
  </si>
  <si>
    <t>6.96%</t>
  </si>
  <si>
    <t>7.31%</t>
  </si>
  <si>
    <t>8.03%</t>
  </si>
  <si>
    <t>8.36%</t>
  </si>
  <si>
    <t>Coast Guard</t>
  </si>
  <si>
    <t>1.47%</t>
  </si>
  <si>
    <t>1.83%</t>
  </si>
  <si>
    <t>2.47%</t>
  </si>
  <si>
    <t>2.46%</t>
  </si>
  <si>
    <t>3.33%</t>
  </si>
  <si>
    <t>4.28%</t>
  </si>
  <si>
    <t>5.29%</t>
  </si>
  <si>
    <t>5.69%</t>
  </si>
  <si>
    <t>Other Uniformed Services</t>
  </si>
  <si>
    <t>2.70%</t>
  </si>
  <si>
    <t>3.30%</t>
  </si>
  <si>
    <t>4.03%</t>
  </si>
  <si>
    <t>4.01%</t>
  </si>
  <si>
    <t>5.88%</t>
  </si>
  <si>
    <t>6.30%</t>
  </si>
  <si>
    <t>7.01%</t>
  </si>
  <si>
    <t>7.29%</t>
  </si>
  <si>
    <t>Sub-Total</t>
  </si>
  <si>
    <t>No Service record on file</t>
  </si>
  <si>
    <t>Other Uniformed Services / No Svc</t>
  </si>
  <si>
    <t>Other Uniformed Srvc / No Service</t>
  </si>
  <si>
    <r>
      <t xml:space="preserve">Reserve   </t>
    </r>
    <r>
      <rPr>
        <sz val="9"/>
        <rFont val="Arial"/>
        <family val="2"/>
      </rPr>
      <t>(includes IRR and Retired Reserve)</t>
    </r>
  </si>
  <si>
    <t xml:space="preserve">Dependants </t>
  </si>
  <si>
    <t>Reserve   (includes IRR and Retired Reserve)</t>
  </si>
  <si>
    <t>15.52%</t>
  </si>
  <si>
    <t>15.56%</t>
  </si>
  <si>
    <t>20.26%</t>
  </si>
  <si>
    <t>21.25%</t>
  </si>
  <si>
    <t>22.90%</t>
  </si>
  <si>
    <t>24.04%</t>
  </si>
  <si>
    <t>5.15%</t>
  </si>
  <si>
    <t>6.49%</t>
  </si>
  <si>
    <t>13.27%</t>
  </si>
  <si>
    <t>13.24%</t>
  </si>
  <si>
    <t>19.18%</t>
  </si>
  <si>
    <t>20.06%</t>
  </si>
  <si>
    <t>21.68%</t>
  </si>
  <si>
    <t>23.16%</t>
  </si>
  <si>
    <t>5.06%</t>
  </si>
  <si>
    <t>6.68%</t>
  </si>
  <si>
    <t>14.77%</t>
  </si>
  <si>
    <t>14.82%</t>
  </si>
  <si>
    <t>19.60%</t>
  </si>
  <si>
    <t>20.55%</t>
  </si>
  <si>
    <t>22.14%</t>
  </si>
  <si>
    <t>23.43%</t>
  </si>
  <si>
    <t>5.93%</t>
  </si>
  <si>
    <t>7.57%</t>
  </si>
  <si>
    <t>17.08%</t>
  </si>
  <si>
    <t>16.76%</t>
  </si>
  <si>
    <t>24.53%</t>
  </si>
  <si>
    <t>24.87%</t>
  </si>
  <si>
    <t>26.98%</t>
  </si>
  <si>
    <t>28.36%</t>
  </si>
  <si>
    <t>4.10%</t>
  </si>
  <si>
    <t>5.54%</t>
  </si>
  <si>
    <t>12.74%</t>
  </si>
  <si>
    <t>12.72%</t>
  </si>
  <si>
    <t>18.59%</t>
  </si>
  <si>
    <t>18.83%</t>
  </si>
  <si>
    <t>21.08%</t>
  </si>
  <si>
    <t>22.26%</t>
  </si>
  <si>
    <t>4.68%</t>
  </si>
  <si>
    <t>6.29%</t>
  </si>
  <si>
    <t>Guard</t>
  </si>
  <si>
    <t>18.62%</t>
  </si>
  <si>
    <t>18.78%</t>
  </si>
  <si>
    <t>23.06%</t>
  </si>
  <si>
    <t>23.71%</t>
  </si>
  <si>
    <t>25.06%</t>
  </si>
  <si>
    <t>26.01%</t>
  </si>
  <si>
    <t>4.38%</t>
  </si>
  <si>
    <t>5.78%</t>
  </si>
  <si>
    <t>21.09%</t>
  </si>
  <si>
    <t>21.07%</t>
  </si>
  <si>
    <t>25.08%</t>
  </si>
  <si>
    <t>26.25%</t>
  </si>
  <si>
    <t>27.89%</t>
  </si>
  <si>
    <t>29.21%</t>
  </si>
  <si>
    <t>5.95%</t>
  </si>
  <si>
    <t>7.66%</t>
  </si>
  <si>
    <t>Retired</t>
  </si>
  <si>
    <t>Retiree</t>
  </si>
  <si>
    <t>1.36%</t>
  </si>
  <si>
    <t>9.45%</t>
  </si>
  <si>
    <t>9.43%</t>
  </si>
  <si>
    <t>10.65%</t>
  </si>
  <si>
    <t>11.10%</t>
  </si>
  <si>
    <t>11.87%</t>
  </si>
  <si>
    <t>12.40%</t>
  </si>
  <si>
    <t>2.62%</t>
  </si>
  <si>
    <t>4.36%</t>
  </si>
  <si>
    <t>5.10%</t>
  </si>
  <si>
    <t>9.64%</t>
  </si>
  <si>
    <t>10.06%</t>
  </si>
  <si>
    <t>10.76%</t>
  </si>
  <si>
    <t>11.20%</t>
  </si>
  <si>
    <t>1.22%</t>
  </si>
  <si>
    <t>3.64%</t>
  </si>
  <si>
    <t>4.31%</t>
  </si>
  <si>
    <t>7.91%</t>
  </si>
  <si>
    <t>7.90%</t>
  </si>
  <si>
    <t>9.02%</t>
  </si>
  <si>
    <t>9.42%</t>
  </si>
  <si>
    <t>10.15%</t>
  </si>
  <si>
    <t>10.67%</t>
  </si>
  <si>
    <t>0.95%</t>
  </si>
  <si>
    <t>4.40%</t>
  </si>
  <si>
    <t>5.08%</t>
  </si>
  <si>
    <t>10.04%</t>
  </si>
  <si>
    <t>11.51%</t>
  </si>
  <si>
    <t>11.99%</t>
  </si>
  <si>
    <t>12.77%</t>
  </si>
  <si>
    <t>13.36%</t>
  </si>
  <si>
    <t>1.00%</t>
  </si>
  <si>
    <t>7.36%</t>
  </si>
  <si>
    <t>7.34%</t>
  </si>
  <si>
    <t>8.73%</t>
  </si>
  <si>
    <t>9.24%</t>
  </si>
  <si>
    <t>10.02%</t>
  </si>
  <si>
    <t>10.61%</t>
  </si>
  <si>
    <t>2.77%</t>
  </si>
  <si>
    <t>3.39%</t>
  </si>
  <si>
    <t>Dependants (from ALL categories)</t>
  </si>
  <si>
    <t>Dependants (from ALL categories) *Estimated</t>
  </si>
  <si>
    <t>DoD (sum from above)</t>
  </si>
  <si>
    <r>
      <t>DoD Total (</t>
    </r>
    <r>
      <rPr>
        <b/>
        <sz val="7"/>
        <rFont val="Arial"/>
        <family val="2"/>
      </rPr>
      <t>sum from above</t>
    </r>
    <r>
      <rPr>
        <b/>
        <sz val="8"/>
        <rFont val="Arial"/>
        <family val="2"/>
      </rPr>
      <t>)</t>
    </r>
  </si>
  <si>
    <t>Not Available</t>
  </si>
  <si>
    <t>Total Number of Veterans (including Retiree's)
1,035,619</t>
  </si>
  <si>
    <t>Veteran Totals</t>
  </si>
  <si>
    <t>Totals</t>
  </si>
  <si>
    <t>* Level 1 breakdown by User Category is DoD only.</t>
  </si>
  <si>
    <t>Q310</t>
  </si>
  <si>
    <t>Percent Increase</t>
  </si>
  <si>
    <t>Q410</t>
  </si>
  <si>
    <t>DoD Total (sum from above)</t>
  </si>
  <si>
    <t>Q111</t>
  </si>
  <si>
    <t>Q211</t>
  </si>
  <si>
    <t>Active DS Logon Account Holders</t>
  </si>
  <si>
    <t>Reserve</t>
  </si>
  <si>
    <t>Dependant</t>
  </si>
  <si>
    <t>Veteran</t>
  </si>
  <si>
    <t>Total (CHECK)</t>
  </si>
  <si>
    <t>Jan</t>
  </si>
  <si>
    <t>Feb</t>
  </si>
  <si>
    <t>Mar</t>
  </si>
  <si>
    <t>Apr</t>
  </si>
  <si>
    <t>May</t>
  </si>
  <si>
    <t>Jun</t>
  </si>
  <si>
    <t>Jul</t>
  </si>
  <si>
    <t>Aug</t>
  </si>
  <si>
    <t>Sep</t>
  </si>
  <si>
    <t xml:space="preserve">    Oct       FY12</t>
  </si>
  <si>
    <t>Nov</t>
  </si>
  <si>
    <t>Dec</t>
  </si>
  <si>
    <t xml:space="preserve">Jan </t>
  </si>
  <si>
    <t>Oct           FY13</t>
  </si>
  <si>
    <t>Sept</t>
  </si>
  <si>
    <t>Oct           FY14</t>
  </si>
  <si>
    <t>June</t>
  </si>
  <si>
    <t>July</t>
  </si>
  <si>
    <t>Oct</t>
  </si>
  <si>
    <t>Oct          FY15</t>
  </si>
  <si>
    <t>Oct          FY16</t>
  </si>
  <si>
    <t>DS LOGON Quarterly Results</t>
  </si>
  <si>
    <t>DS Logon Registered Users: Q1 FY'11 - Q4 FY'11</t>
  </si>
  <si>
    <t>Quarter</t>
  </si>
  <si>
    <t>% Change</t>
  </si>
  <si>
    <t>Q4 FY '10</t>
  </si>
  <si>
    <t xml:space="preserve">Basic </t>
  </si>
  <si>
    <t xml:space="preserve">Premium </t>
  </si>
  <si>
    <t>% Increase</t>
  </si>
  <si>
    <t>Q3 FY '10</t>
  </si>
  <si>
    <t>Q4 FY '11</t>
  </si>
  <si>
    <t xml:space="preserve"> Q1 FY11</t>
  </si>
  <si>
    <t>Total Increase</t>
  </si>
  <si>
    <t xml:space="preserve"> Q2 FY11</t>
  </si>
  <si>
    <t>Q1 FY '11</t>
  </si>
  <si>
    <t xml:space="preserve"> Q3 FY11</t>
  </si>
  <si>
    <t>Q2 FY '11</t>
  </si>
  <si>
    <t xml:space="preserve"> Q4  FY11</t>
  </si>
  <si>
    <t>Q3 FY '11</t>
  </si>
  <si>
    <t xml:space="preserve"> Q1  FY12</t>
  </si>
  <si>
    <t>Branch of Service</t>
  </si>
  <si>
    <t>User Type</t>
  </si>
  <si>
    <t>Account Type</t>
  </si>
  <si>
    <t>User Count 6/11/2010</t>
  </si>
  <si>
    <t>User Count 6/30/2010</t>
  </si>
  <si>
    <t>User Count 7/25/2010</t>
  </si>
  <si>
    <t>User Count 8/25/2010</t>
  </si>
  <si>
    <t>User Count 10/1</t>
  </si>
  <si>
    <t>User Count 11/1</t>
  </si>
  <si>
    <t>User Count 12/1</t>
  </si>
  <si>
    <t>User Count 1/1</t>
  </si>
  <si>
    <t>User Count 1/31</t>
  </si>
  <si>
    <t>User Count 2/28</t>
  </si>
  <si>
    <t>User Count 3/31</t>
  </si>
  <si>
    <t>User Count 4/30</t>
  </si>
  <si>
    <t>User Count 5/31</t>
  </si>
  <si>
    <t>User Count 6/30</t>
  </si>
  <si>
    <t>User Count 7/31</t>
  </si>
  <si>
    <t>User count 8/31</t>
  </si>
  <si>
    <t>User count 9/30</t>
  </si>
  <si>
    <t>User count 10/31</t>
  </si>
  <si>
    <t>Army</t>
  </si>
  <si>
    <t>Service Member</t>
  </si>
  <si>
    <t>Basic</t>
  </si>
  <si>
    <t>Navy</t>
  </si>
  <si>
    <t>Marines</t>
  </si>
  <si>
    <t>Premium</t>
  </si>
  <si>
    <t>update for august</t>
  </si>
  <si>
    <t>Premium 
(Level 2)</t>
  </si>
  <si>
    <t>Basic 
(Level 1)</t>
  </si>
  <si>
    <t>Current Month Total</t>
  </si>
  <si>
    <t>Previous Month Total</t>
  </si>
  <si>
    <t>Monthly % Increase</t>
  </si>
  <si>
    <t>*Update this for inclusion in the eBenefits briefing. Communicated quarterly.  (Request from Steven.Elliott.CTR@osd.pentagon.mil)</t>
  </si>
  <si>
    <t>Sum of User Count 5/1</t>
  </si>
  <si>
    <t>Number of OMPF User Requests</t>
  </si>
  <si>
    <t>Oct FY16</t>
  </si>
  <si>
    <t>Year (CY)</t>
  </si>
  <si>
    <t xml:space="preserve">Oct </t>
  </si>
  <si>
    <t xml:space="preserve"> - </t>
  </si>
  <si>
    <t>Last 12 months of data only (for chart):</t>
  </si>
  <si>
    <t xml:space="preserve">Yearly Total: </t>
  </si>
  <si>
    <t>Cumulative Total:</t>
  </si>
  <si>
    <t>Number of COE Requests</t>
  </si>
  <si>
    <t>Year</t>
  </si>
  <si>
    <t>-</t>
  </si>
  <si>
    <t>Note:  Request updates from steve.varlas@va.gov</t>
  </si>
  <si>
    <t xml:space="preserve"> Yearly Total: </t>
  </si>
  <si>
    <t>Yearly Total:</t>
  </si>
  <si>
    <t xml:space="preserve">Cumulative Total: </t>
  </si>
  <si>
    <t>Number of VA Payment History Inquiries</t>
  </si>
  <si>
    <t xml:space="preserve">Number of VA Appeal Status Inquiries </t>
  </si>
  <si>
    <t xml:space="preserve">Oct  </t>
  </si>
  <si>
    <t xml:space="preserve">Note: Appeals data at Google Analytics: ebenfits_myeb_bva. </t>
  </si>
  <si>
    <t>Year End Totals</t>
  </si>
  <si>
    <t>FY11</t>
  </si>
  <si>
    <t>FY12</t>
  </si>
  <si>
    <t>FY13</t>
  </si>
  <si>
    <t>FY14</t>
  </si>
  <si>
    <t>Oct FY 14</t>
  </si>
  <si>
    <t>Oct FY 15</t>
  </si>
  <si>
    <t>Oct FY 16</t>
  </si>
  <si>
    <t>Civil Service Preference</t>
  </si>
  <si>
    <t>Benefit Verification</t>
  </si>
  <si>
    <t>Commissary</t>
  </si>
  <si>
    <t>Benefit Summary Letter</t>
  </si>
  <si>
    <t>Proof of Service</t>
  </si>
  <si>
    <t>Affortable Care Act</t>
  </si>
  <si>
    <t xml:space="preserve"> Totals</t>
  </si>
  <si>
    <t xml:space="preserve"> Self Service (eBenefits) &amp; National Call Center (NCC) Activity As of 10/28/11</t>
  </si>
  <si>
    <t>Activity/Feature</t>
  </si>
  <si>
    <t>Volume (Week Ending)</t>
  </si>
  <si>
    <t>Comments</t>
  </si>
  <si>
    <t>Google Analytics Identifier</t>
  </si>
  <si>
    <t>NCC Calls*</t>
  </si>
  <si>
    <t>*Sample call volume included if actual n/a.</t>
  </si>
  <si>
    <t>n/a</t>
  </si>
  <si>
    <t>eBenefits Visits</t>
  </si>
  <si>
    <t>Displayed under "Visitors" tab</t>
  </si>
  <si>
    <t>C&amp;P Claims Status</t>
  </si>
  <si>
    <t>ebenefits_portal/CheckMyStatuses/CompPenStatus</t>
  </si>
  <si>
    <t xml:space="preserve">/eb veterans/ebenefits_myeb_unauth/ebenefits_myeb_cpclaims </t>
  </si>
  <si>
    <t>ebenefits_portal/CheckMyStatuses/PaymentHistory</t>
  </si>
  <si>
    <t xml:space="preserve">/eb veterans/ebenefits_myeb_unauth/ebenefits_myeb_paymenthistory </t>
  </si>
  <si>
    <t>Appeals Status</t>
  </si>
  <si>
    <t>ebenefits_portal/CheckMyStatuses/BVA</t>
  </si>
  <si>
    <t xml:space="preserve">/eb veterans/ebenefits_myeb_unauth/ebenefits_myeb_bva </t>
  </si>
  <si>
    <t>ebenefits_portal/ApplyForBenefits/Apply</t>
  </si>
  <si>
    <t xml:space="preserve">/eb veterans/ebenefits_portal_book_3/Apply </t>
  </si>
  <si>
    <t>Benefits By State</t>
  </si>
  <si>
    <t>ebenefits_portal/Benefits/ByState</t>
  </si>
  <si>
    <t xml:space="preserve">/eb veterans/ebenefits_portal_book_2/BenefitsByState </t>
  </si>
  <si>
    <t>ebenefits_portal/MyPersonalDashboard/CompPensionContactUpdate</t>
  </si>
  <si>
    <t xml:space="preserve">/eb veterans/ebenefits_myeb_unauth/ebenefits_myeb_familymemberinformation </t>
  </si>
  <si>
    <t>Request OMPF</t>
  </si>
  <si>
    <t>ebenefits_portal/ManageMyDocuments/MilitaryPersonnelFile</t>
  </si>
  <si>
    <t xml:space="preserve">/eb veterans/ebenefits_myeb_unauth/ebenefits_myeb_militarypersonnelrecord </t>
  </si>
  <si>
    <t>Health Eligibility</t>
  </si>
  <si>
    <t>ebenefits_portal/ApplyForBenefits/HealthBenefitsEligibility</t>
  </si>
  <si>
    <t xml:space="preserve">/eb veterans/ebenefits_myeb_unauth/ebenefits_myeb_healtheligibilitycheck </t>
  </si>
  <si>
    <t>Letter Generator</t>
  </si>
  <si>
    <t>ebenefits_portal/ManageMyDocuments/DownloadLetters</t>
  </si>
  <si>
    <t>ebenefits_portal/ApplyForBenefits/VONAPP</t>
  </si>
  <si>
    <t>Ch. 33 Enrollment</t>
  </si>
  <si>
    <t>VDC</t>
  </si>
  <si>
    <t>ebenefits_portal/ApplyForBenefits/VONAPP2</t>
  </si>
  <si>
    <t>VONAPP Direct Connect (VDC)</t>
  </si>
  <si>
    <t>Based on page views (Google analytics)</t>
  </si>
  <si>
    <t>* NOTE:  As of 5/16/11 the numbers reflected on the graphic and on the table above represent the number of unique page views instead of of total page views as previously shown.</t>
  </si>
  <si>
    <r>
      <t xml:space="preserve">NOTE:  Due to </t>
    </r>
    <r>
      <rPr>
        <b/>
        <sz val="12"/>
        <color indexed="10"/>
        <rFont val="Calibri"/>
        <family val="2"/>
      </rPr>
      <t>???</t>
    </r>
    <r>
      <rPr>
        <b/>
        <sz val="12"/>
        <color indexed="8"/>
        <rFont val="Calibri"/>
        <family val="2"/>
      </rPr>
      <t xml:space="preserve">  The weekly visitor numbers for several self service features, for week ending 10/1/11, are far below normal.</t>
    </r>
  </si>
  <si>
    <t>NOTE:  Due to ???  The weekly visitor numbers for several self service features, for week ending 10/21/11, are far below normal.</t>
  </si>
  <si>
    <t xml:space="preserve">*Sample NCC call volumes.  Actual data to be included pending access to NCC data.  </t>
  </si>
  <si>
    <t xml:space="preserve"> Self Service (eBenefits) &amp; National Call Center (NCC) Activity As of 03/25/16</t>
  </si>
  <si>
    <t>As of 9/21/12 Total: 1,395,981 - Released Dec 2012</t>
  </si>
  <si>
    <r>
      <rPr>
        <b/>
        <sz val="11"/>
        <color theme="5"/>
        <rFont val="Calibri"/>
        <family val="2"/>
        <scheme val="minor"/>
      </rPr>
      <t>Per the SLC RO Incident Supervisor on 03/30/16:</t>
    </r>
    <r>
      <rPr>
        <sz val="11"/>
        <color theme="1"/>
        <rFont val="Calibri"/>
        <family val="2"/>
        <scheme val="minor"/>
      </rPr>
      <t xml:space="preserve">
We’re currently at 220 cases, making this month the highest on record since we started here in SLC in August of 2015.  October 2015 had 214. 
As of today we’ve received 1151 incidents. We have 630 cases that have been determined to be related to eBenefits or 54.7% of our workload.   
We have a total of 5,524,598 active eBenefit accounts. 630 cases represents 0.0114035447% of the total active accounts. 
We continue to drive down our average days to complete and are currently standing at 6.36 (6.41 last week-goal of 30 days).   
</t>
    </r>
    <r>
      <rPr>
        <b/>
        <sz val="11"/>
        <color theme="5"/>
        <rFont val="Calibri"/>
        <family val="2"/>
        <scheme val="minor"/>
      </rPr>
      <t>Per the SLC RO Incident Supervisor on 04/01/16:</t>
    </r>
    <r>
      <rPr>
        <sz val="11"/>
        <color theme="1"/>
        <rFont val="Calibri"/>
        <family val="2"/>
        <scheme val="minor"/>
      </rPr>
      <t xml:space="preserve">
We ended up the month with 241 cases, a 12% increase from our second highest month of 214 cases since taking this over in August of 2015.
</t>
    </r>
  </si>
  <si>
    <t>FY15</t>
  </si>
  <si>
    <t>ACA Min Essential Coverage</t>
  </si>
  <si>
    <t>Medicare Part D</t>
  </si>
  <si>
    <t>Letters Accessed</t>
  </si>
  <si>
    <t>FY16</t>
  </si>
  <si>
    <t>Total FY14-FY16 (February)</t>
  </si>
  <si>
    <t>Cumulative FY11 - FY16 (February)</t>
  </si>
  <si>
    <t>Totals starting FY14</t>
  </si>
  <si>
    <t>Profile - Network, Manage Authorization; Workflow Engine</t>
  </si>
  <si>
    <t>Veterans and Servicemembers are able to submit orginal or supplemental claims for Disability Compensation. 
Integrated Forms : 0781,0781A,8940,4502. 
Downloadable Forms : DBQ's, 2680,4555,4142,686c.</t>
  </si>
  <si>
    <t xml:space="preserve">146047 avg monthly visits
</t>
  </si>
  <si>
    <t>Profile - My Documents (eFolder exposure)</t>
  </si>
  <si>
    <t xml:space="preserve">Not Live </t>
  </si>
  <si>
    <t>Profile- Dashboard (Landing Page)</t>
  </si>
  <si>
    <r>
      <t>/benefits, but this will include all visitors to VRE page, those requesting counselling, and those applying for ch 31  *</t>
    </r>
    <r>
      <rPr>
        <sz val="10"/>
        <color rgb="FFFF0000"/>
        <rFont val="Arial Narrow"/>
        <family val="2"/>
      </rPr>
      <t>Will be splitting out each form</t>
    </r>
  </si>
  <si>
    <t>View your representative for VA Claims</t>
  </si>
  <si>
    <t>Find a Representative for VA Claims</t>
  </si>
  <si>
    <t>(VLER) 10-0484A Revocation Form</t>
  </si>
  <si>
    <t>(VLER) 10-5345-SSA Request for authorization release of medical records</t>
  </si>
  <si>
    <t>(VLER) 10-0485 End Win Form National Health Information Network</t>
  </si>
  <si>
    <t>10-5345AMHV- My healthevet medical request for medical records</t>
  </si>
  <si>
    <t>(VLER) 10-0484 Revocation of release of individual identifiable health records</t>
  </si>
  <si>
    <t>50,390 avg monthly visits</t>
  </si>
  <si>
    <t>Early Comms</t>
  </si>
  <si>
    <t>Allows veterans to opt in for personalized communications from the VA, internal to eBenefits in the "Message Center"</t>
  </si>
  <si>
    <t>Any/All</t>
  </si>
  <si>
    <t xml:space="preserve">Message Center
E-Mail / SMTP
Batch Processing &amp; Scheduling </t>
  </si>
  <si>
    <t>Claim Status- eFolder Exposure</t>
  </si>
  <si>
    <t>Allows for users to download, view, save, print documents in the eFolder</t>
  </si>
  <si>
    <t xml:space="preserve">Document Download
Reporting
Service Orchestration
</t>
  </si>
  <si>
    <t>We have metrics requirements but they have not been delivered yet. We will prioritize them for when the eFolder goes live in production.</t>
  </si>
  <si>
    <t>VRM, OGC, BAS</t>
  </si>
  <si>
    <t>ID Correlation</t>
  </si>
  <si>
    <t>232,377 avg monthly visits
11,500 Avg monthly submissions</t>
  </si>
  <si>
    <t>BGS Web Services:
VetRecordService.findVeteranByPID
ACA Web Services:
AcaEnrollmentVerificationService.verifyACAEnrollmentPeriod
VIERS Services</t>
  </si>
  <si>
    <t>Letter Generator - Creditable Healthcare Coverage Verification</t>
  </si>
  <si>
    <t>Error Codes</t>
  </si>
  <si>
    <t>Fraud Prevention</t>
  </si>
  <si>
    <t>Document Virus Scanning
PDF Generation
Account Activity History
Service Orchestration
Transaction Management
Message Encryption
Document Queuing</t>
  </si>
  <si>
    <t>VA / DoD Product</t>
  </si>
  <si>
    <t>VHA Health</t>
  </si>
  <si>
    <t>Users can securely share parts of their health records to specific individuals or organizations.</t>
  </si>
  <si>
    <t>Users can revoke specific authorizations to share parts of their health records.</t>
  </si>
  <si>
    <t>Users can securely share parts of their health records to the eHealth exchange</t>
  </si>
  <si>
    <t>Users can request copies of their own health records to be retreived through MyHealtheVet</t>
  </si>
  <si>
    <t>VHA VAP</t>
  </si>
  <si>
    <t>EVSS, NHI</t>
  </si>
  <si>
    <t>Users are able to view their existing Power of Attorney (PoA) relationship</t>
  </si>
  <si>
    <t>Users are able to search for a VSO, attorney, or agent to be their Power of Attorney (PoA) representative during interactions with the VA.</t>
  </si>
  <si>
    <t>OGC, VBA Corp</t>
  </si>
  <si>
    <t>93,029 avg monthly visits for find and view combined</t>
  </si>
  <si>
    <t xml:space="preserve">Users are able to complete and submit an electronic request (21-22) for VSO support granting the VSO Power of Attorney (PoA). If they select an attorney or agent representative they are instructed to print, sign, and mail in the 21-22a. </t>
  </si>
  <si>
    <t>Email / SMTP
Message Center
PDF Generation
Account Activity History
Reporting
Service Orchestration
Message Encryption
Document Queuing
In-Flight Storage</t>
  </si>
  <si>
    <t>Document Virus Scanning
Email / SMTP
Message Center
PDF Generation
Account Activity History
Reporting
Service Orchestration
Transaction Management
Batch Processing &amp; Scheduling
Message Encryption
Document Upload
Document Download
Document Queuing
In-Flight Storage</t>
  </si>
  <si>
    <t>Document Virus Scanning
Email / SMTP
Message Center
PDF Generation
Account Activity History
Reporting
Message Encryption
Service Orchestration
Transaction Management
In-Flight Storage</t>
  </si>
  <si>
    <t>PDF Generation
Account Activity History
Reporting
Document Queuing
In-Flight Storage</t>
  </si>
  <si>
    <t>View Documents</t>
  </si>
  <si>
    <t>C&amp;P Claim Status, eFolder</t>
  </si>
  <si>
    <t>VDC: Apply for or Modify Dependency Benefits (VA Forms 21-686c, 21-674)</t>
  </si>
  <si>
    <t>VDC: Apply for Vocational Rehabilitation Benefits &amp; Counseling (VA Forms 28-1900, 28-8832)</t>
  </si>
  <si>
    <t>VDC: Release of Medical Information (VA Form 21-4142)</t>
  </si>
  <si>
    <t>VDC: Request a Representative (VA Forms 21-22, 21-22a)</t>
  </si>
  <si>
    <t>VDC: Apply for Disability Compensation (VA Form 21-526ez)</t>
  </si>
  <si>
    <t>Process Tools</t>
  </si>
  <si>
    <t>Access and Security</t>
  </si>
  <si>
    <t>Category</t>
  </si>
  <si>
    <t>Ability to store form data in-flight in order to save state between page views, interview sections, and site visits.  Enables Omni-channel (cross-device) editing and completion of VA Forms.</t>
  </si>
  <si>
    <t>Ability to queue messages for document upload and form submission to prevent transaction failures.  Shields user from internal service failures for a better Customer Experience.</t>
  </si>
  <si>
    <t>Broad category of fraud prevention mechanisms implemented in a variety of partner systems.  Sefl-service systems are aware of such mechanisms and react appropriately to fraud flags and high-risk transactions.</t>
  </si>
  <si>
    <t>An Enterprise capability that enables seamless ID correlation to allow self-service applications access to various systems of record.  This capability is utilized across all EVSS features.</t>
  </si>
  <si>
    <t>Failures in partner systems result in a standardized error codes that are displayed back to the user along with call center instructions.  The error codes map to a list of actions that call center reps or operational support personnel can take to remediate customer data issues and other types of service failures.  This capability is utilized across most EVSS custom-built features.</t>
  </si>
  <si>
    <t>Partner-hosted Enterprise Capabilites consumed by EVSS</t>
  </si>
  <si>
    <t>SOAP-Based Web Services, RESTful Web Services</t>
  </si>
  <si>
    <t>MVI, VADIR</t>
  </si>
  <si>
    <t>* Need Metric</t>
  </si>
  <si>
    <t>N/A 
Google Analytics for when a DBQ is recommended and downloaded (when the DBQ link is clicked on);
Reach out to BGS for metrics on when a DBQ is recommended and/or when a DBQ is uploaded</t>
  </si>
  <si>
    <t>N/A 
Google Analytics for when the MyPay Link is clicked on.</t>
  </si>
  <si>
    <t xml:space="preserve">N/A
</t>
  </si>
  <si>
    <t>All of the Milconnect links are available to go directly to the page and use DMDC to log-in</t>
  </si>
  <si>
    <t xml:space="preserve">N/A
Most likely not a candidate for migration due to vets.gov having a FAQ section, might just take information and integrate into current FAQs </t>
  </si>
  <si>
    <t>N/A
Find out if we capture click throughs, if so add to spreadsheet</t>
  </si>
  <si>
    <t>Already migrated to vets.gov</t>
  </si>
  <si>
    <t>N/A
Add Google Analytics for click through metrics</t>
  </si>
  <si>
    <t>N/A
Check to see if we are already capturing click through link metrics</t>
  </si>
  <si>
    <t xml:space="preserve">18,035 avg letters generated per month
264,146 avg monthly visits to Letter Generator
</t>
  </si>
  <si>
    <t>26,677 avg monthly visits</t>
  </si>
  <si>
    <t>N/A
* Not likely candidate for migration although would be good to see click through metrics if available</t>
  </si>
  <si>
    <t>N/A
Need to add click through metrics if available</t>
  </si>
  <si>
    <r>
      <t xml:space="preserve">0 avg monthly visits </t>
    </r>
    <r>
      <rPr>
        <sz val="10"/>
        <color rgb="FFFF0000"/>
        <rFont val="Arial Narrow"/>
        <family val="2"/>
      </rPr>
      <t>(is this metric correct?)
*most likely not a candidate for migration, would be good to have click through metrics</t>
    </r>
  </si>
  <si>
    <t>N/A
Click through metrics if available.</t>
  </si>
  <si>
    <t>N/A
* not likely candidate for migration although would be good to see click through metrics if available</t>
  </si>
  <si>
    <t>Check to see what total form submission #'s are</t>
  </si>
  <si>
    <t>*Reach out to Jim Jones - Frank Bryceland - regarding metrics</t>
  </si>
  <si>
    <t>need to know which things are VA and which are DoD (why are DoD things included?)</t>
  </si>
  <si>
    <t>KOC notes / questions</t>
  </si>
  <si>
    <t xml:space="preserve">SEP is wave 4 most likely early 2017.
how does the role VSOs and SEP change if vets.gov provides easy to submit forms that Veterans can do themselves?
What does  "low usage" mean?
Has Frog done any research on SEP? </t>
  </si>
  <si>
    <t>form</t>
  </si>
  <si>
    <t>form-- w/ some connection to another form (256)</t>
  </si>
  <si>
    <t>what is "ACA"?
Where do they download this from? Efolder?</t>
  </si>
  <si>
    <t>is this a webpage? How is this "personalized"</t>
  </si>
  <si>
    <t>vets.gov appeals solution</t>
  </si>
  <si>
    <t>involve  marina for C&amp;P items</t>
  </si>
  <si>
    <t>does info get updated anywhere else?</t>
  </si>
  <si>
    <t>involve  marina for C&amp;P items/ Marina--who is the VA BUSINESS owner for C&amp;P we should involve??</t>
  </si>
  <si>
    <t>isn't this being replaced in 2016 with a new system?</t>
  </si>
  <si>
    <t>why would VA do a VSO work queue capability?  Isn't this external?</t>
  </si>
  <si>
    <t xml:space="preserve">? What is this email? </t>
  </si>
  <si>
    <t>is this just 6-7 downloadable forms? Why is this "politically sensitive"</t>
  </si>
  <si>
    <t>Groupings</t>
  </si>
  <si>
    <t>EDU</t>
  </si>
  <si>
    <t>is this a form? Or an external function that the insurance company does? What is the current product?</t>
  </si>
  <si>
    <t>does this need to be migrated? I don't understand the notes.</t>
  </si>
  <si>
    <t>is this Blue Button?</t>
  </si>
  <si>
    <t>how is this different from one below?</t>
  </si>
  <si>
    <t>? Can we see this</t>
  </si>
  <si>
    <t>can this just be a content page?  Is this a functioning product?</t>
  </si>
  <si>
    <t>need some content on vets.gov to explain this</t>
  </si>
  <si>
    <t>isn't this a form? Why is it "policitally sensitive" w/ VSOs?</t>
  </si>
  <si>
    <t>involve  marina for C&amp;P items; why is business line blank for this one?</t>
  </si>
  <si>
    <t>isn't this another system being built? MASS? Or something LaVerne mentioned in her last testimony?</t>
  </si>
  <si>
    <t>SSO Link (DoD)</t>
  </si>
  <si>
    <t xml:space="preserve">will not be migrated; vet.gov to validate w/ the Crisis line whether they use this??? </t>
  </si>
  <si>
    <t>SSO link (DoD)</t>
  </si>
  <si>
    <t>Form</t>
  </si>
  <si>
    <t>isn't this a VA online form? Why is it SSO link?
this is not VOA, correct?</t>
  </si>
  <si>
    <t>Content</t>
  </si>
  <si>
    <t>what are the usage metrics on this?  currently doing user research on IRIS</t>
  </si>
  <si>
    <t>Done</t>
  </si>
  <si>
    <t>is this just content?</t>
  </si>
  <si>
    <t>can users make an appointment or change an appointment? Or is this just view?</t>
  </si>
  <si>
    <t>Appointments</t>
  </si>
  <si>
    <t>who is "rebuilding" ? What are they rebuilding?</t>
  </si>
  <si>
    <t>is this a calculater?</t>
  </si>
  <si>
    <t xml:space="preserve">is this currently available? </t>
  </si>
  <si>
    <t>where do they download from? Can we see this?</t>
  </si>
  <si>
    <t>download letters</t>
  </si>
  <si>
    <t>usage?</t>
  </si>
  <si>
    <t>can we see this? What are "data mismatch" issues</t>
  </si>
  <si>
    <t>fraud risk</t>
  </si>
  <si>
    <t>? What is this</t>
  </si>
  <si>
    <t xml:space="preserve">DD214 </t>
  </si>
  <si>
    <t xml:space="preserve"> This is important right?  So why is usage so low for this?</t>
  </si>
  <si>
    <t>is this just an email?</t>
  </si>
  <si>
    <t>why is a complete overhaul needed? Can we see this?</t>
  </si>
  <si>
    <t>do Veterans use this?</t>
  </si>
  <si>
    <t>Is this a link?</t>
  </si>
  <si>
    <t>this sounds like it doesn't work? Are these just forms?</t>
  </si>
  <si>
    <t>? Can we see this? Forms?</t>
  </si>
  <si>
    <t>? Where is this on MyHealtheVet? I don't know that I've ever seen this? Can we see this?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</si>
</sst>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409]mmm\-yy;@"/>
    <numFmt numFmtId="166" formatCode="[$-409]d\-mmm;@"/>
  </numFmts>
  <fonts count="75" x14ac:knownFonts="1">
    <font>
      <sz val="11"/>
      <color theme="1"/>
      <name val="Calibri"/>
      <family val="2"/>
      <scheme val="minor"/>
    </font>
    <font>
      <sz val="10"/>
      <color theme="1"/>
      <name val="Arial Narrow"/>
      <family val="2"/>
    </font>
    <font>
      <sz val="11"/>
      <color theme="1"/>
      <name val="Calibri"/>
      <family val="2"/>
      <scheme val="minor"/>
    </font>
    <font>
      <sz val="10"/>
      <color rgb="FF7030A0"/>
      <name val="Arial Narrow"/>
      <family val="2"/>
    </font>
    <font>
      <b/>
      <sz val="11"/>
      <color theme="0"/>
      <name val="Calibri"/>
      <family val="2"/>
      <scheme val="minor"/>
    </font>
    <font>
      <b/>
      <sz val="10"/>
      <color theme="0"/>
      <name val="Arial Narrow"/>
      <family val="2"/>
    </font>
    <font>
      <sz val="10"/>
      <color theme="1"/>
      <name val="Arial Narrow"/>
      <family val="2"/>
    </font>
    <font>
      <sz val="10"/>
      <name val="Arial Narrow"/>
      <family val="2"/>
    </font>
    <font>
      <i/>
      <sz val="10"/>
      <color theme="1"/>
      <name val="Arial Narrow"/>
      <family val="2"/>
    </font>
    <font>
      <sz val="10"/>
      <color theme="1"/>
      <name val="Arial Narrow"/>
      <family val="2"/>
    </font>
    <font>
      <b/>
      <sz val="15"/>
      <color theme="3"/>
      <name val="Calibri"/>
      <family val="2"/>
      <scheme val="minor"/>
    </font>
    <font>
      <sz val="11"/>
      <color rgb="FFFF0000"/>
      <name val="Calibri"/>
      <family val="2"/>
      <scheme val="minor"/>
    </font>
    <font>
      <b/>
      <sz val="11"/>
      <color theme="1"/>
      <name val="Calibri"/>
      <family val="2"/>
      <scheme val="minor"/>
    </font>
    <font>
      <i/>
      <u/>
      <sz val="11"/>
      <color theme="9" tint="-0.249977111117893"/>
      <name val="Calibri"/>
      <family val="2"/>
      <scheme val="minor"/>
    </font>
    <font>
      <b/>
      <sz val="11"/>
      <color rgb="FFFF0000"/>
      <name val="Calibri"/>
      <family val="2"/>
      <scheme val="minor"/>
    </font>
    <font>
      <i/>
      <sz val="11"/>
      <color theme="6" tint="-0.249977111117893"/>
      <name val="Calibri"/>
      <family val="2"/>
      <scheme val="minor"/>
    </font>
    <font>
      <u/>
      <sz val="11"/>
      <color theme="10"/>
      <name val="Calibri"/>
      <family val="2"/>
      <scheme val="minor"/>
    </font>
    <font>
      <u/>
      <sz val="11"/>
      <color theme="11"/>
      <name val="Calibri"/>
      <family val="2"/>
      <scheme val="minor"/>
    </font>
    <font>
      <sz val="9"/>
      <color indexed="81"/>
      <name val="Tahoma"/>
    </font>
    <font>
      <b/>
      <sz val="9"/>
      <color indexed="81"/>
      <name val="Tahoma"/>
    </font>
    <font>
      <sz val="10"/>
      <color rgb="FFFF0000"/>
      <name val="Arial Narrow"/>
      <family val="2"/>
    </font>
    <font>
      <b/>
      <sz val="11"/>
      <color rgb="FF3F3F3F"/>
      <name val="Calibri"/>
      <family val="2"/>
      <scheme val="minor"/>
    </font>
    <font>
      <b/>
      <sz val="10"/>
      <color indexed="9"/>
      <name val="Arial"/>
      <family val="2"/>
    </font>
    <font>
      <b/>
      <sz val="11"/>
      <color indexed="8"/>
      <name val="Calibri"/>
      <family val="2"/>
    </font>
    <font>
      <sz val="10"/>
      <name val="Arial"/>
      <family val="2"/>
    </font>
    <font>
      <b/>
      <sz val="8"/>
      <name val="Arial"/>
      <family val="2"/>
    </font>
    <font>
      <sz val="8"/>
      <name val="Arial"/>
      <family val="2"/>
    </font>
    <font>
      <b/>
      <sz val="11"/>
      <name val="Calibri"/>
      <family val="2"/>
    </font>
    <font>
      <b/>
      <sz val="7"/>
      <name val="Arial"/>
      <family val="2"/>
    </font>
    <font>
      <b/>
      <sz val="11"/>
      <name val="Arial"/>
      <family val="2"/>
    </font>
    <font>
      <sz val="8"/>
      <color indexed="10"/>
      <name val="Arial"/>
      <family val="2"/>
    </font>
    <font>
      <sz val="8"/>
      <color indexed="8"/>
      <name val="Arial"/>
      <family val="2"/>
    </font>
    <font>
      <b/>
      <sz val="9"/>
      <name val="Arial"/>
      <family val="2"/>
    </font>
    <font>
      <sz val="9"/>
      <name val="Arial"/>
      <family val="2"/>
    </font>
    <font>
      <b/>
      <sz val="8"/>
      <color indexed="8"/>
      <name val="Arial"/>
      <family val="2"/>
    </font>
    <font>
      <b/>
      <sz val="8"/>
      <color indexed="10"/>
      <name val="Arial"/>
      <family val="2"/>
    </font>
    <font>
      <b/>
      <sz val="10"/>
      <name val="Arial"/>
      <family val="2"/>
    </font>
    <font>
      <sz val="12"/>
      <color indexed="8"/>
      <name val="Calibri"/>
      <family val="2"/>
    </font>
    <font>
      <b/>
      <sz val="9"/>
      <color indexed="10"/>
      <name val="Arial"/>
      <family val="2"/>
    </font>
    <font>
      <b/>
      <sz val="12"/>
      <color indexed="8"/>
      <name val="Calibri"/>
      <family val="2"/>
    </font>
    <font>
      <sz val="11"/>
      <color indexed="8"/>
      <name val="Calibri"/>
      <family val="2"/>
    </font>
    <font>
      <sz val="10"/>
      <color indexed="8"/>
      <name val="MS Shell Dlg 2"/>
    </font>
    <font>
      <b/>
      <sz val="11"/>
      <color indexed="8"/>
      <name val="Arial"/>
      <family val="2"/>
    </font>
    <font>
      <b/>
      <sz val="10"/>
      <color indexed="8"/>
      <name val="Arial"/>
      <family val="2"/>
    </font>
    <font>
      <u val="double"/>
      <sz val="11"/>
      <color indexed="8"/>
      <name val="Calibri"/>
      <family val="2"/>
    </font>
    <font>
      <sz val="11"/>
      <color indexed="8"/>
      <name val="Arial"/>
      <family val="2"/>
    </font>
    <font>
      <b/>
      <sz val="11"/>
      <color indexed="63"/>
      <name val="Calibri"/>
      <family val="2"/>
    </font>
    <font>
      <sz val="11"/>
      <color indexed="63"/>
      <name val="Calibri"/>
      <family val="2"/>
    </font>
    <font>
      <sz val="11"/>
      <name val="Calibri"/>
      <family val="2"/>
    </font>
    <font>
      <sz val="11"/>
      <name val="Arial"/>
      <family val="2"/>
    </font>
    <font>
      <b/>
      <sz val="12"/>
      <color indexed="8"/>
      <name val="Arial"/>
      <family val="2"/>
    </font>
    <font>
      <sz val="12"/>
      <color indexed="8"/>
      <name val="Arial"/>
      <family val="2"/>
    </font>
    <font>
      <b/>
      <sz val="18"/>
      <color indexed="9"/>
      <name val="Calibri"/>
      <family val="2"/>
    </font>
    <font>
      <sz val="10.5"/>
      <color indexed="8"/>
      <name val="Consolas"/>
      <family val="3"/>
    </font>
    <font>
      <sz val="10"/>
      <color indexed="8"/>
      <name val="Arial"/>
      <family val="2"/>
    </font>
    <font>
      <b/>
      <sz val="12"/>
      <name val="Calibri"/>
      <family val="2"/>
    </font>
    <font>
      <b/>
      <sz val="13"/>
      <name val="Calibri"/>
      <family val="2"/>
    </font>
    <font>
      <b/>
      <sz val="12"/>
      <color indexed="16"/>
      <name val="Calibri"/>
      <family val="2"/>
    </font>
    <font>
      <b/>
      <sz val="12"/>
      <color indexed="10"/>
      <name val="Calibri"/>
      <family val="2"/>
    </font>
    <font>
      <b/>
      <sz val="11"/>
      <color indexed="16"/>
      <name val="Calibri"/>
      <family val="2"/>
    </font>
    <font>
      <b/>
      <sz val="8"/>
      <color indexed="81"/>
      <name val="Tahoma"/>
    </font>
    <font>
      <sz val="8"/>
      <name val="Arial"/>
    </font>
    <font>
      <b/>
      <sz val="8"/>
      <name val="Arial"/>
    </font>
    <font>
      <sz val="8"/>
      <color indexed="8"/>
      <name val="Arial"/>
    </font>
    <font>
      <b/>
      <sz val="8"/>
      <color indexed="8"/>
      <name val="Arial"/>
    </font>
    <font>
      <sz val="9"/>
      <name val="Arial"/>
    </font>
    <font>
      <b/>
      <sz val="9"/>
      <name val="Arial"/>
    </font>
    <font>
      <sz val="11"/>
      <name val="Calibri"/>
      <family val="2"/>
      <scheme val="minor"/>
    </font>
    <font>
      <b/>
      <sz val="11"/>
      <color theme="5"/>
      <name val="Calibri"/>
      <family val="2"/>
      <scheme val="minor"/>
    </font>
    <font>
      <sz val="11"/>
      <color rgb="FF9C6500"/>
      <name val="Calibri"/>
      <family val="2"/>
      <scheme val="minor"/>
    </font>
    <font>
      <b/>
      <sz val="10"/>
      <name val="Arial Narrow"/>
    </font>
    <font>
      <b/>
      <sz val="9"/>
      <color theme="0"/>
      <name val="Arial Narrow"/>
      <family val="2"/>
    </font>
    <font>
      <sz val="9"/>
      <color theme="1"/>
      <name val="Calibri"/>
      <family val="2"/>
      <scheme val="minor"/>
    </font>
    <font>
      <sz val="9"/>
      <color rgb="FF9C6500"/>
      <name val="Calibri"/>
      <family val="2"/>
      <scheme val="minor"/>
    </font>
    <font>
      <sz val="8"/>
      <name val="Calibri"/>
      <family val="2"/>
      <scheme val="minor"/>
    </font>
  </fonts>
  <fills count="29">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rgb="FFF2F2F2"/>
      </patternFill>
    </fill>
    <fill>
      <patternFill patternType="solid">
        <fgColor theme="4" tint="0.79998168889431442"/>
        <bgColor indexed="65"/>
      </patternFill>
    </fill>
    <fill>
      <patternFill patternType="solid">
        <fgColor indexed="18"/>
        <bgColor indexed="64"/>
      </patternFill>
    </fill>
    <fill>
      <patternFill patternType="solid">
        <fgColor indexed="9"/>
        <bgColor indexed="64"/>
      </patternFill>
    </fill>
    <fill>
      <patternFill patternType="solid">
        <fgColor indexed="43"/>
        <bgColor indexed="64"/>
      </patternFill>
    </fill>
    <fill>
      <patternFill patternType="solid">
        <fgColor indexed="55"/>
        <bgColor indexed="64"/>
      </patternFill>
    </fill>
    <fill>
      <patternFill patternType="solid">
        <fgColor indexed="22"/>
        <bgColor indexed="64"/>
      </patternFill>
    </fill>
    <fill>
      <patternFill patternType="solid">
        <fgColor indexed="23"/>
        <bgColor indexed="64"/>
      </patternFill>
    </fill>
    <fill>
      <patternFill patternType="solid">
        <fgColor indexed="62"/>
        <bgColor indexed="64"/>
      </patternFill>
    </fill>
    <fill>
      <patternFill patternType="solid">
        <fgColor indexed="12"/>
        <bgColor indexed="64"/>
      </patternFill>
    </fill>
    <fill>
      <patternFill patternType="solid">
        <fgColor indexed="44"/>
        <bgColor indexed="64"/>
      </patternFill>
    </fill>
    <fill>
      <patternFill patternType="solid">
        <fgColor indexed="13"/>
        <bgColor indexed="64"/>
      </patternFill>
    </fill>
    <fill>
      <patternFill patternType="solid">
        <fgColor indexed="42"/>
        <bgColor indexed="64"/>
      </patternFill>
    </fill>
    <fill>
      <patternFill patternType="solid">
        <fgColor indexed="24"/>
        <bgColor indexed="64"/>
      </patternFill>
    </fill>
    <fill>
      <patternFill patternType="solid">
        <fgColor indexed="31"/>
      </patternFill>
    </fill>
    <fill>
      <patternFill patternType="solid">
        <fgColor indexed="31"/>
        <bgColor indexed="64"/>
      </patternFill>
    </fill>
    <fill>
      <patternFill patternType="solid">
        <fgColor indexed="22"/>
      </patternFill>
    </fill>
    <fill>
      <patternFill patternType="solid">
        <fgColor indexed="60"/>
        <bgColor indexed="64"/>
      </patternFill>
    </fill>
    <fill>
      <patternFill patternType="solid">
        <fgColor theme="0" tint="-0.249977111117893"/>
        <bgColor indexed="64"/>
      </patternFill>
    </fill>
    <fill>
      <patternFill patternType="solid">
        <fgColor indexed="37"/>
        <bgColor indexed="64"/>
      </patternFill>
    </fill>
    <fill>
      <patternFill patternType="solid">
        <fgColor theme="1"/>
        <bgColor indexed="64"/>
      </patternFill>
    </fill>
    <fill>
      <patternFill patternType="solid">
        <fgColor indexed="26"/>
        <bgColor indexed="64"/>
      </patternFill>
    </fill>
    <fill>
      <patternFill patternType="solid">
        <fgColor indexed="47"/>
        <bgColor indexed="64"/>
      </patternFill>
    </fill>
    <fill>
      <patternFill patternType="solid">
        <fgColor rgb="FFFFEB9C"/>
      </patternFill>
    </fill>
    <fill>
      <patternFill patternType="solid">
        <fgColor rgb="FFFFFF00"/>
        <bgColor indexed="64"/>
      </patternFill>
    </fill>
  </fills>
  <borders count="85">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ck">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ck">
        <color auto="1"/>
      </bottom>
      <diagonal/>
    </border>
    <border>
      <left/>
      <right/>
      <top/>
      <bottom style="thick">
        <color auto="1"/>
      </bottom>
      <diagonal/>
    </border>
    <border>
      <left/>
      <right style="thin">
        <color auto="1"/>
      </right>
      <top/>
      <bottom style="thick">
        <color auto="1"/>
      </bottom>
      <diagonal/>
    </border>
    <border>
      <left style="thin">
        <color auto="1"/>
      </left>
      <right/>
      <top style="thin">
        <color auto="1"/>
      </top>
      <bottom style="thick">
        <color auto="1"/>
      </bottom>
      <diagonal/>
    </border>
    <border>
      <left/>
      <right/>
      <top style="thin">
        <color auto="1"/>
      </top>
      <bottom style="thick">
        <color auto="1"/>
      </bottom>
      <diagonal/>
    </border>
    <border>
      <left/>
      <right style="thin">
        <color auto="1"/>
      </right>
      <top style="thin">
        <color auto="1"/>
      </top>
      <bottom style="thick">
        <color auto="1"/>
      </bottom>
      <diagonal/>
    </border>
    <border>
      <left style="thin">
        <color auto="1"/>
      </left>
      <right/>
      <top style="thick">
        <color auto="1"/>
      </top>
      <bottom style="thin">
        <color auto="1"/>
      </bottom>
      <diagonal/>
    </border>
    <border>
      <left/>
      <right/>
      <top style="thick">
        <color auto="1"/>
      </top>
      <bottom style="thin">
        <color auto="1"/>
      </bottom>
      <diagonal/>
    </border>
    <border>
      <left/>
      <right style="thin">
        <color auto="1"/>
      </right>
      <top style="thick">
        <color auto="1"/>
      </top>
      <bottom style="thin">
        <color auto="1"/>
      </bottom>
      <diagonal/>
    </border>
    <border>
      <left style="thin">
        <color auto="1"/>
      </left>
      <right style="thin">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indexed="62"/>
      </left>
      <right style="medium">
        <color indexed="62"/>
      </right>
      <top style="medium">
        <color indexed="62"/>
      </top>
      <bottom style="medium">
        <color indexed="62"/>
      </bottom>
      <diagonal/>
    </border>
    <border>
      <left style="thin">
        <color auto="1"/>
      </left>
      <right/>
      <top style="thick">
        <color auto="1"/>
      </top>
      <bottom/>
      <diagonal/>
    </border>
    <border>
      <left/>
      <right/>
      <top style="thick">
        <color auto="1"/>
      </top>
      <bottom/>
      <diagonal/>
    </border>
    <border>
      <left/>
      <right style="thin">
        <color auto="1"/>
      </right>
      <top style="thick">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double">
        <color auto="1"/>
      </bottom>
      <diagonal/>
    </border>
    <border>
      <left/>
      <right/>
      <top style="thin">
        <color auto="1"/>
      </top>
      <bottom style="double">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double">
        <color indexed="62"/>
      </bottom>
      <diagonal/>
    </border>
    <border>
      <left style="thin">
        <color indexed="8"/>
      </left>
      <right style="thin">
        <color indexed="8"/>
      </right>
      <top/>
      <bottom style="thick">
        <color indexed="62"/>
      </bottom>
      <diagonal/>
    </border>
    <border>
      <left/>
      <right style="thin">
        <color indexed="8"/>
      </right>
      <top/>
      <bottom style="thick">
        <color indexed="62"/>
      </bottom>
      <diagonal/>
    </border>
    <border>
      <left style="thin">
        <color indexed="8"/>
      </left>
      <right/>
      <top/>
      <bottom style="thick">
        <color indexed="62"/>
      </bottom>
      <diagonal/>
    </border>
    <border>
      <left style="thin">
        <color auto="1"/>
      </left>
      <right/>
      <top/>
      <bottom style="thick">
        <color indexed="62"/>
      </bottom>
      <diagonal/>
    </border>
    <border>
      <left/>
      <right style="thin">
        <color indexed="8"/>
      </right>
      <top style="thick">
        <color indexed="62"/>
      </top>
      <bottom/>
      <diagonal/>
    </border>
    <border>
      <left style="thin">
        <color indexed="8"/>
      </left>
      <right style="thin">
        <color indexed="8"/>
      </right>
      <top style="thick">
        <color indexed="62"/>
      </top>
      <bottom/>
      <diagonal/>
    </border>
    <border>
      <left style="thin">
        <color indexed="8"/>
      </left>
      <right/>
      <top style="thick">
        <color indexed="62"/>
      </top>
      <bottom/>
      <diagonal/>
    </border>
    <border>
      <left/>
      <right/>
      <top style="thick">
        <color indexed="8"/>
      </top>
      <bottom style="thick">
        <color indexed="8"/>
      </bottom>
      <diagonal/>
    </border>
    <border>
      <left style="medium">
        <color auto="1"/>
      </left>
      <right/>
      <top/>
      <bottom style="thin">
        <color auto="1"/>
      </bottom>
      <diagonal/>
    </border>
    <border>
      <left/>
      <right style="medium">
        <color auto="1"/>
      </right>
      <top/>
      <bottom style="thin">
        <color auto="1"/>
      </bottom>
      <diagonal/>
    </border>
    <border>
      <left/>
      <right style="thin">
        <color auto="1"/>
      </right>
      <top style="thin">
        <color auto="1"/>
      </top>
      <bottom style="thin">
        <color auto="1"/>
      </bottom>
      <diagonal/>
    </border>
    <border>
      <left style="thin">
        <color indexed="63"/>
      </left>
      <right style="thin">
        <color indexed="63"/>
      </right>
      <top style="thin">
        <color indexed="63"/>
      </top>
      <bottom/>
      <diagonal/>
    </border>
    <border>
      <left style="thin">
        <color auto="1"/>
      </left>
      <right style="thin">
        <color auto="1"/>
      </right>
      <top style="thin">
        <color auto="1"/>
      </top>
      <bottom/>
      <diagonal/>
    </border>
    <border>
      <left style="thin">
        <color rgb="FF3F3F3F"/>
      </left>
      <right/>
      <top style="thin">
        <color rgb="FF3F3F3F"/>
      </top>
      <bottom/>
      <diagonal/>
    </border>
    <border>
      <left/>
      <right style="thin">
        <color auto="1"/>
      </right>
      <top style="thin">
        <color auto="1"/>
      </top>
      <bottom/>
      <diagonal/>
    </border>
    <border>
      <left style="thin">
        <color indexed="63"/>
      </left>
      <right style="thin">
        <color indexed="63"/>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style="medium">
        <color auto="1"/>
      </top>
      <bottom/>
      <diagonal/>
    </border>
    <border>
      <left/>
      <right/>
      <top style="medium">
        <color auto="1"/>
      </top>
      <bottom/>
      <diagonal/>
    </border>
    <border>
      <left style="thin">
        <color auto="1"/>
      </left>
      <right style="thin">
        <color auto="1"/>
      </right>
      <top/>
      <bottom/>
      <diagonal/>
    </border>
    <border>
      <left/>
      <right/>
      <top/>
      <bottom style="medium">
        <color auto="1"/>
      </bottom>
      <diagonal/>
    </border>
    <border>
      <left style="medium">
        <color auto="1"/>
      </left>
      <right/>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thin">
        <color auto="1"/>
      </left>
      <right/>
      <top/>
      <bottom/>
      <diagonal/>
    </border>
    <border>
      <left style="thin">
        <color auto="1"/>
      </left>
      <right/>
      <top style="medium">
        <color auto="1"/>
      </top>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right style="medium">
        <color auto="1"/>
      </right>
      <top/>
      <bottom style="medium">
        <color auto="1"/>
      </bottom>
      <diagonal/>
    </border>
    <border>
      <left style="thin">
        <color auto="1"/>
      </left>
      <right style="medium">
        <color auto="1"/>
      </right>
      <top/>
      <bottom style="thin">
        <color auto="1"/>
      </bottom>
      <diagonal/>
    </border>
    <border>
      <left/>
      <right style="medium">
        <color auto="1"/>
      </right>
      <top/>
      <bottom/>
      <diagonal/>
    </border>
  </borders>
  <cellStyleXfs count="30">
    <xf numFmtId="0" fontId="0" fillId="0" borderId="0"/>
    <xf numFmtId="0" fontId="2" fillId="0" borderId="0"/>
    <xf numFmtId="0" fontId="10" fillId="0" borderId="2" applyNumberFormat="0" applyFill="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1" fillId="4" borderId="6" applyNumberFormat="0" applyAlignment="0" applyProtection="0"/>
    <xf numFmtId="0" fontId="12" fillId="0" borderId="7" applyNumberFormat="0" applyFill="0" applyAlignment="0" applyProtection="0"/>
    <xf numFmtId="0" fontId="2" fillId="5" borderId="0" applyNumberFormat="0" applyBorder="0" applyAlignment="0" applyProtection="0"/>
    <xf numFmtId="0" fontId="69" fillId="27" borderId="0" applyNumberFormat="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41">
    <xf numFmtId="0" fontId="0" fillId="0" borderId="0" xfId="0"/>
    <xf numFmtId="0" fontId="1" fillId="0" borderId="1" xfId="0" applyFont="1" applyBorder="1" applyAlignment="1">
      <alignment horizontal="left" vertical="top" wrapText="1"/>
    </xf>
    <xf numFmtId="0" fontId="4" fillId="2" borderId="0" xfId="0" applyFont="1" applyFill="1"/>
    <xf numFmtId="0" fontId="0" fillId="0" borderId="0" xfId="0" applyAlignment="1">
      <alignment wrapText="1"/>
    </xf>
    <xf numFmtId="0" fontId="1" fillId="0" borderId="1" xfId="0" applyFont="1" applyFill="1" applyBorder="1" applyAlignment="1">
      <alignment horizontal="left" vertical="top" wrapText="1"/>
    </xf>
    <xf numFmtId="0" fontId="1" fillId="0" borderId="1" xfId="0" applyFont="1" applyBorder="1" applyAlignment="1">
      <alignment vertical="top" wrapText="1"/>
    </xf>
    <xf numFmtId="0" fontId="10" fillId="0" borderId="2" xfId="2" applyAlignment="1" applyProtection="1">
      <alignment horizontal="left" vertical="center"/>
    </xf>
    <xf numFmtId="0" fontId="10" fillId="0" borderId="2" xfId="2" applyAlignment="1" applyProtection="1">
      <alignment horizontal="left" vertical="top" wrapText="1"/>
    </xf>
    <xf numFmtId="0" fontId="10" fillId="0" borderId="2" xfId="2" applyAlignment="1" applyProtection="1">
      <alignment vertical="center"/>
    </xf>
    <xf numFmtId="0" fontId="10" fillId="0" borderId="2" xfId="2" applyFont="1" applyAlignment="1" applyProtection="1">
      <alignment horizontal="left" vertical="top" wrapText="1"/>
    </xf>
    <xf numFmtId="0" fontId="0" fillId="0" borderId="0" xfId="0" applyProtection="1"/>
    <xf numFmtId="0" fontId="0" fillId="0" borderId="0" xfId="0" applyAlignment="1">
      <alignment horizontal="left"/>
    </xf>
    <xf numFmtId="0" fontId="12" fillId="0" borderId="0" xfId="0" applyFont="1" applyAlignment="1">
      <alignment horizontal="left" vertical="top" wrapText="1"/>
    </xf>
    <xf numFmtId="0" fontId="0" fillId="0" borderId="0" xfId="0" applyFont="1" applyAlignment="1">
      <alignment horizontal="left" vertical="top" wrapText="1"/>
    </xf>
    <xf numFmtId="0" fontId="13" fillId="0" borderId="0" xfId="0" applyFont="1" applyAlignment="1">
      <alignment horizontal="left" vertical="top" wrapText="1" indent="2"/>
    </xf>
    <xf numFmtId="0" fontId="0" fillId="0" borderId="0" xfId="0" applyFont="1" applyAlignment="1">
      <alignment horizontal="left" vertical="top" wrapText="1" indent="4"/>
    </xf>
    <xf numFmtId="0" fontId="0" fillId="0" borderId="0" xfId="0" applyAlignment="1">
      <alignment horizontal="left" vertical="top" wrapText="1"/>
    </xf>
    <xf numFmtId="0" fontId="0" fillId="0" borderId="0" xfId="0" applyFont="1" applyAlignment="1">
      <alignment horizontal="left" vertical="top" wrapText="1" indent="6"/>
    </xf>
    <xf numFmtId="0" fontId="13" fillId="0" borderId="0" xfId="0" applyFont="1" applyAlignment="1">
      <alignment horizontal="left" vertical="top" wrapText="1" indent="4"/>
    </xf>
    <xf numFmtId="0" fontId="0" fillId="0" borderId="0" xfId="0" applyAlignment="1">
      <alignment horizontal="left" vertical="top" wrapText="1" indent="2"/>
    </xf>
    <xf numFmtId="0" fontId="0" fillId="0" borderId="0" xfId="0" applyAlignment="1">
      <alignment horizontal="left" vertical="top" wrapText="1" indent="4"/>
    </xf>
    <xf numFmtId="0" fontId="0" fillId="0" borderId="0" xfId="0" applyAlignment="1">
      <alignment horizontal="left" vertical="top" wrapText="1" indent="6"/>
    </xf>
    <xf numFmtId="0" fontId="0" fillId="0" borderId="0" xfId="0" applyFont="1" applyAlignment="1">
      <alignment horizontal="left" vertical="top" wrapText="1" indent="2"/>
    </xf>
    <xf numFmtId="0" fontId="13" fillId="0" borderId="0" xfId="0" applyFont="1" applyAlignment="1">
      <alignment horizontal="left" vertical="top" wrapText="1" indent="6"/>
    </xf>
    <xf numFmtId="0" fontId="0" fillId="0" borderId="0" xfId="0" applyAlignment="1">
      <alignment horizontal="left" vertical="top" wrapText="1" indent="8"/>
    </xf>
    <xf numFmtId="0" fontId="12" fillId="0" borderId="0" xfId="0" applyFont="1" applyFill="1" applyAlignment="1">
      <alignment horizontal="left" vertical="top" wrapText="1"/>
    </xf>
    <xf numFmtId="0" fontId="13" fillId="0" borderId="0" xfId="0" applyFont="1" applyFill="1" applyAlignment="1">
      <alignment horizontal="left" vertical="top" wrapText="1" indent="2"/>
    </xf>
    <xf numFmtId="0" fontId="0" fillId="0" borderId="0" xfId="0" applyFont="1" applyFill="1" applyAlignment="1">
      <alignment horizontal="left" vertical="top" wrapText="1" indent="2"/>
    </xf>
    <xf numFmtId="0" fontId="0" fillId="0" borderId="0" xfId="0" applyFont="1" applyFill="1" applyAlignment="1">
      <alignment horizontal="left" vertical="top" wrapText="1" indent="4"/>
    </xf>
    <xf numFmtId="0" fontId="12" fillId="0" borderId="0" xfId="0" applyFont="1"/>
    <xf numFmtId="0" fontId="0" fillId="0" borderId="0" xfId="0" applyAlignment="1">
      <alignment horizontal="left" indent="2"/>
    </xf>
    <xf numFmtId="0" fontId="12" fillId="0" borderId="0" xfId="0" applyFont="1" applyAlignment="1">
      <alignment horizontal="left"/>
    </xf>
    <xf numFmtId="0" fontId="0" fillId="0" borderId="0" xfId="0" applyFont="1" applyAlignment="1">
      <alignment horizontal="left" indent="2"/>
    </xf>
    <xf numFmtId="0" fontId="15" fillId="0" borderId="0" xfId="0" applyFont="1"/>
    <xf numFmtId="0" fontId="0" fillId="0" borderId="0" xfId="0" applyFont="1" applyAlignment="1">
      <alignment horizontal="left"/>
    </xf>
    <xf numFmtId="0" fontId="0" fillId="0" borderId="0" xfId="0" applyFont="1"/>
    <xf numFmtId="0" fontId="16" fillId="0" borderId="0" xfId="3"/>
    <xf numFmtId="0" fontId="10" fillId="0" borderId="2" xfId="2" applyFill="1" applyAlignment="1" applyProtection="1">
      <alignment vertical="center"/>
    </xf>
    <xf numFmtId="0" fontId="1" fillId="0" borderId="1" xfId="0" applyFont="1" applyFill="1" applyBorder="1" applyAlignment="1">
      <alignment vertical="top" wrapText="1"/>
    </xf>
    <xf numFmtId="0" fontId="1" fillId="0" borderId="1" xfId="0" applyNumberFormat="1" applyFont="1" applyBorder="1" applyAlignment="1">
      <alignment horizontal="left" vertical="top" wrapText="1"/>
    </xf>
    <xf numFmtId="0" fontId="1" fillId="0" borderId="1" xfId="0" applyFont="1" applyBorder="1" applyAlignment="1">
      <alignment horizontal="left" vertical="center" wrapText="1"/>
    </xf>
    <xf numFmtId="0" fontId="5" fillId="2" borderId="1" xfId="0" applyFont="1" applyFill="1" applyBorder="1" applyAlignment="1">
      <alignment horizontal="center" vertical="center" wrapText="1"/>
    </xf>
    <xf numFmtId="0" fontId="1" fillId="3" borderId="1" xfId="0" applyFont="1" applyFill="1" applyBorder="1" applyAlignment="1">
      <alignment horizontal="left" vertical="top" wrapText="1"/>
    </xf>
    <xf numFmtId="0" fontId="9" fillId="0" borderId="1" xfId="0" applyFont="1" applyBorder="1" applyAlignment="1">
      <alignment horizontal="left" vertical="top" wrapText="1"/>
    </xf>
    <xf numFmtId="0" fontId="9" fillId="0" borderId="1" xfId="0" applyNumberFormat="1" applyFont="1" applyBorder="1" applyAlignment="1">
      <alignment horizontal="left" vertical="top" wrapText="1"/>
    </xf>
    <xf numFmtId="0" fontId="1" fillId="0" borderId="1" xfId="0" applyFont="1" applyBorder="1" applyAlignment="1">
      <alignment wrapText="1"/>
    </xf>
    <xf numFmtId="0" fontId="9" fillId="0" borderId="1" xfId="0" applyFont="1" applyFill="1" applyBorder="1" applyAlignment="1">
      <alignment horizontal="left" vertical="top" wrapText="1"/>
    </xf>
    <xf numFmtId="0" fontId="0" fillId="0" borderId="0" xfId="0" applyFill="1"/>
    <xf numFmtId="0" fontId="6" fillId="0" borderId="1" xfId="0" applyFont="1" applyFill="1" applyBorder="1" applyAlignment="1">
      <alignment horizontal="left" vertical="top" wrapText="1"/>
    </xf>
    <xf numFmtId="0" fontId="1" fillId="0" borderId="1" xfId="0" applyNumberFormat="1" applyFont="1" applyFill="1" applyBorder="1" applyAlignment="1">
      <alignment horizontal="left" vertical="top" wrapText="1"/>
    </xf>
    <xf numFmtId="0" fontId="1" fillId="0" borderId="0" xfId="0" applyFont="1" applyBorder="1" applyAlignment="1">
      <alignment horizontal="left" vertical="top" wrapText="1"/>
    </xf>
    <xf numFmtId="0" fontId="5" fillId="2" borderId="3" xfId="0" applyFont="1" applyFill="1" applyBorder="1" applyAlignment="1">
      <alignment horizontal="center" vertical="center" wrapText="1"/>
    </xf>
    <xf numFmtId="0" fontId="1" fillId="0" borderId="3" xfId="0" applyFont="1" applyFill="1" applyBorder="1" applyAlignment="1">
      <alignment horizontal="left" vertical="top" wrapText="1"/>
    </xf>
    <xf numFmtId="0" fontId="1" fillId="0" borderId="0" xfId="0" applyFont="1" applyFill="1" applyBorder="1" applyAlignment="1">
      <alignment horizontal="left" vertical="top" wrapText="1"/>
    </xf>
    <xf numFmtId="164" fontId="1" fillId="0" borderId="1" xfId="22" applyNumberFormat="1" applyFont="1" applyFill="1" applyBorder="1" applyAlignment="1">
      <alignment horizontal="left" vertical="top" wrapText="1"/>
    </xf>
    <xf numFmtId="0" fontId="1" fillId="0" borderId="4" xfId="0" applyFont="1" applyFill="1" applyBorder="1" applyAlignment="1">
      <alignment horizontal="left" vertical="top" wrapText="1"/>
    </xf>
    <xf numFmtId="0" fontId="1" fillId="0" borderId="5" xfId="0" applyFont="1" applyFill="1" applyBorder="1" applyAlignment="1">
      <alignment horizontal="left" vertical="top" wrapText="1"/>
    </xf>
    <xf numFmtId="0" fontId="5" fillId="2" borderId="4" xfId="0" applyFont="1" applyFill="1" applyBorder="1" applyAlignment="1">
      <alignment horizontal="center" vertical="center" wrapText="1"/>
    </xf>
    <xf numFmtId="0" fontId="0" fillId="0" borderId="0" xfId="0" applyFill="1" applyAlignment="1">
      <alignment wrapText="1"/>
    </xf>
    <xf numFmtId="0" fontId="0" fillId="0" borderId="0" xfId="0" applyFill="1" applyBorder="1" applyAlignment="1">
      <alignment wrapText="1"/>
    </xf>
    <xf numFmtId="0" fontId="0" fillId="0" borderId="0" xfId="0" pivotButton="1"/>
    <xf numFmtId="0" fontId="0" fillId="0" borderId="0" xfId="0" applyAlignment="1">
      <alignment horizontal="left" indent="1"/>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0" fillId="0" borderId="0" xfId="0" applyAlignment="1">
      <alignment horizontal="left" indent="7"/>
    </xf>
    <xf numFmtId="0" fontId="0" fillId="0" borderId="0" xfId="0" applyAlignment="1">
      <alignment horizontal="left" wrapText="1" indent="6"/>
    </xf>
    <xf numFmtId="0" fontId="22" fillId="6" borderId="1" xfId="0" applyFont="1" applyFill="1" applyBorder="1" applyAlignment="1">
      <alignment vertical="top" wrapText="1"/>
    </xf>
    <xf numFmtId="0" fontId="23" fillId="0" borderId="0" xfId="0" applyFont="1" applyAlignment="1">
      <alignment vertical="top" wrapText="1"/>
    </xf>
    <xf numFmtId="0" fontId="0" fillId="0" borderId="1" xfId="0" applyFill="1" applyBorder="1" applyAlignment="1">
      <alignment vertical="top" wrapText="1"/>
    </xf>
    <xf numFmtId="0" fontId="24" fillId="0" borderId="1"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24" fillId="0" borderId="1" xfId="0" applyFont="1" applyBorder="1" applyAlignment="1">
      <alignment vertical="top" wrapText="1"/>
    </xf>
    <xf numFmtId="0" fontId="0" fillId="0" borderId="0" xfId="0" applyFill="1" applyAlignment="1">
      <alignment vertical="top" wrapText="1"/>
    </xf>
    <xf numFmtId="0" fontId="0" fillId="7" borderId="1" xfId="0" applyFill="1" applyBorder="1" applyAlignment="1">
      <alignment vertical="top" wrapText="1"/>
    </xf>
    <xf numFmtId="0" fontId="0" fillId="8" borderId="1" xfId="0" applyFill="1" applyBorder="1" applyAlignment="1">
      <alignment vertical="top" wrapText="1"/>
    </xf>
    <xf numFmtId="0" fontId="23" fillId="0" borderId="0" xfId="0" applyFont="1"/>
    <xf numFmtId="0" fontId="25" fillId="0" borderId="0" xfId="0" applyFont="1"/>
    <xf numFmtId="0" fontId="26" fillId="0" borderId="0" xfId="0" applyFont="1"/>
    <xf numFmtId="14" fontId="27" fillId="0" borderId="1" xfId="0" applyNumberFormat="1" applyFont="1" applyFill="1" applyBorder="1" applyAlignment="1">
      <alignment horizontal="center"/>
    </xf>
    <xf numFmtId="14" fontId="29" fillId="9" borderId="1" xfId="0" applyNumberFormat="1" applyFont="1" applyFill="1" applyBorder="1" applyAlignment="1">
      <alignment horizontal="center"/>
    </xf>
    <xf numFmtId="0" fontId="25" fillId="10" borderId="1" xfId="0" applyFont="1" applyFill="1" applyBorder="1" applyAlignment="1">
      <alignment horizontal="center"/>
    </xf>
    <xf numFmtId="0" fontId="25" fillId="9" borderId="1" xfId="0" applyFont="1" applyFill="1" applyBorder="1" applyAlignment="1">
      <alignment horizontal="center"/>
    </xf>
    <xf numFmtId="0" fontId="25" fillId="9" borderId="12" xfId="0" applyFont="1" applyFill="1" applyBorder="1" applyAlignment="1">
      <alignment horizontal="center"/>
    </xf>
    <xf numFmtId="0" fontId="26" fillId="0" borderId="1" xfId="0" applyFont="1" applyFill="1" applyBorder="1"/>
    <xf numFmtId="0" fontId="30" fillId="0" borderId="1" xfId="0" applyFont="1" applyFill="1" applyBorder="1"/>
    <xf numFmtId="1" fontId="26" fillId="0" borderId="1" xfId="0" applyNumberFormat="1" applyFont="1" applyFill="1" applyBorder="1"/>
    <xf numFmtId="0" fontId="31" fillId="0" borderId="1" xfId="0" applyFont="1" applyFill="1" applyBorder="1"/>
    <xf numFmtId="3" fontId="26" fillId="0" borderId="1" xfId="0" applyNumberFormat="1" applyFont="1" applyBorder="1"/>
    <xf numFmtId="10" fontId="26" fillId="0" borderId="1" xfId="0" applyNumberFormat="1" applyFont="1" applyBorder="1" applyAlignment="1"/>
    <xf numFmtId="0" fontId="26" fillId="0" borderId="11" xfId="0" applyFont="1" applyFill="1" applyBorder="1"/>
    <xf numFmtId="0" fontId="31" fillId="0" borderId="11" xfId="0" applyFont="1" applyFill="1" applyBorder="1"/>
    <xf numFmtId="1" fontId="26" fillId="0" borderId="11" xfId="0" applyNumberFormat="1" applyFont="1" applyFill="1" applyBorder="1"/>
    <xf numFmtId="3" fontId="26" fillId="0" borderId="11" xfId="0" applyNumberFormat="1" applyFont="1" applyBorder="1"/>
    <xf numFmtId="10" fontId="26" fillId="0" borderId="11" xfId="0" applyNumberFormat="1" applyFont="1" applyBorder="1" applyAlignment="1"/>
    <xf numFmtId="3" fontId="26" fillId="10" borderId="1" xfId="0" quotePrefix="1" applyNumberFormat="1" applyFont="1" applyFill="1" applyBorder="1" applyAlignment="1">
      <alignment horizontal="right"/>
    </xf>
    <xf numFmtId="0" fontId="25" fillId="0" borderId="11" xfId="0" applyFont="1" applyFill="1" applyBorder="1"/>
    <xf numFmtId="0" fontId="34" fillId="0" borderId="11" xfId="0" applyFont="1" applyFill="1" applyBorder="1"/>
    <xf numFmtId="1" fontId="25" fillId="0" borderId="11" xfId="0" applyNumberFormat="1" applyFont="1" applyFill="1" applyBorder="1"/>
    <xf numFmtId="3" fontId="25" fillId="0" borderId="11" xfId="0" applyNumberFormat="1" applyFont="1" applyBorder="1"/>
    <xf numFmtId="10" fontId="25" fillId="0" borderId="11" xfId="0" applyNumberFormat="1" applyFont="1" applyBorder="1" applyAlignment="1"/>
    <xf numFmtId="3" fontId="25" fillId="10" borderId="1" xfId="0" quotePrefix="1" applyNumberFormat="1" applyFont="1" applyFill="1" applyBorder="1" applyAlignment="1">
      <alignment horizontal="right"/>
    </xf>
    <xf numFmtId="3" fontId="26" fillId="0" borderId="1" xfId="0" applyNumberFormat="1" applyFont="1" applyBorder="1" applyAlignment="1"/>
    <xf numFmtId="10" fontId="26" fillId="10" borderId="1" xfId="0" quotePrefix="1" applyNumberFormat="1" applyFont="1" applyFill="1" applyBorder="1" applyAlignment="1">
      <alignment horizontal="right"/>
    </xf>
    <xf numFmtId="0" fontId="26" fillId="7" borderId="0" xfId="0" applyFont="1" applyFill="1"/>
    <xf numFmtId="0" fontId="31" fillId="7" borderId="11" xfId="0" applyFont="1" applyFill="1" applyBorder="1"/>
    <xf numFmtId="1" fontId="26" fillId="7" borderId="1" xfId="0" applyNumberFormat="1" applyFont="1" applyFill="1" applyBorder="1"/>
    <xf numFmtId="0" fontId="25" fillId="0" borderId="1" xfId="0" applyFont="1" applyFill="1" applyBorder="1"/>
    <xf numFmtId="0" fontId="34" fillId="0" borderId="1" xfId="0" applyFont="1" applyFill="1" applyBorder="1"/>
    <xf numFmtId="1" fontId="25" fillId="0" borderId="1" xfId="0" applyNumberFormat="1" applyFont="1" applyFill="1" applyBorder="1"/>
    <xf numFmtId="3" fontId="25" fillId="0" borderId="1" xfId="0" applyNumberFormat="1" applyFont="1" applyBorder="1"/>
    <xf numFmtId="10" fontId="25" fillId="0" borderId="1" xfId="0" applyNumberFormat="1" applyFont="1" applyBorder="1" applyAlignment="1"/>
    <xf numFmtId="0" fontId="31" fillId="7" borderId="1" xfId="0" applyFont="1" applyFill="1" applyBorder="1"/>
    <xf numFmtId="0" fontId="35" fillId="0" borderId="1" xfId="0" applyFont="1" applyFill="1" applyBorder="1"/>
    <xf numFmtId="3" fontId="26" fillId="0" borderId="1" xfId="0" applyNumberFormat="1" applyFont="1" applyFill="1" applyBorder="1"/>
    <xf numFmtId="3" fontId="25" fillId="0" borderId="1" xfId="0" applyNumberFormat="1" applyFont="1" applyFill="1" applyBorder="1"/>
    <xf numFmtId="0" fontId="26" fillId="10" borderId="1" xfId="0" applyFont="1" applyFill="1" applyBorder="1"/>
    <xf numFmtId="0" fontId="30" fillId="10" borderId="1" xfId="0" applyFont="1" applyFill="1" applyBorder="1"/>
    <xf numFmtId="3" fontId="26" fillId="10" borderId="1" xfId="0" applyNumberFormat="1" applyFont="1" applyFill="1" applyBorder="1"/>
    <xf numFmtId="3" fontId="25" fillId="0" borderId="12" xfId="0" applyNumberFormat="1" applyFont="1" applyFill="1" applyBorder="1"/>
    <xf numFmtId="0" fontId="31" fillId="10" borderId="1" xfId="0" applyFont="1" applyFill="1" applyBorder="1"/>
    <xf numFmtId="0" fontId="26" fillId="10" borderId="1" xfId="0" applyFont="1" applyFill="1" applyBorder="1" applyAlignment="1"/>
    <xf numFmtId="0" fontId="0" fillId="10" borderId="1" xfId="0" applyFill="1" applyBorder="1" applyAlignment="1"/>
    <xf numFmtId="3" fontId="25" fillId="10" borderId="1" xfId="0" applyNumberFormat="1" applyFont="1" applyFill="1" applyBorder="1"/>
    <xf numFmtId="0" fontId="26" fillId="9" borderId="1" xfId="0" applyFont="1" applyFill="1" applyBorder="1"/>
    <xf numFmtId="0" fontId="25" fillId="10" borderId="1" xfId="0" applyFont="1" applyFill="1" applyBorder="1" applyAlignment="1"/>
    <xf numFmtId="0" fontId="36" fillId="0" borderId="1" xfId="0" applyFont="1" applyFill="1" applyBorder="1" applyAlignment="1"/>
    <xf numFmtId="3" fontId="26" fillId="7" borderId="11" xfId="0" applyNumberFormat="1" applyFont="1" applyFill="1" applyBorder="1"/>
    <xf numFmtId="3" fontId="25" fillId="7" borderId="11" xfId="0" applyNumberFormat="1" applyFont="1" applyFill="1" applyBorder="1"/>
    <xf numFmtId="10" fontId="26" fillId="0" borderId="10" xfId="0" applyNumberFormat="1" applyFont="1" applyBorder="1" applyAlignment="1"/>
    <xf numFmtId="10" fontId="25" fillId="0" borderId="10" xfId="0" applyNumberFormat="1" applyFont="1" applyBorder="1" applyAlignment="1"/>
    <xf numFmtId="1" fontId="26" fillId="7" borderId="11" xfId="0" applyNumberFormat="1" applyFont="1" applyFill="1" applyBorder="1"/>
    <xf numFmtId="0" fontId="26" fillId="10" borderId="3" xfId="0" applyFont="1" applyFill="1" applyBorder="1" applyAlignment="1"/>
    <xf numFmtId="0" fontId="26" fillId="10" borderId="8" xfId="0" applyFont="1" applyFill="1" applyBorder="1" applyAlignment="1"/>
    <xf numFmtId="3" fontId="25" fillId="10" borderId="9" xfId="0" applyNumberFormat="1" applyFont="1" applyFill="1" applyBorder="1"/>
    <xf numFmtId="0" fontId="30" fillId="0" borderId="1" xfId="0" applyFont="1" applyBorder="1"/>
    <xf numFmtId="0" fontId="26" fillId="0" borderId="1" xfId="0" applyFont="1" applyBorder="1"/>
    <xf numFmtId="0" fontId="31" fillId="0" borderId="1" xfId="0" applyFont="1" applyBorder="1"/>
    <xf numFmtId="0" fontId="25" fillId="0" borderId="1" xfId="0" applyFont="1" applyFill="1" applyBorder="1" applyAlignment="1"/>
    <xf numFmtId="0" fontId="0" fillId="10" borderId="14" xfId="0" applyFill="1" applyBorder="1" applyAlignment="1"/>
    <xf numFmtId="0" fontId="0" fillId="10" borderId="9" xfId="0" applyFill="1" applyBorder="1" applyAlignment="1"/>
    <xf numFmtId="1" fontId="26" fillId="0" borderId="1" xfId="0" applyNumberFormat="1" applyFont="1" applyBorder="1"/>
    <xf numFmtId="0" fontId="34" fillId="0" borderId="1" xfId="0" applyFont="1" applyBorder="1"/>
    <xf numFmtId="1" fontId="25" fillId="0" borderId="1" xfId="0" applyNumberFormat="1" applyFont="1" applyBorder="1"/>
    <xf numFmtId="3" fontId="26" fillId="0" borderId="10" xfId="0" applyNumberFormat="1" applyFont="1" applyBorder="1"/>
    <xf numFmtId="0" fontId="35" fillId="0" borderId="1" xfId="0" applyFont="1" applyBorder="1"/>
    <xf numFmtId="0" fontId="26" fillId="10" borderId="9" xfId="0" applyFont="1" applyFill="1" applyBorder="1" applyAlignment="1"/>
    <xf numFmtId="0" fontId="26" fillId="11" borderId="29" xfId="0" applyFont="1" applyFill="1" applyBorder="1"/>
    <xf numFmtId="0" fontId="26" fillId="0" borderId="10" xfId="0" applyFont="1" applyBorder="1"/>
    <xf numFmtId="1" fontId="26" fillId="0" borderId="10" xfId="0" applyNumberFormat="1" applyFont="1" applyBorder="1"/>
    <xf numFmtId="0" fontId="25" fillId="9" borderId="1" xfId="0" applyFont="1" applyFill="1" applyBorder="1"/>
    <xf numFmtId="0" fontId="35" fillId="11" borderId="29" xfId="0" applyFont="1" applyFill="1" applyBorder="1"/>
    <xf numFmtId="0" fontId="35" fillId="0" borderId="29" xfId="0" applyFont="1" applyFill="1" applyBorder="1"/>
    <xf numFmtId="0" fontId="35" fillId="0" borderId="29" xfId="0" applyFont="1" applyBorder="1"/>
    <xf numFmtId="0" fontId="35" fillId="11" borderId="10" xfId="0" applyFont="1" applyFill="1" applyBorder="1"/>
    <xf numFmtId="0" fontId="35" fillId="0" borderId="10" xfId="0" applyFont="1" applyBorder="1"/>
    <xf numFmtId="0" fontId="35" fillId="9" borderId="1" xfId="0" applyFont="1" applyFill="1" applyBorder="1"/>
    <xf numFmtId="0" fontId="26" fillId="11" borderId="0" xfId="0" applyFont="1" applyFill="1" applyAlignment="1">
      <alignment horizontal="right"/>
    </xf>
    <xf numFmtId="0" fontId="26" fillId="9" borderId="13" xfId="0" applyFont="1" applyFill="1" applyBorder="1"/>
    <xf numFmtId="3" fontId="25" fillId="12" borderId="30" xfId="0" applyNumberFormat="1" applyFont="1" applyFill="1" applyBorder="1"/>
    <xf numFmtId="3" fontId="26" fillId="11" borderId="0" xfId="0" applyNumberFormat="1" applyFont="1" applyFill="1" applyBorder="1"/>
    <xf numFmtId="0" fontId="26" fillId="11" borderId="1" xfId="0" applyFont="1" applyFill="1" applyBorder="1" applyAlignment="1">
      <alignment horizontal="right"/>
    </xf>
    <xf numFmtId="1" fontId="25" fillId="12" borderId="30" xfId="0" applyNumberFormat="1" applyFont="1" applyFill="1" applyBorder="1"/>
    <xf numFmtId="3" fontId="25" fillId="11" borderId="9" xfId="0" applyNumberFormat="1" applyFont="1" applyFill="1" applyBorder="1"/>
    <xf numFmtId="0" fontId="33" fillId="9" borderId="11" xfId="0" applyFont="1" applyFill="1" applyBorder="1"/>
    <xf numFmtId="1" fontId="33" fillId="9" borderId="11" xfId="0" applyNumberFormat="1" applyFont="1" applyFill="1" applyBorder="1"/>
    <xf numFmtId="3" fontId="32" fillId="11" borderId="1" xfId="0" applyNumberFormat="1" applyFont="1" applyFill="1" applyBorder="1"/>
    <xf numFmtId="3" fontId="32" fillId="13" borderId="1" xfId="0" applyNumberFormat="1" applyFont="1" applyFill="1" applyBorder="1"/>
    <xf numFmtId="0" fontId="25" fillId="9" borderId="1" xfId="0" applyFont="1" applyFill="1" applyBorder="1" applyAlignment="1">
      <alignment horizontal="right"/>
    </xf>
    <xf numFmtId="0" fontId="33" fillId="9" borderId="1" xfId="0" applyFont="1" applyFill="1" applyBorder="1"/>
    <xf numFmtId="1" fontId="33" fillId="9" borderId="1" xfId="0" applyNumberFormat="1" applyFont="1" applyFill="1" applyBorder="1"/>
    <xf numFmtId="3" fontId="32" fillId="9" borderId="1" xfId="0" applyNumberFormat="1" applyFont="1" applyFill="1" applyBorder="1"/>
    <xf numFmtId="3" fontId="33" fillId="9" borderId="1" xfId="0" applyNumberFormat="1" applyFont="1" applyFill="1" applyBorder="1"/>
    <xf numFmtId="0" fontId="35" fillId="0" borderId="0" xfId="0" applyFont="1" applyFill="1" applyBorder="1"/>
    <xf numFmtId="3" fontId="37" fillId="7" borderId="31" xfId="0" applyNumberFormat="1" applyFont="1" applyFill="1" applyBorder="1" applyAlignment="1">
      <alignment horizontal="left" wrapText="1" readingOrder="1"/>
    </xf>
    <xf numFmtId="3" fontId="37" fillId="7" borderId="31" xfId="0" applyNumberFormat="1" applyFont="1" applyFill="1" applyBorder="1" applyAlignment="1">
      <alignment horizontal="left" vertical="center" wrapText="1" readingOrder="1"/>
    </xf>
    <xf numFmtId="3" fontId="0" fillId="0" borderId="0" xfId="0" applyNumberFormat="1"/>
    <xf numFmtId="2" fontId="23" fillId="0" borderId="0" xfId="0" applyNumberFormat="1" applyFont="1"/>
    <xf numFmtId="0" fontId="32" fillId="9" borderId="11" xfId="0" applyFont="1" applyFill="1" applyBorder="1"/>
    <xf numFmtId="0" fontId="31" fillId="0" borderId="11" xfId="0" applyFont="1" applyBorder="1"/>
    <xf numFmtId="1" fontId="26" fillId="0" borderId="11" xfId="0" applyNumberFormat="1" applyFont="1" applyBorder="1"/>
    <xf numFmtId="0" fontId="38" fillId="9" borderId="1" xfId="0" applyFont="1" applyFill="1" applyBorder="1"/>
    <xf numFmtId="0" fontId="34" fillId="0" borderId="11" xfId="0" applyFont="1" applyBorder="1"/>
    <xf numFmtId="1" fontId="25" fillId="0" borderId="11" xfId="0" applyNumberFormat="1" applyFont="1" applyBorder="1"/>
    <xf numFmtId="0" fontId="32" fillId="9" borderId="1" xfId="0" applyFont="1" applyFill="1" applyBorder="1" applyAlignment="1">
      <alignment horizontal="right"/>
    </xf>
    <xf numFmtId="0" fontId="39" fillId="0" borderId="0" xfId="0" applyFont="1"/>
    <xf numFmtId="0" fontId="0" fillId="0" borderId="1" xfId="0" applyBorder="1"/>
    <xf numFmtId="0" fontId="0" fillId="14" borderId="1" xfId="0" applyFill="1" applyBorder="1" applyAlignment="1">
      <alignment horizontal="left"/>
    </xf>
    <xf numFmtId="0" fontId="0" fillId="14" borderId="1" xfId="0" applyFill="1" applyBorder="1" applyAlignment="1"/>
    <xf numFmtId="0" fontId="0" fillId="14" borderId="0" xfId="0" applyFill="1" applyBorder="1" applyAlignment="1">
      <alignment horizontal="left"/>
    </xf>
    <xf numFmtId="17" fontId="0" fillId="10" borderId="1" xfId="0" applyNumberFormat="1" applyFill="1" applyBorder="1"/>
    <xf numFmtId="3" fontId="0" fillId="0" borderId="1" xfId="0" applyNumberFormat="1" applyBorder="1"/>
    <xf numFmtId="3" fontId="0" fillId="0" borderId="0" xfId="0" applyNumberFormat="1" applyBorder="1"/>
    <xf numFmtId="0" fontId="0" fillId="0" borderId="0" xfId="0" applyFill="1" applyAlignment="1">
      <alignment horizontal="center"/>
    </xf>
    <xf numFmtId="9" fontId="0" fillId="0" borderId="0" xfId="0" applyNumberFormat="1" applyFill="1" applyAlignment="1">
      <alignment horizontal="center"/>
    </xf>
    <xf numFmtId="9" fontId="0" fillId="0" borderId="0" xfId="0" applyNumberFormat="1" applyFill="1"/>
    <xf numFmtId="3" fontId="0" fillId="0" borderId="1" xfId="0" applyNumberFormat="1" applyFill="1" applyBorder="1"/>
    <xf numFmtId="3" fontId="0" fillId="0" borderId="0" xfId="0" applyNumberFormat="1" applyFill="1" applyBorder="1"/>
    <xf numFmtId="9" fontId="0" fillId="0" borderId="0" xfId="0" applyNumberFormat="1"/>
    <xf numFmtId="3" fontId="0" fillId="7" borderId="1" xfId="0" applyNumberFormat="1" applyFill="1" applyBorder="1"/>
    <xf numFmtId="0" fontId="0" fillId="0" borderId="0" xfId="0" applyAlignment="1">
      <alignment horizontal="center"/>
    </xf>
    <xf numFmtId="9" fontId="0" fillId="0" borderId="0" xfId="0" applyNumberFormat="1" applyAlignment="1">
      <alignment horizontal="center"/>
    </xf>
    <xf numFmtId="3" fontId="0" fillId="0" borderId="8" xfId="0" applyNumberFormat="1" applyBorder="1"/>
    <xf numFmtId="9" fontId="0" fillId="0" borderId="0" xfId="0" applyNumberFormat="1" applyFill="1" applyBorder="1"/>
    <xf numFmtId="10" fontId="41" fillId="0" borderId="0" xfId="23" applyNumberFormat="1" applyFont="1"/>
    <xf numFmtId="3" fontId="0" fillId="0" borderId="8" xfId="0" applyNumberFormat="1" applyFill="1" applyBorder="1"/>
    <xf numFmtId="3" fontId="0" fillId="0" borderId="0" xfId="0" applyNumberFormat="1" applyFill="1"/>
    <xf numFmtId="9" fontId="0" fillId="15" borderId="0" xfId="0" applyNumberFormat="1" applyFill="1"/>
    <xf numFmtId="3" fontId="0" fillId="0" borderId="3" xfId="0" applyNumberFormat="1" applyFill="1" applyBorder="1"/>
    <xf numFmtId="17" fontId="0" fillId="10" borderId="0" xfId="0" applyNumberFormat="1" applyFill="1" applyBorder="1"/>
    <xf numFmtId="17" fontId="0" fillId="10" borderId="3" xfId="0" applyNumberFormat="1" applyFill="1" applyBorder="1"/>
    <xf numFmtId="3" fontId="0" fillId="0" borderId="9" xfId="0" applyNumberFormat="1" applyFill="1" applyBorder="1"/>
    <xf numFmtId="0" fontId="41" fillId="0" borderId="0" xfId="0" applyFont="1"/>
    <xf numFmtId="0" fontId="0" fillId="16" borderId="1" xfId="0" applyFill="1" applyBorder="1"/>
    <xf numFmtId="0" fontId="0" fillId="16" borderId="1" xfId="0" applyFill="1" applyBorder="1" applyAlignment="1">
      <alignment horizontal="center"/>
    </xf>
    <xf numFmtId="0" fontId="23" fillId="10" borderId="1" xfId="0" applyFont="1" applyFill="1" applyBorder="1" applyAlignment="1">
      <alignment horizontal="center"/>
    </xf>
    <xf numFmtId="0" fontId="0" fillId="0" borderId="10" xfId="0" applyBorder="1"/>
    <xf numFmtId="3" fontId="0" fillId="0" borderId="10" xfId="0" applyNumberFormat="1" applyBorder="1"/>
    <xf numFmtId="9" fontId="23" fillId="0" borderId="0" xfId="0" applyNumberFormat="1" applyFont="1" applyBorder="1"/>
    <xf numFmtId="0" fontId="43" fillId="17" borderId="38" xfId="0" applyFont="1" applyFill="1" applyBorder="1" applyAlignment="1">
      <alignment horizontal="center"/>
    </xf>
    <xf numFmtId="0" fontId="43" fillId="17" borderId="1" xfId="0" applyFont="1" applyFill="1" applyBorder="1" applyAlignment="1">
      <alignment horizontal="center"/>
    </xf>
    <xf numFmtId="0" fontId="43" fillId="17" borderId="39" xfId="0" applyFont="1" applyFill="1" applyBorder="1" applyAlignment="1">
      <alignment horizontal="center"/>
    </xf>
    <xf numFmtId="9" fontId="0" fillId="0" borderId="1" xfId="0" applyNumberFormat="1" applyBorder="1"/>
    <xf numFmtId="0" fontId="44" fillId="0" borderId="5" xfId="0" applyFont="1" applyBorder="1"/>
    <xf numFmtId="3" fontId="44" fillId="0" borderId="4" xfId="0" applyNumberFormat="1" applyFont="1" applyBorder="1"/>
    <xf numFmtId="0" fontId="42" fillId="17" borderId="38" xfId="0" applyFont="1" applyFill="1" applyBorder="1"/>
    <xf numFmtId="3" fontId="42" fillId="17" borderId="1" xfId="0" applyNumberFormat="1" applyFont="1" applyFill="1" applyBorder="1"/>
    <xf numFmtId="9" fontId="42" fillId="17" borderId="39" xfId="0" applyNumberFormat="1" applyFont="1" applyFill="1" applyBorder="1"/>
    <xf numFmtId="9" fontId="23" fillId="0" borderId="1" xfId="0" applyNumberFormat="1" applyFont="1" applyBorder="1"/>
    <xf numFmtId="9" fontId="23" fillId="0" borderId="0" xfId="0" applyNumberFormat="1" applyFont="1"/>
    <xf numFmtId="0" fontId="42" fillId="17" borderId="40" xfId="0" applyFont="1" applyFill="1" applyBorder="1"/>
    <xf numFmtId="3" fontId="42" fillId="17" borderId="29" xfId="0" applyNumberFormat="1" applyFont="1" applyFill="1" applyBorder="1"/>
    <xf numFmtId="9" fontId="42" fillId="17" borderId="41" xfId="0" applyNumberFormat="1" applyFont="1" applyFill="1" applyBorder="1"/>
    <xf numFmtId="0" fontId="0" fillId="0" borderId="0" xfId="0" applyBorder="1"/>
    <xf numFmtId="0" fontId="45" fillId="0" borderId="0" xfId="0" applyFont="1"/>
    <xf numFmtId="0" fontId="46" fillId="4" borderId="6" xfId="24" applyFont="1"/>
    <xf numFmtId="0" fontId="23" fillId="0" borderId="1" xfId="0" applyFont="1" applyBorder="1"/>
    <xf numFmtId="0" fontId="23" fillId="5" borderId="1" xfId="26" applyFont="1" applyBorder="1"/>
    <xf numFmtId="0" fontId="23" fillId="19" borderId="1" xfId="0" applyFont="1" applyFill="1" applyBorder="1"/>
    <xf numFmtId="0" fontId="23" fillId="0" borderId="19" xfId="0" applyFont="1" applyFill="1" applyBorder="1"/>
    <xf numFmtId="0" fontId="23" fillId="19" borderId="19" xfId="0" applyFont="1" applyFill="1" applyBorder="1"/>
    <xf numFmtId="0" fontId="23" fillId="19" borderId="11" xfId="0" applyFont="1" applyFill="1" applyBorder="1"/>
    <xf numFmtId="0" fontId="23" fillId="0" borderId="15" xfId="0" applyFont="1" applyFill="1" applyBorder="1"/>
    <xf numFmtId="0" fontId="23" fillId="19" borderId="15" xfId="0" applyFont="1" applyFill="1" applyBorder="1"/>
    <xf numFmtId="0" fontId="23" fillId="0" borderId="13" xfId="0" applyFont="1" applyFill="1" applyBorder="1"/>
    <xf numFmtId="0" fontId="23" fillId="5" borderId="3" xfId="26" applyFont="1" applyBorder="1"/>
    <xf numFmtId="0" fontId="0" fillId="19" borderId="1" xfId="0" applyFill="1" applyBorder="1"/>
    <xf numFmtId="0" fontId="47" fillId="4" borderId="6" xfId="24" applyFont="1"/>
    <xf numFmtId="0" fontId="2" fillId="5" borderId="3" xfId="26" applyBorder="1"/>
    <xf numFmtId="0" fontId="31" fillId="19" borderId="1" xfId="0" applyFont="1" applyFill="1" applyBorder="1"/>
    <xf numFmtId="0" fontId="40" fillId="19" borderId="11" xfId="0" applyFont="1" applyFill="1" applyBorder="1"/>
    <xf numFmtId="0" fontId="40" fillId="0" borderId="11" xfId="0" applyFont="1" applyFill="1" applyBorder="1"/>
    <xf numFmtId="0" fontId="45" fillId="0" borderId="11" xfId="0" applyFont="1" applyFill="1" applyBorder="1"/>
    <xf numFmtId="0" fontId="45" fillId="19" borderId="11" xfId="0" applyFont="1" applyFill="1" applyBorder="1"/>
    <xf numFmtId="0" fontId="45" fillId="0" borderId="13" xfId="0" applyFont="1" applyFill="1" applyBorder="1"/>
    <xf numFmtId="0" fontId="45" fillId="19" borderId="1" xfId="0" applyFont="1" applyFill="1" applyBorder="1"/>
    <xf numFmtId="0" fontId="40" fillId="19" borderId="1" xfId="0" applyFont="1" applyFill="1" applyBorder="1"/>
    <xf numFmtId="0" fontId="40" fillId="0" borderId="1" xfId="0" applyFont="1" applyFill="1" applyBorder="1"/>
    <xf numFmtId="0" fontId="45" fillId="0" borderId="1" xfId="0" applyFont="1" applyFill="1" applyBorder="1"/>
    <xf numFmtId="0" fontId="45" fillId="0" borderId="3" xfId="0" applyFont="1" applyFill="1" applyBorder="1"/>
    <xf numFmtId="1" fontId="26" fillId="19" borderId="1" xfId="0" applyNumberFormat="1" applyFont="1" applyFill="1" applyBorder="1"/>
    <xf numFmtId="1" fontId="48" fillId="0" borderId="1" xfId="0" applyNumberFormat="1" applyFont="1" applyFill="1" applyBorder="1"/>
    <xf numFmtId="1" fontId="48" fillId="19" borderId="1" xfId="0" applyNumberFormat="1" applyFont="1" applyFill="1" applyBorder="1"/>
    <xf numFmtId="1" fontId="49" fillId="19" borderId="11" xfId="0" applyNumberFormat="1" applyFont="1" applyFill="1" applyBorder="1"/>
    <xf numFmtId="1" fontId="49" fillId="0" borderId="11" xfId="0" applyNumberFormat="1" applyFont="1" applyFill="1" applyBorder="1"/>
    <xf numFmtId="1" fontId="49" fillId="0" borderId="13" xfId="0" applyNumberFormat="1" applyFont="1" applyFill="1" applyBorder="1"/>
    <xf numFmtId="1" fontId="49" fillId="19" borderId="1" xfId="0" applyNumberFormat="1" applyFont="1" applyFill="1" applyBorder="1"/>
    <xf numFmtId="1" fontId="49" fillId="0" borderId="1" xfId="0" applyNumberFormat="1" applyFont="1" applyFill="1" applyBorder="1"/>
    <xf numFmtId="1" fontId="49" fillId="0" borderId="3" xfId="0" applyNumberFormat="1" applyFont="1" applyFill="1" applyBorder="1"/>
    <xf numFmtId="0" fontId="0" fillId="0" borderId="19" xfId="0" applyFill="1" applyBorder="1"/>
    <xf numFmtId="0" fontId="0" fillId="19" borderId="19" xfId="0" applyFill="1" applyBorder="1"/>
    <xf numFmtId="0" fontId="12" fillId="20" borderId="7" xfId="25" applyFill="1"/>
    <xf numFmtId="0" fontId="12" fillId="0" borderId="7" xfId="25"/>
    <xf numFmtId="0" fontId="12" fillId="19" borderId="7" xfId="25" applyFill="1"/>
    <xf numFmtId="0" fontId="23" fillId="19" borderId="7" xfId="25" applyFont="1" applyFill="1"/>
    <xf numFmtId="0" fontId="23" fillId="0" borderId="42" xfId="25" applyFont="1" applyBorder="1"/>
    <xf numFmtId="0" fontId="23" fillId="19" borderId="43" xfId="25" applyFont="1" applyFill="1" applyBorder="1"/>
    <xf numFmtId="0" fontId="23" fillId="0" borderId="43" xfId="25" applyFont="1" applyBorder="1"/>
    <xf numFmtId="1" fontId="2" fillId="5" borderId="3" xfId="26" applyNumberFormat="1" applyBorder="1"/>
    <xf numFmtId="0" fontId="0" fillId="0" borderId="4" xfId="0" applyFill="1" applyBorder="1"/>
    <xf numFmtId="0" fontId="0" fillId="19" borderId="4" xfId="0" applyFill="1" applyBorder="1"/>
    <xf numFmtId="0" fontId="12" fillId="18" borderId="7" xfId="25" applyFill="1"/>
    <xf numFmtId="0" fontId="23" fillId="19" borderId="42" xfId="25" applyFont="1" applyFill="1" applyBorder="1"/>
    <xf numFmtId="0" fontId="23" fillId="19" borderId="44" xfId="25" applyFont="1" applyFill="1" applyBorder="1"/>
    <xf numFmtId="0" fontId="23" fillId="19" borderId="45" xfId="25" applyFont="1" applyFill="1" applyBorder="1"/>
    <xf numFmtId="0" fontId="0" fillId="0" borderId="45" xfId="0" applyBorder="1"/>
    <xf numFmtId="0" fontId="2" fillId="5" borderId="46" xfId="26" applyBorder="1"/>
    <xf numFmtId="0" fontId="0" fillId="19" borderId="45" xfId="0" applyFill="1" applyBorder="1"/>
    <xf numFmtId="0" fontId="40" fillId="19" borderId="45" xfId="0" applyFont="1" applyFill="1" applyBorder="1"/>
    <xf numFmtId="0" fontId="45" fillId="19" borderId="45" xfId="0" applyFont="1" applyFill="1" applyBorder="1"/>
    <xf numFmtId="1" fontId="48" fillId="19" borderId="45" xfId="0" applyNumberFormat="1" applyFont="1" applyFill="1" applyBorder="1"/>
    <xf numFmtId="1" fontId="49" fillId="19" borderId="45" xfId="0" applyNumberFormat="1" applyFont="1" applyFill="1" applyBorder="1"/>
    <xf numFmtId="0" fontId="12" fillId="19" borderId="42" xfId="25" applyFill="1" applyBorder="1"/>
    <xf numFmtId="1" fontId="48" fillId="19" borderId="11" xfId="0" applyNumberFormat="1" applyFont="1" applyFill="1" applyBorder="1"/>
    <xf numFmtId="0" fontId="49" fillId="19" borderId="45" xfId="0" applyFont="1" applyFill="1" applyBorder="1"/>
    <xf numFmtId="0" fontId="49" fillId="19" borderId="11" xfId="0" applyFont="1" applyFill="1" applyBorder="1"/>
    <xf numFmtId="0" fontId="12" fillId="19" borderId="47" xfId="25" applyFill="1" applyBorder="1"/>
    <xf numFmtId="0" fontId="23" fillId="19" borderId="47" xfId="25" applyFont="1" applyFill="1" applyBorder="1"/>
    <xf numFmtId="0" fontId="2" fillId="5" borderId="0" xfId="26"/>
    <xf numFmtId="0" fontId="40" fillId="0" borderId="0" xfId="0" applyFont="1"/>
    <xf numFmtId="0" fontId="50" fillId="0" borderId="48" xfId="0" applyFont="1" applyBorder="1" applyAlignment="1">
      <alignment horizontal="center" vertical="center" wrapText="1" readingOrder="1"/>
    </xf>
    <xf numFmtId="0" fontId="50" fillId="0" borderId="49" xfId="0" applyFont="1" applyBorder="1" applyAlignment="1">
      <alignment horizontal="center" vertical="center" wrapText="1" readingOrder="1"/>
    </xf>
    <xf numFmtId="0" fontId="50" fillId="0" borderId="50" xfId="0" applyFont="1" applyBorder="1" applyAlignment="1">
      <alignment horizontal="center" vertical="center" wrapText="1" readingOrder="1"/>
    </xf>
    <xf numFmtId="0" fontId="50" fillId="0" borderId="51" xfId="0" applyFont="1" applyFill="1" applyBorder="1" applyAlignment="1">
      <alignment horizontal="center" vertical="center" wrapText="1" readingOrder="1"/>
    </xf>
    <xf numFmtId="0" fontId="51" fillId="0" borderId="52" xfId="0" applyFont="1" applyBorder="1" applyAlignment="1">
      <alignment horizontal="center" vertical="center" wrapText="1" readingOrder="1"/>
    </xf>
    <xf numFmtId="3" fontId="51" fillId="0" borderId="53" xfId="0" applyNumberFormat="1" applyFont="1" applyBorder="1" applyAlignment="1">
      <alignment horizontal="center" vertical="center" wrapText="1" readingOrder="1"/>
    </xf>
    <xf numFmtId="3" fontId="51" fillId="0" borderId="54" xfId="0" applyNumberFormat="1" applyFont="1" applyBorder="1" applyAlignment="1">
      <alignment horizontal="center" vertical="center" wrapText="1" readingOrder="1"/>
    </xf>
    <xf numFmtId="9" fontId="51" fillId="0" borderId="54" xfId="0" applyNumberFormat="1" applyFont="1" applyBorder="1" applyAlignment="1">
      <alignment horizontal="center" vertical="center" wrapText="1" readingOrder="1"/>
    </xf>
    <xf numFmtId="9" fontId="40" fillId="0" borderId="0" xfId="23" applyFont="1"/>
    <xf numFmtId="16" fontId="0" fillId="0" borderId="0" xfId="0" applyNumberFormat="1"/>
    <xf numFmtId="3" fontId="52" fillId="12" borderId="55" xfId="0" applyNumberFormat="1" applyFont="1" applyFill="1" applyBorder="1" applyAlignment="1">
      <alignment horizontal="center" vertical="center" wrapText="1" readingOrder="1"/>
    </xf>
    <xf numFmtId="0" fontId="0" fillId="0" borderId="0" xfId="0" applyNumberFormat="1"/>
    <xf numFmtId="165" fontId="0" fillId="0" borderId="0" xfId="0" applyNumberFormat="1"/>
    <xf numFmtId="0" fontId="0" fillId="0" borderId="0" xfId="0" applyBorder="1" applyAlignment="1">
      <alignment horizontal="center"/>
    </xf>
    <xf numFmtId="0" fontId="0" fillId="0" borderId="45" xfId="0" applyBorder="1" applyAlignment="1">
      <alignment horizontal="center"/>
    </xf>
    <xf numFmtId="165" fontId="0" fillId="0" borderId="0" xfId="0" applyNumberFormat="1" applyFill="1" applyBorder="1"/>
    <xf numFmtId="0" fontId="0" fillId="21" borderId="56" xfId="0" applyFill="1" applyBorder="1"/>
    <xf numFmtId="0" fontId="0" fillId="21" borderId="14" xfId="0" applyFill="1" applyBorder="1"/>
    <xf numFmtId="0" fontId="0" fillId="21" borderId="57" xfId="0" applyFill="1" applyBorder="1"/>
    <xf numFmtId="0" fontId="23" fillId="10" borderId="38" xfId="0" applyFont="1" applyFill="1" applyBorder="1" applyAlignment="1">
      <alignment horizontal="center"/>
    </xf>
    <xf numFmtId="0" fontId="0" fillId="10" borderId="45" xfId="0" applyFill="1" applyBorder="1" applyAlignment="1">
      <alignment horizontal="center"/>
    </xf>
    <xf numFmtId="0" fontId="0" fillId="16" borderId="45" xfId="0" applyFill="1" applyBorder="1" applyAlignment="1">
      <alignment horizontal="center"/>
    </xf>
    <xf numFmtId="0" fontId="40" fillId="0" borderId="39" xfId="0" applyFont="1" applyFill="1" applyBorder="1"/>
    <xf numFmtId="3" fontId="40" fillId="0" borderId="39" xfId="0" applyNumberFormat="1" applyFont="1" applyFill="1" applyBorder="1"/>
    <xf numFmtId="0" fontId="23" fillId="10" borderId="45" xfId="0" applyFont="1" applyFill="1" applyBorder="1" applyAlignment="1">
      <alignment horizontal="center"/>
    </xf>
    <xf numFmtId="3" fontId="0" fillId="16" borderId="45" xfId="0" applyNumberFormat="1" applyFill="1" applyBorder="1" applyAlignment="1">
      <alignment horizontal="center"/>
    </xf>
    <xf numFmtId="3" fontId="40" fillId="0" borderId="45" xfId="0" applyNumberFormat="1" applyFont="1" applyBorder="1"/>
    <xf numFmtId="3" fontId="48" fillId="16" borderId="45" xfId="0" applyNumberFormat="1" applyFont="1" applyFill="1" applyBorder="1" applyAlignment="1">
      <alignment horizontal="center"/>
    </xf>
    <xf numFmtId="3" fontId="48" fillId="16" borderId="58" xfId="0" applyNumberFormat="1" applyFont="1" applyFill="1" applyBorder="1" applyAlignment="1">
      <alignment horizontal="center"/>
    </xf>
    <xf numFmtId="3" fontId="0" fillId="0" borderId="0" xfId="0" applyNumberFormat="1" applyBorder="1" applyAlignment="1">
      <alignment horizontal="center"/>
    </xf>
    <xf numFmtId="3" fontId="0" fillId="0" borderId="0" xfId="0" applyNumberFormat="1" applyFill="1" applyBorder="1" applyAlignment="1">
      <alignment horizontal="center"/>
    </xf>
    <xf numFmtId="3" fontId="23" fillId="0" borderId="0" xfId="0" applyNumberFormat="1" applyFont="1" applyBorder="1"/>
    <xf numFmtId="3" fontId="23" fillId="0" borderId="0" xfId="0" applyNumberFormat="1" applyFont="1"/>
    <xf numFmtId="0" fontId="0" fillId="0" borderId="0" xfId="0" applyAlignment="1"/>
    <xf numFmtId="165" fontId="0" fillId="0" borderId="45" xfId="0" applyNumberFormat="1" applyBorder="1" applyAlignment="1">
      <alignment horizontal="center"/>
    </xf>
    <xf numFmtId="0" fontId="23" fillId="0" borderId="45" xfId="0" applyFont="1" applyBorder="1" applyAlignment="1">
      <alignment horizontal="center"/>
    </xf>
    <xf numFmtId="0" fontId="46" fillId="4" borderId="6" xfId="24" applyFont="1" applyAlignment="1">
      <alignment horizontal="center"/>
    </xf>
    <xf numFmtId="3" fontId="0" fillId="0" borderId="45" xfId="0" applyNumberFormat="1" applyBorder="1"/>
    <xf numFmtId="0" fontId="46" fillId="4" borderId="59" xfId="24" applyFont="1" applyBorder="1" applyAlignment="1">
      <alignment horizontal="center"/>
    </xf>
    <xf numFmtId="0" fontId="46" fillId="4" borderId="45" xfId="24" applyFont="1" applyBorder="1" applyAlignment="1">
      <alignment horizontal="center"/>
    </xf>
    <xf numFmtId="0" fontId="46" fillId="4" borderId="0" xfId="24" applyFont="1" applyBorder="1" applyAlignment="1">
      <alignment horizontal="center"/>
    </xf>
    <xf numFmtId="3" fontId="0" fillId="16" borderId="60" xfId="0" applyNumberFormat="1" applyFill="1" applyBorder="1" applyAlignment="1">
      <alignment horizontal="center"/>
    </xf>
    <xf numFmtId="3" fontId="0" fillId="0" borderId="60" xfId="0" applyNumberFormat="1" applyBorder="1"/>
    <xf numFmtId="3" fontId="0" fillId="16" borderId="58" xfId="0" applyNumberFormat="1" applyFill="1" applyBorder="1" applyAlignment="1">
      <alignment horizontal="center"/>
    </xf>
    <xf numFmtId="3" fontId="0" fillId="0" borderId="58" xfId="0" applyNumberFormat="1" applyBorder="1"/>
    <xf numFmtId="0" fontId="46" fillId="4" borderId="46" xfId="24" applyFont="1" applyBorder="1" applyAlignment="1">
      <alignment horizontal="center"/>
    </xf>
    <xf numFmtId="3" fontId="23" fillId="0" borderId="0" xfId="0" applyNumberFormat="1" applyFont="1" applyFill="1" applyBorder="1"/>
    <xf numFmtId="0" fontId="0" fillId="0" borderId="0" xfId="0" applyFill="1" applyBorder="1"/>
    <xf numFmtId="0" fontId="46" fillId="0" borderId="0" xfId="24" applyFont="1" applyFill="1" applyBorder="1" applyAlignment="1">
      <alignment horizontal="center"/>
    </xf>
    <xf numFmtId="17" fontId="0" fillId="0" borderId="0" xfId="0" applyNumberFormat="1" applyBorder="1"/>
    <xf numFmtId="0" fontId="53" fillId="0" borderId="0" xfId="0" applyFont="1"/>
    <xf numFmtId="0" fontId="47" fillId="4" borderId="6" xfId="24" applyFont="1" applyAlignment="1">
      <alignment horizontal="center"/>
    </xf>
    <xf numFmtId="3" fontId="0" fillId="16" borderId="45" xfId="0" applyNumberFormat="1" applyFill="1" applyBorder="1"/>
    <xf numFmtId="0" fontId="47" fillId="4" borderId="61" xfId="24" applyFont="1" applyBorder="1" applyAlignment="1">
      <alignment horizontal="center"/>
    </xf>
    <xf numFmtId="3" fontId="0" fillId="16" borderId="60" xfId="0" applyNumberFormat="1" applyFill="1" applyBorder="1"/>
    <xf numFmtId="3" fontId="0" fillId="0" borderId="62" xfId="0" applyNumberFormat="1" applyBorder="1"/>
    <xf numFmtId="0" fontId="47" fillId="4" borderId="46" xfId="24" applyFont="1" applyBorder="1" applyAlignment="1">
      <alignment horizontal="center"/>
    </xf>
    <xf numFmtId="0" fontId="47" fillId="4" borderId="0" xfId="24" applyFont="1" applyBorder="1" applyAlignment="1">
      <alignment horizontal="center"/>
    </xf>
    <xf numFmtId="3" fontId="54" fillId="0" borderId="0" xfId="0" applyNumberFormat="1" applyFont="1"/>
    <xf numFmtId="0" fontId="46" fillId="4" borderId="63" xfId="24" applyFont="1" applyBorder="1" applyAlignment="1">
      <alignment horizontal="center"/>
    </xf>
    <xf numFmtId="0" fontId="48" fillId="0" borderId="45" xfId="0" applyFont="1" applyFill="1" applyBorder="1"/>
    <xf numFmtId="165" fontId="0" fillId="0" borderId="0" xfId="0" applyNumberFormat="1" applyFill="1" applyBorder="1" applyAlignment="1">
      <alignment horizontal="center"/>
    </xf>
    <xf numFmtId="0" fontId="47" fillId="4" borderId="63" xfId="24" applyFont="1" applyBorder="1" applyAlignment="1">
      <alignment horizontal="center"/>
    </xf>
    <xf numFmtId="3" fontId="48" fillId="16" borderId="45" xfId="0" applyNumberFormat="1" applyFont="1" applyFill="1" applyBorder="1"/>
    <xf numFmtId="3" fontId="48" fillId="16" borderId="60" xfId="0" applyNumberFormat="1" applyFont="1" applyFill="1" applyBorder="1"/>
    <xf numFmtId="0" fontId="47" fillId="4" borderId="45" xfId="24" applyFont="1" applyBorder="1" applyAlignment="1">
      <alignment horizontal="center"/>
    </xf>
    <xf numFmtId="0" fontId="0" fillId="0" borderId="15" xfId="0" applyBorder="1"/>
    <xf numFmtId="49" fontId="0" fillId="10" borderId="58" xfId="0" applyNumberFormat="1" applyFill="1" applyBorder="1" applyAlignment="1">
      <alignment horizontal="center"/>
    </xf>
    <xf numFmtId="49" fontId="0" fillId="10" borderId="45" xfId="0" applyNumberFormat="1" applyFill="1" applyBorder="1" applyAlignment="1">
      <alignment horizontal="center"/>
    </xf>
    <xf numFmtId="0" fontId="0" fillId="22" borderId="45" xfId="0" applyFill="1" applyBorder="1" applyAlignment="1">
      <alignment horizontal="center"/>
    </xf>
    <xf numFmtId="17" fontId="0" fillId="23" borderId="58" xfId="0" applyNumberFormat="1" applyFill="1" applyBorder="1" applyAlignment="1">
      <alignment horizontal="center"/>
    </xf>
    <xf numFmtId="17" fontId="0" fillId="23" borderId="45" xfId="0" applyNumberFormat="1" applyFill="1" applyBorder="1" applyAlignment="1">
      <alignment horizontal="center"/>
    </xf>
    <xf numFmtId="3" fontId="55" fillId="10" borderId="30" xfId="0" applyNumberFormat="1" applyFont="1" applyFill="1" applyBorder="1" applyAlignment="1">
      <alignment horizontal="center"/>
    </xf>
    <xf numFmtId="3" fontId="23" fillId="0" borderId="45" xfId="0" applyNumberFormat="1" applyFont="1" applyBorder="1" applyAlignment="1">
      <alignment horizontal="center"/>
    </xf>
    <xf numFmtId="0" fontId="55" fillId="24" borderId="73" xfId="0" applyFont="1" applyFill="1" applyBorder="1" applyAlignment="1">
      <alignment horizontal="center"/>
    </xf>
    <xf numFmtId="0" fontId="55" fillId="24" borderId="68" xfId="0" applyFont="1" applyFill="1" applyBorder="1" applyAlignment="1">
      <alignment horizontal="center"/>
    </xf>
    <xf numFmtId="0" fontId="55" fillId="24" borderId="72" xfId="0" applyFont="1" applyFill="1" applyBorder="1" applyAlignment="1">
      <alignment horizontal="center"/>
    </xf>
    <xf numFmtId="0" fontId="55" fillId="24" borderId="0" xfId="0" applyFont="1" applyFill="1" applyBorder="1" applyAlignment="1">
      <alignment horizontal="center"/>
    </xf>
    <xf numFmtId="3" fontId="55" fillId="10" borderId="68" xfId="0" applyNumberFormat="1" applyFont="1" applyFill="1" applyBorder="1" applyAlignment="1">
      <alignment horizontal="center"/>
    </xf>
    <xf numFmtId="0" fontId="0" fillId="0" borderId="0" xfId="0" applyAlignment="1">
      <alignment horizontal="right"/>
    </xf>
    <xf numFmtId="0" fontId="12" fillId="0" borderId="0" xfId="0" applyFont="1" applyAlignment="1">
      <alignment horizontal="right"/>
    </xf>
    <xf numFmtId="3" fontId="23" fillId="0" borderId="0" xfId="0" applyNumberFormat="1" applyFont="1" applyAlignment="1"/>
    <xf numFmtId="3" fontId="23" fillId="0" borderId="0" xfId="0" applyNumberFormat="1" applyFont="1" applyAlignment="1">
      <alignment horizontal="right"/>
    </xf>
    <xf numFmtId="0" fontId="23" fillId="0" borderId="0" xfId="0" applyFont="1" applyBorder="1" applyAlignment="1">
      <alignment horizontal="center"/>
    </xf>
    <xf numFmtId="0" fontId="23" fillId="10" borderId="74" xfId="0" applyFont="1" applyFill="1" applyBorder="1" applyAlignment="1">
      <alignment horizontal="center"/>
    </xf>
    <xf numFmtId="0" fontId="23" fillId="10" borderId="75" xfId="0" applyFont="1" applyFill="1" applyBorder="1" applyAlignment="1">
      <alignment horizontal="center"/>
    </xf>
    <xf numFmtId="0" fontId="23" fillId="10" borderId="70" xfId="0" applyFont="1" applyFill="1" applyBorder="1" applyAlignment="1">
      <alignment horizontal="center"/>
    </xf>
    <xf numFmtId="0" fontId="0" fillId="10" borderId="0" xfId="0" applyFill="1" applyBorder="1" applyAlignment="1"/>
    <xf numFmtId="16" fontId="0" fillId="10" borderId="45" xfId="0" applyNumberFormat="1" applyFill="1" applyBorder="1" applyAlignment="1">
      <alignment horizontal="center"/>
    </xf>
    <xf numFmtId="16" fontId="0" fillId="10" borderId="45" xfId="0" applyNumberFormat="1" applyFont="1" applyFill="1" applyBorder="1" applyAlignment="1">
      <alignment horizontal="center"/>
    </xf>
    <xf numFmtId="166" fontId="0" fillId="10" borderId="45" xfId="0" applyNumberFormat="1" applyFill="1" applyBorder="1" applyAlignment="1">
      <alignment horizontal="center"/>
    </xf>
    <xf numFmtId="0" fontId="0" fillId="14" borderId="38" xfId="0" applyFill="1" applyBorder="1" applyAlignment="1">
      <alignment horizontal="left"/>
    </xf>
    <xf numFmtId="3" fontId="0" fillId="25" borderId="45" xfId="0" applyNumberFormat="1" applyFill="1" applyBorder="1" applyAlignment="1">
      <alignment horizontal="center"/>
    </xf>
    <xf numFmtId="3" fontId="0" fillId="0" borderId="45" xfId="0" applyNumberFormat="1" applyBorder="1" applyAlignment="1">
      <alignment horizontal="center"/>
    </xf>
    <xf numFmtId="3" fontId="0" fillId="0" borderId="71" xfId="0" applyNumberFormat="1" applyFill="1" applyBorder="1" applyAlignment="1">
      <alignment horizontal="center"/>
    </xf>
    <xf numFmtId="0" fontId="0" fillId="0" borderId="45" xfId="0" applyFill="1" applyBorder="1" applyAlignment="1">
      <alignment horizontal="center"/>
    </xf>
    <xf numFmtId="3" fontId="0" fillId="0" borderId="45" xfId="0" applyNumberFormat="1" applyFill="1" applyBorder="1" applyAlignment="1">
      <alignment horizontal="center"/>
    </xf>
    <xf numFmtId="0" fontId="0" fillId="0" borderId="60" xfId="0" applyFill="1" applyBorder="1" applyAlignment="1">
      <alignment horizontal="center"/>
    </xf>
    <xf numFmtId="0" fontId="0" fillId="0" borderId="46" xfId="0" applyFill="1" applyBorder="1" applyAlignment="1">
      <alignment horizontal="center"/>
    </xf>
    <xf numFmtId="0" fontId="0" fillId="0" borderId="58" xfId="0" applyFill="1" applyBorder="1" applyAlignment="1">
      <alignment horizontal="center"/>
    </xf>
    <xf numFmtId="3" fontId="0" fillId="0" borderId="46" xfId="0" applyNumberFormat="1" applyFill="1" applyBorder="1" applyAlignment="1">
      <alignment horizontal="center"/>
    </xf>
    <xf numFmtId="0" fontId="0" fillId="26" borderId="45" xfId="0" applyFill="1" applyBorder="1" applyAlignment="1">
      <alignment horizontal="left"/>
    </xf>
    <xf numFmtId="0" fontId="57" fillId="0" borderId="0" xfId="0" applyFont="1"/>
    <xf numFmtId="0" fontId="59" fillId="0" borderId="0" xfId="0" applyFont="1"/>
    <xf numFmtId="0" fontId="61" fillId="0" borderId="0" xfId="0" applyFont="1"/>
    <xf numFmtId="14" fontId="27" fillId="0" borderId="45" xfId="0" applyNumberFormat="1" applyFont="1" applyFill="1" applyBorder="1" applyAlignment="1">
      <alignment horizontal="center"/>
    </xf>
    <xf numFmtId="14" fontId="29" fillId="9" borderId="45" xfId="0" applyNumberFormat="1" applyFont="1" applyFill="1" applyBorder="1" applyAlignment="1">
      <alignment horizontal="center"/>
    </xf>
    <xf numFmtId="0" fontId="25" fillId="10" borderId="45" xfId="0" applyFont="1" applyFill="1" applyBorder="1" applyAlignment="1">
      <alignment horizontal="center"/>
    </xf>
    <xf numFmtId="0" fontId="62" fillId="10" borderId="45" xfId="0" applyFont="1" applyFill="1" applyBorder="1" applyAlignment="1">
      <alignment horizontal="center"/>
    </xf>
    <xf numFmtId="0" fontId="62" fillId="9" borderId="45" xfId="0" applyFont="1" applyFill="1" applyBorder="1" applyAlignment="1">
      <alignment horizontal="center"/>
    </xf>
    <xf numFmtId="0" fontId="25" fillId="9" borderId="45" xfId="0" applyFont="1" applyFill="1" applyBorder="1" applyAlignment="1">
      <alignment horizontal="center"/>
    </xf>
    <xf numFmtId="0" fontId="26" fillId="0" borderId="45" xfId="0" applyFont="1" applyFill="1" applyBorder="1"/>
    <xf numFmtId="0" fontId="30" fillId="0" borderId="45" xfId="0" applyFont="1" applyFill="1" applyBorder="1"/>
    <xf numFmtId="1" fontId="26" fillId="0" borderId="45" xfId="0" applyNumberFormat="1" applyFont="1" applyFill="1" applyBorder="1"/>
    <xf numFmtId="0" fontId="31" fillId="0" borderId="45" xfId="0" applyFont="1" applyFill="1" applyBorder="1"/>
    <xf numFmtId="0" fontId="61" fillId="0" borderId="45" xfId="0" applyFont="1" applyFill="1" applyBorder="1"/>
    <xf numFmtId="0" fontId="63" fillId="0" borderId="45" xfId="0" applyFont="1" applyFill="1" applyBorder="1"/>
    <xf numFmtId="1" fontId="61" fillId="0" borderId="45" xfId="0" applyNumberFormat="1" applyFont="1" applyFill="1" applyBorder="1"/>
    <xf numFmtId="3" fontId="26" fillId="0" borderId="45" xfId="0" applyNumberFormat="1" applyFont="1" applyBorder="1"/>
    <xf numFmtId="10" fontId="26" fillId="0" borderId="45" xfId="0" applyNumberFormat="1" applyFont="1" applyBorder="1" applyAlignment="1"/>
    <xf numFmtId="3" fontId="26" fillId="10" borderId="45" xfId="0" quotePrefix="1" applyNumberFormat="1" applyFont="1" applyFill="1" applyBorder="1" applyAlignment="1">
      <alignment horizontal="right"/>
    </xf>
    <xf numFmtId="3" fontId="25" fillId="10" borderId="45" xfId="0" quotePrefix="1" applyNumberFormat="1" applyFont="1" applyFill="1" applyBorder="1" applyAlignment="1">
      <alignment horizontal="right"/>
    </xf>
    <xf numFmtId="0" fontId="25" fillId="0" borderId="45" xfId="0" applyFont="1" applyFill="1" applyBorder="1"/>
    <xf numFmtId="0" fontId="34" fillId="0" borderId="45" xfId="0" applyFont="1" applyFill="1" applyBorder="1"/>
    <xf numFmtId="1" fontId="25" fillId="0" borderId="45" xfId="0" applyNumberFormat="1" applyFont="1" applyFill="1" applyBorder="1"/>
    <xf numFmtId="3" fontId="25" fillId="0" borderId="45" xfId="0" applyNumberFormat="1" applyFont="1" applyBorder="1"/>
    <xf numFmtId="10" fontId="25" fillId="0" borderId="45" xfId="0" applyNumberFormat="1" applyFont="1" applyBorder="1" applyAlignment="1"/>
    <xf numFmtId="0" fontId="35" fillId="0" borderId="45" xfId="0" applyFont="1" applyFill="1" applyBorder="1"/>
    <xf numFmtId="3" fontId="26" fillId="0" borderId="45" xfId="0" applyNumberFormat="1" applyFont="1" applyFill="1" applyBorder="1"/>
    <xf numFmtId="3" fontId="25" fillId="0" borderId="45" xfId="0" applyNumberFormat="1" applyFont="1" applyFill="1" applyBorder="1"/>
    <xf numFmtId="0" fontId="26" fillId="10" borderId="45" xfId="0" applyFont="1" applyFill="1" applyBorder="1"/>
    <xf numFmtId="0" fontId="30" fillId="10" borderId="45" xfId="0" applyFont="1" applyFill="1" applyBorder="1"/>
    <xf numFmtId="3" fontId="26" fillId="10" borderId="45" xfId="0" applyNumberFormat="1" applyFont="1" applyFill="1" applyBorder="1"/>
    <xf numFmtId="0" fontId="64" fillId="0" borderId="45" xfId="0" applyFont="1" applyFill="1" applyBorder="1"/>
    <xf numFmtId="3" fontId="61" fillId="0" borderId="45" xfId="0" applyNumberFormat="1" applyFont="1" applyFill="1" applyBorder="1"/>
    <xf numFmtId="0" fontId="31" fillId="10" borderId="45" xfId="0" applyFont="1" applyFill="1" applyBorder="1"/>
    <xf numFmtId="0" fontId="61" fillId="10" borderId="45" xfId="0" applyFont="1" applyFill="1" applyBorder="1"/>
    <xf numFmtId="0" fontId="63" fillId="10" borderId="45" xfId="0" applyFont="1" applyFill="1" applyBorder="1"/>
    <xf numFmtId="3" fontId="61" fillId="10" borderId="45" xfId="0" applyNumberFormat="1" applyFont="1" applyFill="1" applyBorder="1"/>
    <xf numFmtId="0" fontId="61" fillId="10" borderId="45" xfId="0" applyFont="1" applyFill="1" applyBorder="1" applyAlignment="1"/>
    <xf numFmtId="0" fontId="0" fillId="10" borderId="45" xfId="0" applyFill="1" applyBorder="1" applyAlignment="1"/>
    <xf numFmtId="3" fontId="25" fillId="10" borderId="45" xfId="0" applyNumberFormat="1" applyFont="1" applyFill="1" applyBorder="1"/>
    <xf numFmtId="0" fontId="26" fillId="9" borderId="45" xfId="0" applyFont="1" applyFill="1" applyBorder="1"/>
    <xf numFmtId="0" fontId="61" fillId="9" borderId="45" xfId="0" applyFont="1" applyFill="1" applyBorder="1"/>
    <xf numFmtId="0" fontId="25" fillId="10" borderId="45" xfId="0" applyFont="1" applyFill="1" applyBorder="1" applyAlignment="1"/>
    <xf numFmtId="0" fontId="36" fillId="0" borderId="45" xfId="0" applyFont="1" applyFill="1" applyBorder="1" applyAlignment="1"/>
    <xf numFmtId="10" fontId="26" fillId="0" borderId="60" xfId="0" applyNumberFormat="1" applyFont="1" applyBorder="1" applyAlignment="1"/>
    <xf numFmtId="10" fontId="25" fillId="0" borderId="60" xfId="0" applyNumberFormat="1" applyFont="1" applyBorder="1" applyAlignment="1"/>
    <xf numFmtId="0" fontId="61" fillId="10" borderId="46" xfId="0" applyFont="1" applyFill="1" applyBorder="1" applyAlignment="1"/>
    <xf numFmtId="0" fontId="61" fillId="10" borderId="78" xfId="0" applyFont="1" applyFill="1" applyBorder="1" applyAlignment="1"/>
    <xf numFmtId="3" fontId="25" fillId="10" borderId="58" xfId="0" applyNumberFormat="1" applyFont="1" applyFill="1" applyBorder="1"/>
    <xf numFmtId="0" fontId="30" fillId="0" borderId="45" xfId="0" applyFont="1" applyBorder="1"/>
    <xf numFmtId="0" fontId="26" fillId="0" borderId="45" xfId="0" applyFont="1" applyBorder="1"/>
    <xf numFmtId="0" fontId="31" fillId="0" borderId="45" xfId="0" applyFont="1" applyBorder="1"/>
    <xf numFmtId="0" fontId="63" fillId="0" borderId="45" xfId="0" applyFont="1" applyBorder="1"/>
    <xf numFmtId="0" fontId="61" fillId="0" borderId="45" xfId="0" applyFont="1" applyBorder="1"/>
    <xf numFmtId="0" fontId="25" fillId="0" borderId="45" xfId="0" applyFont="1" applyFill="1" applyBorder="1" applyAlignment="1"/>
    <xf numFmtId="0" fontId="0" fillId="10" borderId="58" xfId="0" applyFill="1" applyBorder="1" applyAlignment="1"/>
    <xf numFmtId="1" fontId="26" fillId="0" borderId="45" xfId="0" applyNumberFormat="1" applyFont="1" applyBorder="1"/>
    <xf numFmtId="1" fontId="61" fillId="0" borderId="45" xfId="0" applyNumberFormat="1" applyFont="1" applyBorder="1"/>
    <xf numFmtId="0" fontId="34" fillId="0" borderId="45" xfId="0" applyFont="1" applyBorder="1"/>
    <xf numFmtId="1" fontId="25" fillId="0" borderId="45" xfId="0" applyNumberFormat="1" applyFont="1" applyBorder="1"/>
    <xf numFmtId="3" fontId="26" fillId="0" borderId="60" xfId="0" applyNumberFormat="1" applyFont="1" applyBorder="1"/>
    <xf numFmtId="0" fontId="35" fillId="0" borderId="45" xfId="0" applyFont="1" applyBorder="1"/>
    <xf numFmtId="0" fontId="64" fillId="0" borderId="45" xfId="0" applyFont="1" applyBorder="1"/>
    <xf numFmtId="0" fontId="61" fillId="10" borderId="58" xfId="0" applyFont="1" applyFill="1" applyBorder="1" applyAlignment="1"/>
    <xf numFmtId="0" fontId="26" fillId="0" borderId="60" xfId="0" applyFont="1" applyBorder="1"/>
    <xf numFmtId="1" fontId="26" fillId="0" borderId="60" xfId="0" applyNumberFormat="1" applyFont="1" applyBorder="1"/>
    <xf numFmtId="0" fontId="61" fillId="11" borderId="29" xfId="0" applyFont="1" applyFill="1" applyBorder="1"/>
    <xf numFmtId="1" fontId="61" fillId="0" borderId="60" xfId="0" applyNumberFormat="1" applyFont="1" applyBorder="1"/>
    <xf numFmtId="0" fontId="25" fillId="9" borderId="45" xfId="0" applyFont="1" applyFill="1" applyBorder="1"/>
    <xf numFmtId="0" fontId="35" fillId="11" borderId="60" xfId="0" applyFont="1" applyFill="1" applyBorder="1"/>
    <xf numFmtId="0" fontId="35" fillId="0" borderId="60" xfId="0" applyFont="1" applyBorder="1"/>
    <xf numFmtId="0" fontId="35" fillId="9" borderId="45" xfId="0" applyFont="1" applyFill="1" applyBorder="1"/>
    <xf numFmtId="0" fontId="26" fillId="11" borderId="45" xfId="0" applyFont="1" applyFill="1" applyBorder="1" applyAlignment="1">
      <alignment horizontal="right"/>
    </xf>
    <xf numFmtId="3" fontId="25" fillId="11" borderId="58" xfId="0" applyNumberFormat="1" applyFont="1" applyFill="1" applyBorder="1"/>
    <xf numFmtId="0" fontId="61" fillId="11" borderId="45" xfId="0" applyFont="1" applyFill="1" applyBorder="1" applyAlignment="1">
      <alignment horizontal="right"/>
    </xf>
    <xf numFmtId="0" fontId="65" fillId="9" borderId="11" xfId="0" applyFont="1" applyFill="1" applyBorder="1"/>
    <xf numFmtId="1" fontId="65" fillId="9" borderId="11" xfId="0" applyNumberFormat="1" applyFont="1" applyFill="1" applyBorder="1"/>
    <xf numFmtId="3" fontId="66" fillId="11" borderId="45" xfId="0" applyNumberFormat="1" applyFont="1" applyFill="1" applyBorder="1"/>
    <xf numFmtId="3" fontId="32" fillId="11" borderId="45" xfId="0" applyNumberFormat="1" applyFont="1" applyFill="1" applyBorder="1"/>
    <xf numFmtId="3" fontId="32" fillId="13" borderId="45" xfId="0" applyNumberFormat="1" applyFont="1" applyFill="1" applyBorder="1"/>
    <xf numFmtId="0" fontId="25" fillId="9" borderId="45" xfId="0" applyFont="1" applyFill="1" applyBorder="1" applyAlignment="1">
      <alignment horizontal="right"/>
    </xf>
    <xf numFmtId="0" fontId="65" fillId="9" borderId="45" xfId="0" applyFont="1" applyFill="1" applyBorder="1"/>
    <xf numFmtId="1" fontId="65" fillId="9" borderId="45" xfId="0" applyNumberFormat="1" applyFont="1" applyFill="1" applyBorder="1"/>
    <xf numFmtId="3" fontId="66" fillId="9" borderId="45" xfId="0" applyNumberFormat="1" applyFont="1" applyFill="1" applyBorder="1"/>
    <xf numFmtId="3" fontId="65" fillId="9" borderId="45" xfId="0" applyNumberFormat="1" applyFont="1" applyFill="1" applyBorder="1"/>
    <xf numFmtId="3" fontId="33" fillId="9" borderId="45" xfId="0" applyNumberFormat="1" applyFont="1" applyFill="1" applyBorder="1"/>
    <xf numFmtId="3" fontId="32" fillId="9" borderId="45" xfId="0" applyNumberFormat="1" applyFont="1" applyFill="1" applyBorder="1"/>
    <xf numFmtId="0" fontId="38" fillId="9" borderId="45" xfId="0" applyFont="1" applyFill="1" applyBorder="1"/>
    <xf numFmtId="0" fontId="32" fillId="9" borderId="45" xfId="0" applyFont="1" applyFill="1" applyBorder="1" applyAlignment="1">
      <alignment horizontal="right"/>
    </xf>
    <xf numFmtId="0" fontId="0" fillId="0" borderId="72" xfId="0" applyBorder="1" applyAlignment="1">
      <alignment horizontal="center"/>
    </xf>
    <xf numFmtId="0" fontId="23" fillId="10" borderId="81" xfId="0" applyFont="1" applyFill="1" applyBorder="1" applyAlignment="1">
      <alignment horizontal="left" vertical="top"/>
    </xf>
    <xf numFmtId="166" fontId="0" fillId="10" borderId="13" xfId="0" applyNumberFormat="1" applyFill="1" applyBorder="1" applyAlignment="1">
      <alignment horizontal="center"/>
    </xf>
    <xf numFmtId="0" fontId="23" fillId="22" borderId="56" xfId="0" applyFont="1" applyFill="1" applyBorder="1"/>
    <xf numFmtId="3" fontId="0" fillId="25" borderId="11" xfId="0" applyNumberFormat="1" applyFill="1" applyBorder="1" applyAlignment="1">
      <alignment horizontal="center"/>
    </xf>
    <xf numFmtId="3" fontId="67" fillId="0" borderId="45" xfId="0" applyNumberFormat="1" applyFont="1" applyBorder="1" applyAlignment="1">
      <alignment horizontal="center"/>
    </xf>
    <xf numFmtId="3" fontId="67" fillId="0" borderId="45" xfId="0" applyNumberFormat="1" applyFont="1" applyFill="1" applyBorder="1" applyAlignment="1">
      <alignment horizontal="center"/>
    </xf>
    <xf numFmtId="3" fontId="67" fillId="3" borderId="45" xfId="0" applyNumberFormat="1" applyFont="1" applyFill="1" applyBorder="1" applyAlignment="1">
      <alignment horizontal="center"/>
    </xf>
    <xf numFmtId="0" fontId="0" fillId="0" borderId="46" xfId="0" applyBorder="1"/>
    <xf numFmtId="0" fontId="0" fillId="0" borderId="76" xfId="0" applyBorder="1"/>
    <xf numFmtId="0" fontId="0" fillId="0" borderId="13" xfId="0" applyBorder="1"/>
    <xf numFmtId="3" fontId="55" fillId="10" borderId="45" xfId="0" applyNumberFormat="1" applyFont="1" applyFill="1" applyBorder="1" applyAlignment="1">
      <alignment horizontal="center"/>
    </xf>
    <xf numFmtId="0" fontId="55" fillId="10" borderId="45" xfId="0" applyFont="1" applyFill="1" applyBorder="1" applyAlignment="1">
      <alignment horizontal="center"/>
    </xf>
    <xf numFmtId="0" fontId="0" fillId="10" borderId="46" xfId="0" applyFill="1" applyBorder="1"/>
    <xf numFmtId="0" fontId="0" fillId="23" borderId="46" xfId="0" applyFill="1" applyBorder="1"/>
    <xf numFmtId="3" fontId="55" fillId="10" borderId="38" xfId="0" applyNumberFormat="1" applyFont="1" applyFill="1" applyBorder="1" applyAlignment="1">
      <alignment horizontal="center"/>
    </xf>
    <xf numFmtId="0" fontId="55" fillId="10" borderId="38" xfId="0" applyFont="1" applyFill="1" applyBorder="1" applyAlignment="1">
      <alignment horizontal="center"/>
    </xf>
    <xf numFmtId="0" fontId="55" fillId="24" borderId="84" xfId="0" applyFont="1" applyFill="1" applyBorder="1" applyAlignment="1">
      <alignment horizontal="center"/>
    </xf>
    <xf numFmtId="0" fontId="1" fillId="0" borderId="45" xfId="0" applyFont="1" applyFill="1" applyBorder="1" applyAlignment="1">
      <alignment horizontal="left" vertical="top" wrapText="1"/>
    </xf>
    <xf numFmtId="0" fontId="1" fillId="0" borderId="45" xfId="0" applyFont="1" applyBorder="1" applyAlignment="1">
      <alignment horizontal="left" vertical="top" wrapText="1"/>
    </xf>
    <xf numFmtId="0" fontId="9" fillId="0" borderId="45" xfId="0" applyFont="1" applyBorder="1" applyAlignment="1">
      <alignment horizontal="left" vertical="top" wrapText="1"/>
    </xf>
    <xf numFmtId="0" fontId="1" fillId="0" borderId="46" xfId="0" applyFont="1" applyFill="1" applyBorder="1" applyAlignment="1">
      <alignment horizontal="left" vertical="top" wrapText="1"/>
    </xf>
    <xf numFmtId="164" fontId="1" fillId="0" borderId="45" xfId="22" applyNumberFormat="1" applyFont="1" applyFill="1" applyBorder="1" applyAlignment="1">
      <alignment horizontal="left" vertical="top" wrapText="1"/>
    </xf>
    <xf numFmtId="0" fontId="69" fillId="0" borderId="1" xfId="27" applyFill="1" applyBorder="1" applyAlignment="1">
      <alignment horizontal="left" vertical="top" wrapText="1"/>
    </xf>
    <xf numFmtId="0" fontId="69" fillId="0" borderId="3" xfId="27" applyFill="1" applyBorder="1" applyAlignment="1">
      <alignment horizontal="left" vertical="top" wrapText="1"/>
    </xf>
    <xf numFmtId="164" fontId="69" fillId="0" borderId="1" xfId="27" applyNumberFormat="1" applyFill="1" applyBorder="1" applyAlignment="1">
      <alignment horizontal="left" vertical="top" wrapText="1"/>
    </xf>
    <xf numFmtId="0" fontId="69" fillId="0" borderId="0" xfId="27" applyFill="1" applyAlignment="1">
      <alignment wrapText="1"/>
    </xf>
    <xf numFmtId="0" fontId="69" fillId="0" borderId="0" xfId="27" applyFill="1"/>
    <xf numFmtId="0" fontId="70" fillId="28" borderId="45"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0" borderId="45" xfId="0" applyFont="1" applyFill="1" applyBorder="1" applyAlignment="1">
      <alignment horizontal="center" vertical="center" wrapText="1"/>
    </xf>
    <xf numFmtId="0" fontId="5" fillId="0" borderId="46"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71" fillId="2" borderId="4" xfId="0" applyFont="1" applyFill="1" applyBorder="1" applyAlignment="1">
      <alignment horizontal="center" vertical="center" wrapText="1"/>
    </xf>
    <xf numFmtId="0" fontId="71" fillId="0" borderId="0" xfId="0" applyFont="1" applyFill="1" applyBorder="1" applyAlignment="1">
      <alignment horizontal="center" vertical="center" wrapText="1"/>
    </xf>
    <xf numFmtId="0" fontId="72" fillId="0" borderId="0" xfId="0" applyFont="1" applyAlignment="1">
      <alignment wrapText="1"/>
    </xf>
    <xf numFmtId="0" fontId="72" fillId="0" borderId="0" xfId="0" applyFont="1" applyFill="1" applyAlignment="1">
      <alignment wrapText="1"/>
    </xf>
    <xf numFmtId="0" fontId="72" fillId="3" borderId="0" xfId="0" applyFont="1" applyFill="1" applyAlignment="1">
      <alignment wrapText="1"/>
    </xf>
    <xf numFmtId="0" fontId="73" fillId="0" borderId="0" xfId="27" applyFont="1" applyFill="1" applyAlignment="1">
      <alignment wrapText="1"/>
    </xf>
    <xf numFmtId="0" fontId="1" fillId="0" borderId="45" xfId="0" applyFont="1" applyFill="1" applyBorder="1" applyAlignment="1">
      <alignment vertical="top" wrapText="1"/>
    </xf>
    <xf numFmtId="0" fontId="0" fillId="0" borderId="5" xfId="0" applyFill="1" applyBorder="1"/>
    <xf numFmtId="0" fontId="1" fillId="28" borderId="45" xfId="0" applyFont="1" applyFill="1" applyBorder="1" applyAlignment="1">
      <alignment horizontal="center" vertical="center" wrapText="1"/>
    </xf>
    <xf numFmtId="0" fontId="1" fillId="28" borderId="1" xfId="0" applyFont="1" applyFill="1" applyBorder="1" applyAlignment="1">
      <alignment horizontal="center" vertical="center" wrapText="1"/>
    </xf>
    <xf numFmtId="0" fontId="1" fillId="28" borderId="45" xfId="0" applyFont="1" applyFill="1" applyBorder="1" applyAlignment="1">
      <alignment horizontal="left" vertical="top" wrapText="1"/>
    </xf>
    <xf numFmtId="0" fontId="69" fillId="28" borderId="45" xfId="27" applyFill="1" applyBorder="1" applyAlignment="1">
      <alignment horizontal="center" vertical="center" wrapText="1"/>
    </xf>
    <xf numFmtId="0" fontId="1" fillId="28" borderId="0" xfId="0" applyFont="1" applyFill="1" applyBorder="1" applyAlignment="1">
      <alignment horizontal="center" vertical="center" wrapText="1"/>
    </xf>
    <xf numFmtId="0" fontId="0" fillId="28" borderId="0" xfId="0" applyFill="1" applyAlignment="1">
      <alignment horizontal="center" vertical="center"/>
    </xf>
    <xf numFmtId="0" fontId="69" fillId="28" borderId="45" xfId="27" applyFill="1" applyBorder="1" applyAlignment="1">
      <alignment horizontal="left" vertical="top" wrapText="1"/>
    </xf>
    <xf numFmtId="0" fontId="1" fillId="28" borderId="0" xfId="0" applyFont="1" applyFill="1" applyBorder="1" applyAlignment="1">
      <alignment horizontal="left" vertical="top" wrapText="1"/>
    </xf>
    <xf numFmtId="0" fontId="0" fillId="28" borderId="0" xfId="0" applyFill="1"/>
    <xf numFmtId="0" fontId="11" fillId="0" borderId="0" xfId="0" applyFont="1" applyAlignment="1">
      <alignment vertical="top" wrapText="1"/>
    </xf>
    <xf numFmtId="0" fontId="11" fillId="0" borderId="0" xfId="0" applyFont="1" applyAlignment="1">
      <alignment horizontal="left" vertical="top" wrapText="1"/>
    </xf>
    <xf numFmtId="0" fontId="25" fillId="0" borderId="1" xfId="0" applyFont="1" applyFill="1" applyBorder="1" applyAlignment="1">
      <alignment horizontal="center"/>
    </xf>
    <xf numFmtId="0" fontId="0" fillId="0" borderId="1" xfId="0" applyFill="1" applyBorder="1" applyAlignment="1">
      <alignment horizontal="center"/>
    </xf>
    <xf numFmtId="0" fontId="25" fillId="0" borderId="3" xfId="0" applyFont="1" applyFill="1" applyBorder="1" applyAlignment="1">
      <alignment horizontal="center"/>
    </xf>
    <xf numFmtId="0" fontId="25" fillId="0" borderId="8" xfId="0" applyFont="1" applyFill="1" applyBorder="1" applyAlignment="1">
      <alignment horizontal="center"/>
    </xf>
    <xf numFmtId="0" fontId="25" fillId="0" borderId="9" xfId="0" applyFont="1" applyFill="1" applyBorder="1" applyAlignment="1">
      <alignment horizontal="center"/>
    </xf>
    <xf numFmtId="0" fontId="25" fillId="9" borderId="1" xfId="0" applyFont="1" applyFill="1" applyBorder="1" applyAlignment="1">
      <alignment horizontal="center" wrapText="1"/>
    </xf>
    <xf numFmtId="0" fontId="0" fillId="9" borderId="1" xfId="0" applyFill="1" applyBorder="1" applyAlignment="1">
      <alignment wrapText="1"/>
    </xf>
    <xf numFmtId="0" fontId="25" fillId="9" borderId="1" xfId="0" applyFont="1" applyFill="1" applyBorder="1" applyAlignment="1">
      <alignment horizontal="center"/>
    </xf>
    <xf numFmtId="0" fontId="0" fillId="9" borderId="1" xfId="0" applyFill="1" applyBorder="1" applyAlignment="1">
      <alignment horizontal="center"/>
    </xf>
    <xf numFmtId="0" fontId="0" fillId="9" borderId="12" xfId="0" applyFill="1" applyBorder="1" applyAlignment="1">
      <alignment wrapText="1"/>
    </xf>
    <xf numFmtId="0" fontId="23" fillId="9" borderId="1" xfId="0" applyFont="1" applyFill="1" applyBorder="1" applyAlignment="1">
      <alignment horizontal="center"/>
    </xf>
    <xf numFmtId="0" fontId="23" fillId="9" borderId="12" xfId="0" applyFont="1" applyFill="1" applyBorder="1" applyAlignment="1">
      <alignment wrapText="1"/>
    </xf>
    <xf numFmtId="0" fontId="25" fillId="9" borderId="10" xfId="0" applyFont="1" applyFill="1" applyBorder="1" applyAlignment="1">
      <alignment horizontal="center" vertical="center" wrapText="1"/>
    </xf>
    <xf numFmtId="0" fontId="0" fillId="9" borderId="11" xfId="0" applyFill="1" applyBorder="1" applyAlignment="1">
      <alignment vertical="center" wrapText="1"/>
    </xf>
    <xf numFmtId="0" fontId="26" fillId="0" borderId="12" xfId="0" applyFont="1" applyFill="1" applyBorder="1" applyAlignment="1"/>
    <xf numFmtId="0" fontId="0" fillId="0" borderId="12" xfId="0" applyBorder="1" applyAlignment="1"/>
    <xf numFmtId="0" fontId="32" fillId="10" borderId="13" xfId="0" applyFont="1" applyFill="1" applyBorder="1" applyAlignment="1"/>
    <xf numFmtId="0" fontId="32" fillId="10" borderId="14" xfId="0" applyFont="1" applyFill="1" applyBorder="1" applyAlignment="1"/>
    <xf numFmtId="0" fontId="33" fillId="0" borderId="15" xfId="0" applyFont="1" applyBorder="1" applyAlignment="1"/>
    <xf numFmtId="0" fontId="32" fillId="0" borderId="15" xfId="0" applyFont="1" applyBorder="1" applyAlignment="1"/>
    <xf numFmtId="0" fontId="25" fillId="7" borderId="16" xfId="0" applyFont="1" applyFill="1" applyBorder="1" applyAlignment="1">
      <alignment horizontal="center" wrapText="1"/>
    </xf>
    <xf numFmtId="0" fontId="0" fillId="7" borderId="17" xfId="0" applyFill="1" applyBorder="1" applyAlignment="1">
      <alignment wrapText="1"/>
    </xf>
    <xf numFmtId="0" fontId="0" fillId="7" borderId="18" xfId="0" applyFill="1" applyBorder="1" applyAlignment="1">
      <alignment wrapText="1"/>
    </xf>
    <xf numFmtId="0" fontId="0" fillId="7" borderId="20" xfId="0" applyFill="1" applyBorder="1" applyAlignment="1">
      <alignment wrapText="1"/>
    </xf>
    <xf numFmtId="0" fontId="0" fillId="7" borderId="21" xfId="0" applyFill="1" applyBorder="1" applyAlignment="1">
      <alignment wrapText="1"/>
    </xf>
    <xf numFmtId="0" fontId="0" fillId="7" borderId="22" xfId="0" applyFill="1" applyBorder="1" applyAlignment="1">
      <alignment wrapText="1"/>
    </xf>
    <xf numFmtId="0" fontId="25" fillId="10" borderId="16" xfId="0" applyFont="1" applyFill="1" applyBorder="1" applyAlignment="1">
      <alignment horizontal="center"/>
    </xf>
    <xf numFmtId="0" fontId="0" fillId="0" borderId="17" xfId="0" applyBorder="1" applyAlignment="1"/>
    <xf numFmtId="0" fontId="0" fillId="0" borderId="18" xfId="0" applyBorder="1" applyAlignment="1"/>
    <xf numFmtId="0" fontId="0" fillId="0" borderId="5" xfId="0" applyBorder="1" applyAlignment="1"/>
    <xf numFmtId="0" fontId="0" fillId="0" borderId="0" xfId="0" applyBorder="1" applyAlignment="1"/>
    <xf numFmtId="0" fontId="0" fillId="0" borderId="19" xfId="0" applyBorder="1" applyAlignment="1"/>
    <xf numFmtId="0" fontId="0" fillId="0" borderId="13" xfId="0" applyBorder="1" applyAlignment="1"/>
    <xf numFmtId="0" fontId="0" fillId="0" borderId="14" xfId="0" applyBorder="1" applyAlignment="1"/>
    <xf numFmtId="0" fontId="0" fillId="0" borderId="15" xfId="0" applyBorder="1" applyAlignment="1"/>
    <xf numFmtId="0" fontId="0" fillId="7" borderId="5" xfId="0" applyFill="1" applyBorder="1" applyAlignment="1">
      <alignment wrapText="1"/>
    </xf>
    <xf numFmtId="0" fontId="0" fillId="7" borderId="0" xfId="0" applyFill="1" applyBorder="1" applyAlignment="1">
      <alignment wrapText="1"/>
    </xf>
    <xf numFmtId="0" fontId="0" fillId="7" borderId="19" xfId="0" applyFill="1" applyBorder="1" applyAlignment="1">
      <alignment wrapText="1"/>
    </xf>
    <xf numFmtId="0" fontId="23" fillId="7" borderId="17" xfId="0" applyFont="1" applyFill="1" applyBorder="1" applyAlignment="1">
      <alignment wrapText="1"/>
    </xf>
    <xf numFmtId="0" fontId="23" fillId="7" borderId="18" xfId="0" applyFont="1" applyFill="1" applyBorder="1" applyAlignment="1">
      <alignment wrapText="1"/>
    </xf>
    <xf numFmtId="0" fontId="23" fillId="7" borderId="5" xfId="0" applyFont="1" applyFill="1" applyBorder="1" applyAlignment="1">
      <alignment wrapText="1"/>
    </xf>
    <xf numFmtId="0" fontId="23" fillId="7" borderId="0" xfId="0" applyFont="1" applyFill="1" applyBorder="1" applyAlignment="1">
      <alignment wrapText="1"/>
    </xf>
    <xf numFmtId="0" fontId="23" fillId="7" borderId="19" xfId="0" applyFont="1" applyFill="1" applyBorder="1" applyAlignment="1">
      <alignment wrapText="1"/>
    </xf>
    <xf numFmtId="0" fontId="23" fillId="7" borderId="20" xfId="0" applyFont="1" applyFill="1" applyBorder="1" applyAlignment="1">
      <alignment wrapText="1"/>
    </xf>
    <xf numFmtId="0" fontId="23" fillId="7" borderId="21" xfId="0" applyFont="1" applyFill="1" applyBorder="1" applyAlignment="1">
      <alignment wrapText="1"/>
    </xf>
    <xf numFmtId="0" fontId="23" fillId="7" borderId="22" xfId="0" applyFont="1" applyFill="1" applyBorder="1" applyAlignment="1">
      <alignment wrapText="1"/>
    </xf>
    <xf numFmtId="0" fontId="26" fillId="0" borderId="1" xfId="0" applyFont="1" applyFill="1" applyBorder="1" applyAlignment="1"/>
    <xf numFmtId="0" fontId="0" fillId="0" borderId="1" xfId="0" applyBorder="1" applyAlignment="1"/>
    <xf numFmtId="0" fontId="26" fillId="0" borderId="3" xfId="0" applyFont="1" applyFill="1" applyBorder="1" applyAlignment="1"/>
    <xf numFmtId="0" fontId="26" fillId="0" borderId="8" xfId="0" applyFont="1" applyFill="1" applyBorder="1" applyAlignment="1"/>
    <xf numFmtId="0" fontId="26" fillId="0" borderId="9" xfId="0" applyFont="1" applyFill="1" applyBorder="1" applyAlignment="1"/>
    <xf numFmtId="0" fontId="25" fillId="10" borderId="3" xfId="0" applyFont="1" applyFill="1" applyBorder="1" applyAlignment="1"/>
    <xf numFmtId="0" fontId="25" fillId="10" borderId="8" xfId="0" applyFont="1" applyFill="1" applyBorder="1" applyAlignment="1"/>
    <xf numFmtId="0" fontId="25" fillId="10" borderId="9" xfId="0" applyFont="1" applyFill="1" applyBorder="1" applyAlignment="1"/>
    <xf numFmtId="0" fontId="25" fillId="10" borderId="1" xfId="0" applyFont="1" applyFill="1" applyBorder="1" applyAlignment="1"/>
    <xf numFmtId="0" fontId="36" fillId="10" borderId="1" xfId="0" applyFont="1" applyFill="1" applyBorder="1" applyAlignment="1"/>
    <xf numFmtId="0" fontId="26" fillId="10" borderId="3" xfId="0" applyFont="1" applyFill="1" applyBorder="1" applyAlignment="1"/>
    <xf numFmtId="0" fontId="0" fillId="10" borderId="8" xfId="0" applyFill="1" applyBorder="1" applyAlignment="1"/>
    <xf numFmtId="0" fontId="0" fillId="10" borderId="9" xfId="0" applyFill="1" applyBorder="1" applyAlignment="1"/>
    <xf numFmtId="0" fontId="25" fillId="0" borderId="12" xfId="0" applyFont="1" applyFill="1" applyBorder="1" applyAlignment="1"/>
    <xf numFmtId="0" fontId="23" fillId="0" borderId="12" xfId="0" applyFont="1" applyBorder="1" applyAlignment="1"/>
    <xf numFmtId="0" fontId="0" fillId="7" borderId="23" xfId="0" applyFill="1" applyBorder="1" applyAlignment="1">
      <alignment wrapText="1"/>
    </xf>
    <xf numFmtId="0" fontId="0" fillId="7" borderId="24" xfId="0" applyFill="1" applyBorder="1" applyAlignment="1">
      <alignment wrapText="1"/>
    </xf>
    <xf numFmtId="0" fontId="0" fillId="7" borderId="25" xfId="0" applyFill="1" applyBorder="1" applyAlignment="1">
      <alignment wrapText="1"/>
    </xf>
    <xf numFmtId="0" fontId="32" fillId="10" borderId="13" xfId="0" applyFont="1" applyFill="1" applyBorder="1" applyAlignment="1">
      <alignment wrapText="1"/>
    </xf>
    <xf numFmtId="0" fontId="33" fillId="0" borderId="14" xfId="0" applyFont="1" applyBorder="1" applyAlignment="1">
      <alignment wrapText="1"/>
    </xf>
    <xf numFmtId="0" fontId="33" fillId="0" borderId="15" xfId="0" applyFont="1" applyBorder="1" applyAlignment="1">
      <alignment wrapText="1"/>
    </xf>
    <xf numFmtId="0" fontId="32" fillId="0" borderId="14" xfId="0" applyFont="1" applyBorder="1" applyAlignment="1">
      <alignment wrapText="1"/>
    </xf>
    <xf numFmtId="0" fontId="32" fillId="0" borderId="15" xfId="0" applyFont="1" applyBorder="1" applyAlignment="1">
      <alignment wrapText="1"/>
    </xf>
    <xf numFmtId="0" fontId="23" fillId="7" borderId="23" xfId="0" applyFont="1" applyFill="1" applyBorder="1" applyAlignment="1">
      <alignment wrapText="1"/>
    </xf>
    <xf numFmtId="0" fontId="23" fillId="7" borderId="24" xfId="0" applyFont="1" applyFill="1" applyBorder="1" applyAlignment="1">
      <alignment wrapText="1"/>
    </xf>
    <xf numFmtId="0" fontId="23" fillId="7" borderId="25" xfId="0" applyFont="1" applyFill="1" applyBorder="1" applyAlignment="1">
      <alignment wrapText="1"/>
    </xf>
    <xf numFmtId="0" fontId="32" fillId="10" borderId="26" xfId="0" applyFont="1" applyFill="1" applyBorder="1" applyAlignment="1">
      <alignment wrapText="1"/>
    </xf>
    <xf numFmtId="0" fontId="32" fillId="10" borderId="27" xfId="0" applyFont="1" applyFill="1" applyBorder="1" applyAlignment="1">
      <alignment wrapText="1"/>
    </xf>
    <xf numFmtId="0" fontId="0" fillId="0" borderId="27" xfId="0" applyBorder="1" applyAlignment="1">
      <alignment wrapText="1"/>
    </xf>
    <xf numFmtId="0" fontId="0" fillId="0" borderId="28" xfId="0" applyBorder="1" applyAlignment="1">
      <alignment wrapText="1"/>
    </xf>
    <xf numFmtId="0" fontId="23" fillId="0" borderId="27" xfId="0" applyFont="1" applyBorder="1" applyAlignment="1">
      <alignment wrapText="1"/>
    </xf>
    <xf numFmtId="0" fontId="23" fillId="0" borderId="28" xfId="0" applyFont="1" applyBorder="1" applyAlignment="1">
      <alignment wrapText="1"/>
    </xf>
    <xf numFmtId="0" fontId="0" fillId="10" borderId="16" xfId="0" applyFill="1" applyBorder="1" applyAlignment="1">
      <alignment horizontal="center"/>
    </xf>
    <xf numFmtId="0" fontId="0" fillId="7" borderId="16" xfId="0" applyFill="1" applyBorder="1" applyAlignment="1">
      <alignment horizontal="center" wrapText="1"/>
    </xf>
    <xf numFmtId="0" fontId="32" fillId="10" borderId="14" xfId="0" applyFont="1" applyFill="1" applyBorder="1" applyAlignment="1">
      <alignment wrapText="1"/>
    </xf>
    <xf numFmtId="0" fontId="0" fillId="0" borderId="14" xfId="0" applyBorder="1" applyAlignment="1">
      <alignment wrapText="1"/>
    </xf>
    <xf numFmtId="0" fontId="0" fillId="0" borderId="15" xfId="0" applyBorder="1" applyAlignment="1">
      <alignment wrapText="1"/>
    </xf>
    <xf numFmtId="0" fontId="23" fillId="7" borderId="16" xfId="0" applyFont="1" applyFill="1" applyBorder="1" applyAlignment="1">
      <alignment horizontal="center" wrapText="1"/>
    </xf>
    <xf numFmtId="0" fontId="23" fillId="0" borderId="14" xfId="0" applyFont="1" applyBorder="1" applyAlignment="1">
      <alignment wrapText="1"/>
    </xf>
    <xf numFmtId="0" fontId="23" fillId="0" borderId="15" xfId="0" applyFont="1" applyBorder="1" applyAlignment="1">
      <alignment wrapText="1"/>
    </xf>
    <xf numFmtId="3" fontId="25" fillId="0" borderId="16" xfId="0" applyNumberFormat="1" applyFont="1" applyBorder="1" applyAlignment="1">
      <alignment horizontal="center" vertical="center" wrapText="1"/>
    </xf>
    <xf numFmtId="0" fontId="36" fillId="0" borderId="17" xfId="0" applyFont="1" applyBorder="1" applyAlignment="1">
      <alignment horizontal="center" vertical="center" wrapText="1"/>
    </xf>
    <xf numFmtId="0" fontId="36" fillId="0" borderId="18" xfId="0" applyFont="1" applyBorder="1" applyAlignment="1">
      <alignment horizontal="center" vertical="center" wrapText="1"/>
    </xf>
    <xf numFmtId="0" fontId="36" fillId="0" borderId="5" xfId="0" applyFont="1" applyBorder="1" applyAlignment="1">
      <alignment horizontal="center" vertical="center" wrapText="1"/>
    </xf>
    <xf numFmtId="0" fontId="36" fillId="0" borderId="0" xfId="0" applyFont="1" applyBorder="1" applyAlignment="1">
      <alignment horizontal="center" vertical="center" wrapText="1"/>
    </xf>
    <xf numFmtId="0" fontId="36" fillId="0" borderId="19" xfId="0" applyFont="1" applyBorder="1" applyAlignment="1">
      <alignment horizontal="center" vertical="center" wrapText="1"/>
    </xf>
    <xf numFmtId="3" fontId="0" fillId="7" borderId="5" xfId="0" applyNumberFormat="1" applyFill="1" applyBorder="1" applyAlignment="1">
      <alignment wrapText="1"/>
    </xf>
    <xf numFmtId="0" fontId="0" fillId="7" borderId="32" xfId="0" applyFill="1" applyBorder="1" applyAlignment="1">
      <alignment wrapText="1"/>
    </xf>
    <xf numFmtId="0" fontId="0" fillId="7" borderId="33" xfId="0" applyFill="1" applyBorder="1" applyAlignment="1">
      <alignment wrapText="1"/>
    </xf>
    <xf numFmtId="0" fontId="0" fillId="7" borderId="34" xfId="0" applyFill="1" applyBorder="1" applyAlignment="1">
      <alignment wrapText="1"/>
    </xf>
    <xf numFmtId="0" fontId="0" fillId="7" borderId="0" xfId="0" applyFill="1" applyAlignment="1">
      <alignment wrapText="1"/>
    </xf>
    <xf numFmtId="0" fontId="0" fillId="7" borderId="13" xfId="0" applyFill="1" applyBorder="1" applyAlignment="1">
      <alignment wrapText="1"/>
    </xf>
    <xf numFmtId="0" fontId="0" fillId="7" borderId="14" xfId="0" applyFill="1" applyBorder="1" applyAlignment="1">
      <alignment wrapText="1"/>
    </xf>
    <xf numFmtId="0" fontId="0" fillId="7" borderId="15" xfId="0" applyFill="1" applyBorder="1" applyAlignment="1">
      <alignment wrapText="1"/>
    </xf>
    <xf numFmtId="0" fontId="23" fillId="7" borderId="32" xfId="0" applyFont="1" applyFill="1" applyBorder="1" applyAlignment="1">
      <alignment wrapText="1"/>
    </xf>
    <xf numFmtId="0" fontId="23" fillId="7" borderId="33" xfId="0" applyFont="1" applyFill="1" applyBorder="1" applyAlignment="1">
      <alignment wrapText="1"/>
    </xf>
    <xf numFmtId="0" fontId="23" fillId="7" borderId="34" xfId="0" applyFont="1" applyFill="1" applyBorder="1" applyAlignment="1">
      <alignment wrapText="1"/>
    </xf>
    <xf numFmtId="0" fontId="23" fillId="7" borderId="0" xfId="0" applyFont="1" applyFill="1" applyAlignment="1">
      <alignment wrapText="1"/>
    </xf>
    <xf numFmtId="0" fontId="23" fillId="7" borderId="13" xfId="0" applyFont="1" applyFill="1" applyBorder="1" applyAlignment="1">
      <alignment wrapText="1"/>
    </xf>
    <xf numFmtId="0" fontId="23" fillId="7" borderId="14" xfId="0" applyFont="1" applyFill="1" applyBorder="1" applyAlignment="1">
      <alignment wrapText="1"/>
    </xf>
    <xf numFmtId="0" fontId="23" fillId="7" borderId="15" xfId="0" applyFont="1" applyFill="1" applyBorder="1" applyAlignment="1">
      <alignment wrapText="1"/>
    </xf>
    <xf numFmtId="0" fontId="42" fillId="17" borderId="35" xfId="0" applyFont="1" applyFill="1" applyBorder="1" applyAlignment="1">
      <alignment horizontal="center"/>
    </xf>
    <xf numFmtId="0" fontId="42" fillId="17" borderId="36" xfId="0" applyFont="1" applyFill="1" applyBorder="1" applyAlignment="1">
      <alignment horizontal="center"/>
    </xf>
    <xf numFmtId="0" fontId="42" fillId="17" borderId="37" xfId="0" applyFont="1" applyFill="1" applyBorder="1" applyAlignment="1">
      <alignment horizontal="center"/>
    </xf>
    <xf numFmtId="3" fontId="23" fillId="0" borderId="0" xfId="0" applyNumberFormat="1" applyFont="1" applyBorder="1" applyAlignment="1">
      <alignment horizontal="right"/>
    </xf>
    <xf numFmtId="0" fontId="50" fillId="0" borderId="0" xfId="0" applyFont="1" applyBorder="1" applyAlignment="1">
      <alignment wrapText="1"/>
    </xf>
    <xf numFmtId="0" fontId="51" fillId="0" borderId="0" xfId="0" applyFont="1" applyBorder="1" applyAlignment="1">
      <alignment wrapText="1"/>
    </xf>
    <xf numFmtId="3" fontId="0" fillId="0" borderId="0" xfId="0" applyNumberFormat="1" applyFill="1" applyBorder="1" applyAlignment="1">
      <alignment horizontal="right"/>
    </xf>
    <xf numFmtId="0" fontId="0" fillId="0" borderId="0" xfId="0" applyAlignment="1">
      <alignment horizontal="right"/>
    </xf>
    <xf numFmtId="0" fontId="23" fillId="0" borderId="0" xfId="0" applyFont="1" applyAlignment="1">
      <alignment horizontal="right"/>
    </xf>
    <xf numFmtId="0" fontId="55" fillId="10" borderId="64" xfId="0" applyFont="1" applyFill="1" applyBorder="1" applyAlignment="1">
      <alignment horizontal="center" vertical="center"/>
    </xf>
    <xf numFmtId="0" fontId="55" fillId="10" borderId="65" xfId="0" applyFont="1" applyFill="1" applyBorder="1" applyAlignment="1">
      <alignment horizontal="center" vertical="center"/>
    </xf>
    <xf numFmtId="0" fontId="55" fillId="10" borderId="66" xfId="0" applyFont="1" applyFill="1" applyBorder="1" applyAlignment="1">
      <alignment horizontal="center" vertical="center"/>
    </xf>
    <xf numFmtId="0" fontId="56" fillId="10" borderId="67" xfId="0" applyFont="1" applyFill="1" applyBorder="1" applyAlignment="1">
      <alignment horizontal="center" vertical="center"/>
    </xf>
    <xf numFmtId="0" fontId="56" fillId="10" borderId="67" xfId="0" applyFont="1" applyFill="1" applyBorder="1" applyAlignment="1">
      <alignment horizontal="center" vertical="center" wrapText="1"/>
    </xf>
    <xf numFmtId="0" fontId="0" fillId="0" borderId="45" xfId="0" applyFill="1" applyBorder="1" applyAlignment="1">
      <alignment horizontal="left" vertical="top"/>
    </xf>
    <xf numFmtId="0" fontId="0" fillId="0" borderId="45" xfId="0" applyBorder="1" applyAlignment="1">
      <alignment horizontal="left" vertical="top"/>
    </xf>
    <xf numFmtId="0" fontId="0" fillId="0" borderId="39" xfId="0" applyBorder="1" applyAlignment="1">
      <alignment horizontal="left" vertical="top"/>
    </xf>
    <xf numFmtId="0" fontId="23" fillId="0" borderId="0" xfId="0" applyFont="1" applyBorder="1" applyAlignment="1">
      <alignment horizontal="center"/>
    </xf>
    <xf numFmtId="0" fontId="0" fillId="0" borderId="0" xfId="0" applyBorder="1" applyAlignment="1">
      <alignment horizontal="center"/>
    </xf>
    <xf numFmtId="0" fontId="23" fillId="10" borderId="35" xfId="0" applyFont="1" applyFill="1" applyBorder="1" applyAlignment="1">
      <alignment horizontal="left" vertical="top"/>
    </xf>
    <xf numFmtId="0" fontId="0" fillId="0" borderId="38" xfId="0" applyBorder="1" applyAlignment="1">
      <alignment horizontal="left" vertical="top"/>
    </xf>
    <xf numFmtId="0" fontId="23" fillId="10" borderId="76" xfId="0" applyFont="1" applyFill="1" applyBorder="1" applyAlignment="1">
      <alignment horizontal="center"/>
    </xf>
    <xf numFmtId="0" fontId="23" fillId="10" borderId="77" xfId="0" applyFont="1" applyFill="1" applyBorder="1" applyAlignment="1">
      <alignment horizontal="left" vertical="top"/>
    </xf>
    <xf numFmtId="0" fontId="23" fillId="10" borderId="70" xfId="0" applyFont="1" applyFill="1" applyBorder="1" applyAlignment="1">
      <alignment horizontal="left" vertical="top"/>
    </xf>
    <xf numFmtId="0" fontId="23" fillId="10" borderId="69" xfId="0" applyFont="1" applyFill="1" applyBorder="1" applyAlignment="1">
      <alignment horizontal="left" vertical="top"/>
    </xf>
    <xf numFmtId="0" fontId="23" fillId="10" borderId="13" xfId="0" applyFont="1" applyFill="1" applyBorder="1" applyAlignment="1">
      <alignment horizontal="left" vertical="top"/>
    </xf>
    <xf numFmtId="0" fontId="23" fillId="10" borderId="14" xfId="0" applyFont="1" applyFill="1" applyBorder="1" applyAlignment="1">
      <alignment horizontal="left" vertical="top"/>
    </xf>
    <xf numFmtId="0" fontId="23" fillId="10" borderId="57" xfId="0" applyFont="1" applyFill="1" applyBorder="1" applyAlignment="1">
      <alignment horizontal="left" vertical="top"/>
    </xf>
    <xf numFmtId="0" fontId="0" fillId="25" borderId="45" xfId="0" applyFill="1" applyBorder="1" applyAlignment="1">
      <alignment horizontal="left" vertical="top"/>
    </xf>
    <xf numFmtId="0" fontId="0" fillId="25" borderId="39" xfId="0" applyFill="1" applyBorder="1" applyAlignment="1">
      <alignment horizontal="left" vertical="top"/>
    </xf>
    <xf numFmtId="0" fontId="25" fillId="9" borderId="45" xfId="0" applyFont="1" applyFill="1" applyBorder="1" applyAlignment="1">
      <alignment horizontal="center" wrapText="1"/>
    </xf>
    <xf numFmtId="0" fontId="0" fillId="9" borderId="45" xfId="0" applyFill="1" applyBorder="1" applyAlignment="1">
      <alignment wrapText="1"/>
    </xf>
    <xf numFmtId="0" fontId="25" fillId="9" borderId="45" xfId="0" applyFont="1" applyFill="1" applyBorder="1" applyAlignment="1">
      <alignment horizontal="center"/>
    </xf>
    <xf numFmtId="0" fontId="0" fillId="9" borderId="45" xfId="0" applyFill="1" applyBorder="1" applyAlignment="1">
      <alignment horizontal="center"/>
    </xf>
    <xf numFmtId="0" fontId="25" fillId="0" borderId="45" xfId="0" applyFont="1" applyFill="1" applyBorder="1" applyAlignment="1">
      <alignment horizontal="center"/>
    </xf>
    <xf numFmtId="0" fontId="0" fillId="0" borderId="45" xfId="0" applyFill="1" applyBorder="1" applyAlignment="1">
      <alignment horizontal="center"/>
    </xf>
    <xf numFmtId="0" fontId="25" fillId="0" borderId="46" xfId="0" applyFont="1" applyFill="1" applyBorder="1" applyAlignment="1">
      <alignment horizontal="center"/>
    </xf>
    <xf numFmtId="0" fontId="25" fillId="0" borderId="78" xfId="0" applyFont="1" applyFill="1" applyBorder="1" applyAlignment="1">
      <alignment horizontal="center"/>
    </xf>
    <xf numFmtId="0" fontId="25" fillId="0" borderId="58" xfId="0" applyFont="1" applyFill="1" applyBorder="1" applyAlignment="1">
      <alignment horizontal="center"/>
    </xf>
    <xf numFmtId="0" fontId="25" fillId="10" borderId="79" xfId="0" applyFont="1" applyFill="1" applyBorder="1" applyAlignment="1">
      <alignment horizontal="center"/>
    </xf>
    <xf numFmtId="0" fontId="0" fillId="0" borderId="80" xfId="0" applyBorder="1" applyAlignment="1"/>
    <xf numFmtId="0" fontId="0" fillId="0" borderId="62" xfId="0" applyBorder="1" applyAlignment="1"/>
    <xf numFmtId="0" fontId="0" fillId="0" borderId="76" xfId="0" applyBorder="1" applyAlignment="1"/>
    <xf numFmtId="0" fontId="25" fillId="7" borderId="79" xfId="0" applyFont="1" applyFill="1" applyBorder="1" applyAlignment="1">
      <alignment horizontal="center" wrapText="1"/>
    </xf>
    <xf numFmtId="0" fontId="0" fillId="7" borderId="80" xfId="0" applyFill="1" applyBorder="1" applyAlignment="1">
      <alignment wrapText="1"/>
    </xf>
    <xf numFmtId="0" fontId="0" fillId="7" borderId="62" xfId="0" applyFill="1" applyBorder="1" applyAlignment="1">
      <alignment wrapText="1"/>
    </xf>
    <xf numFmtId="0" fontId="0" fillId="7" borderId="76" xfId="0" applyFill="1" applyBorder="1" applyAlignment="1">
      <alignment wrapText="1"/>
    </xf>
    <xf numFmtId="0" fontId="23" fillId="7" borderId="80" xfId="0" applyFont="1" applyFill="1" applyBorder="1" applyAlignment="1">
      <alignment wrapText="1"/>
    </xf>
    <xf numFmtId="0" fontId="23" fillId="7" borderId="62" xfId="0" applyFont="1" applyFill="1" applyBorder="1" applyAlignment="1">
      <alignment wrapText="1"/>
    </xf>
    <xf numFmtId="0" fontId="23" fillId="7" borderId="76" xfId="0" applyFont="1" applyFill="1" applyBorder="1" applyAlignment="1">
      <alignment wrapText="1"/>
    </xf>
    <xf numFmtId="0" fontId="23" fillId="9" borderId="45" xfId="0" applyFont="1" applyFill="1" applyBorder="1" applyAlignment="1">
      <alignment horizontal="center"/>
    </xf>
    <xf numFmtId="0" fontId="25" fillId="9" borderId="60" xfId="0" applyFont="1" applyFill="1" applyBorder="1" applyAlignment="1">
      <alignment horizontal="center" vertical="center" wrapText="1"/>
    </xf>
    <xf numFmtId="0" fontId="25" fillId="10" borderId="46" xfId="0" applyFont="1" applyFill="1" applyBorder="1" applyAlignment="1"/>
    <xf numFmtId="0" fontId="25" fillId="10" borderId="78" xfId="0" applyFont="1" applyFill="1" applyBorder="1" applyAlignment="1"/>
    <xf numFmtId="0" fontId="25" fillId="10" borderId="58" xfId="0" applyFont="1" applyFill="1" applyBorder="1" applyAlignment="1"/>
    <xf numFmtId="0" fontId="25" fillId="10" borderId="45" xfId="0" applyFont="1" applyFill="1" applyBorder="1" applyAlignment="1"/>
    <xf numFmtId="0" fontId="36" fillId="10" borderId="45" xfId="0" applyFont="1" applyFill="1" applyBorder="1" applyAlignment="1"/>
    <xf numFmtId="0" fontId="61" fillId="0" borderId="45" xfId="0" applyFont="1" applyFill="1" applyBorder="1" applyAlignment="1"/>
    <xf numFmtId="0" fontId="0" fillId="0" borderId="45" xfId="0" applyBorder="1" applyAlignment="1"/>
    <xf numFmtId="0" fontId="61" fillId="0" borderId="46" xfId="0" applyFont="1" applyFill="1" applyBorder="1" applyAlignment="1"/>
    <xf numFmtId="0" fontId="61" fillId="0" borderId="78" xfId="0" applyFont="1" applyFill="1" applyBorder="1" applyAlignment="1"/>
    <xf numFmtId="0" fontId="61" fillId="0" borderId="58" xfId="0" applyFont="1" applyFill="1" applyBorder="1" applyAlignment="1"/>
    <xf numFmtId="0" fontId="26" fillId="0" borderId="45" xfId="0" applyFont="1" applyFill="1" applyBorder="1" applyAlignment="1"/>
    <xf numFmtId="0" fontId="61" fillId="10" borderId="46" xfId="0" applyFont="1" applyFill="1" applyBorder="1" applyAlignment="1"/>
    <xf numFmtId="0" fontId="0" fillId="10" borderId="78" xfId="0" applyFill="1" applyBorder="1" applyAlignment="1"/>
    <xf numFmtId="0" fontId="0" fillId="10" borderId="58" xfId="0" applyFill="1" applyBorder="1" applyAlignment="1"/>
    <xf numFmtId="0" fontId="26" fillId="10" borderId="46" xfId="0" applyFont="1" applyFill="1" applyBorder="1" applyAlignment="1"/>
    <xf numFmtId="0" fontId="0" fillId="10" borderId="79" xfId="0" applyFill="1" applyBorder="1" applyAlignment="1">
      <alignment horizontal="center"/>
    </xf>
    <xf numFmtId="0" fontId="0" fillId="7" borderId="79" xfId="0" applyFill="1" applyBorder="1" applyAlignment="1">
      <alignment horizontal="center" wrapText="1"/>
    </xf>
    <xf numFmtId="0" fontId="23" fillId="7" borderId="79" xfId="0" applyFont="1" applyFill="1" applyBorder="1" applyAlignment="1">
      <alignment horizontal="center" wrapText="1"/>
    </xf>
    <xf numFmtId="3" fontId="25" fillId="0" borderId="79" xfId="0" applyNumberFormat="1" applyFont="1" applyBorder="1" applyAlignment="1">
      <alignment horizontal="center" vertical="center" wrapText="1"/>
    </xf>
    <xf numFmtId="0" fontId="36" fillId="0" borderId="80" xfId="0" applyFont="1" applyBorder="1" applyAlignment="1">
      <alignment horizontal="center" vertical="center" wrapText="1"/>
    </xf>
    <xf numFmtId="0" fontId="36" fillId="0" borderId="62" xfId="0" applyFont="1" applyBorder="1" applyAlignment="1">
      <alignment horizontal="center" vertical="center" wrapText="1"/>
    </xf>
    <xf numFmtId="0" fontId="36" fillId="0" borderId="76" xfId="0" applyFont="1" applyBorder="1" applyAlignment="1">
      <alignment horizontal="center" vertical="center" wrapText="1"/>
    </xf>
    <xf numFmtId="0" fontId="12" fillId="10" borderId="64" xfId="0" applyFont="1" applyFill="1" applyBorder="1" applyAlignment="1">
      <alignment horizontal="center"/>
    </xf>
    <xf numFmtId="0" fontId="12" fillId="10" borderId="65" xfId="0" applyFont="1" applyFill="1" applyBorder="1" applyAlignment="1">
      <alignment horizontal="center"/>
    </xf>
    <xf numFmtId="0" fontId="12" fillId="10" borderId="66" xfId="0" applyFont="1" applyFill="1" applyBorder="1" applyAlignment="1">
      <alignment horizontal="center"/>
    </xf>
    <xf numFmtId="0" fontId="23" fillId="10" borderId="81" xfId="0" applyFont="1" applyFill="1" applyBorder="1" applyAlignment="1">
      <alignment horizontal="center" vertical="top"/>
    </xf>
    <xf numFmtId="0" fontId="0" fillId="0" borderId="70" xfId="0" applyBorder="1" applyAlignment="1">
      <alignment horizontal="center"/>
    </xf>
    <xf numFmtId="0" fontId="0" fillId="0" borderId="69" xfId="0" applyBorder="1" applyAlignment="1">
      <alignment horizontal="center"/>
    </xf>
    <xf numFmtId="0" fontId="0" fillId="0" borderId="73" xfId="0" applyBorder="1" applyAlignment="1"/>
    <xf numFmtId="0" fontId="0" fillId="0" borderId="72" xfId="0" applyBorder="1" applyAlignment="1"/>
    <xf numFmtId="0" fontId="0" fillId="0" borderId="82" xfId="0" applyBorder="1" applyAlignment="1"/>
    <xf numFmtId="0" fontId="23" fillId="22" borderId="81" xfId="0" applyFont="1" applyFill="1" applyBorder="1" applyAlignment="1">
      <alignment vertical="top"/>
    </xf>
    <xf numFmtId="0" fontId="0" fillId="22" borderId="69" xfId="0" applyFill="1" applyBorder="1" applyAlignment="1">
      <alignment vertical="top"/>
    </xf>
    <xf numFmtId="0" fontId="0" fillId="22" borderId="73" xfId="0" applyFill="1" applyBorder="1" applyAlignment="1">
      <alignment vertical="top"/>
    </xf>
    <xf numFmtId="0" fontId="0" fillId="22" borderId="82" xfId="0" applyFill="1" applyBorder="1" applyAlignment="1">
      <alignment vertical="top"/>
    </xf>
    <xf numFmtId="0" fontId="0" fillId="25" borderId="11" xfId="0" applyFill="1" applyBorder="1" applyAlignment="1">
      <alignment horizontal="left" vertical="top"/>
    </xf>
    <xf numFmtId="0" fontId="0" fillId="25" borderId="83" xfId="0" applyFill="1" applyBorder="1" applyAlignment="1">
      <alignment horizontal="left" vertical="top"/>
    </xf>
  </cellXfs>
  <cellStyles count="30">
    <cellStyle name="20% - Accent1" xfId="26" builtinId="30"/>
    <cellStyle name="Comma" xfId="22" builtinId="3"/>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8" builtinId="9" hidden="1"/>
    <cellStyle name="Followed Hyperlink" xfId="29" builtinId="9" hidden="1"/>
    <cellStyle name="Heading 1" xfId="2" builtinId="16"/>
    <cellStyle name="Hyperlink" xfId="3" builtinId="8"/>
    <cellStyle name="Neutral" xfId="27" builtinId="28"/>
    <cellStyle name="Normal" xfId="0" builtinId="0"/>
    <cellStyle name="Normal 4" xfId="1"/>
    <cellStyle name="Output" xfId="24" builtinId="21"/>
    <cellStyle name="Percent" xfId="23" builtinId="5"/>
    <cellStyle name="Total" xfId="25" builtinId="25"/>
  </cellStyles>
  <dxfs count="1">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externalLink" Target="externalLinks/externalLink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externalLink" Target="externalLinks/externalLink2.xml"/><Relationship Id="rId31" Type="http://schemas.openxmlformats.org/officeDocument/2006/relationships/externalLink" Target="externalLinks/externalLink3.xml"/><Relationship Id="rId32" Type="http://schemas.openxmlformats.org/officeDocument/2006/relationships/pivotCacheDefinition" Target="pivotCache/pivotCacheDefinition1.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pivotCacheDefinition" Target="pivotCache/pivotCacheDefinition2.xml"/><Relationship Id="rId34" Type="http://schemas.openxmlformats.org/officeDocument/2006/relationships/theme" Target="theme/theme1.xml"/><Relationship Id="rId35" Type="http://schemas.openxmlformats.org/officeDocument/2006/relationships/styles" Target="styles.xml"/><Relationship Id="rId36"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8111552867806"/>
          <c:y val="0.111111305531253"/>
          <c:w val="0.792308684280704"/>
          <c:h val="0.507408325029523"/>
        </c:manualLayout>
      </c:layout>
      <c:barChart>
        <c:barDir val="col"/>
        <c:grouping val="stacked"/>
        <c:varyColors val="0"/>
        <c:ser>
          <c:idx val="0"/>
          <c:order val="0"/>
          <c:tx>
            <c:strRef>
              <c:f>'[2]DS Logon Bar Graph'!$B$2</c:f>
              <c:strCache>
                <c:ptCount val="1"/>
                <c:pt idx="0">
                  <c:v>Active Duty</c:v>
                </c:pt>
              </c:strCache>
            </c:strRef>
          </c:tx>
          <c:spPr>
            <a:solidFill>
              <a:srgbClr val="9999FF"/>
            </a:solidFill>
            <a:ln w="12700">
              <a:solidFill>
                <a:srgbClr val="000000"/>
              </a:solidFill>
              <a:prstDash val="solid"/>
            </a:ln>
          </c:spPr>
          <c:invertIfNegative val="0"/>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'[2]DS Logon Bar Graph'!$A$36:$A$47</c:f>
              <c:strCache>
                <c:ptCount val="12"/>
                <c:pt idx="0">
                  <c:v>_x0012_Oct           FY14</c:v>
                </c:pt>
                <c:pt idx="1">
                  <c:v>_x0003_Nov</c:v>
                </c:pt>
                <c:pt idx="2">
                  <c:v>_x0003_Dec</c:v>
                </c:pt>
                <c:pt idx="3">
                  <c:v>_x0003_Jan</c:v>
                </c:pt>
                <c:pt idx="4">
                  <c:v>_x0003_Feb</c:v>
                </c:pt>
                <c:pt idx="5">
                  <c:v>_x0003_Mar</c:v>
                </c:pt>
                <c:pt idx="6">
                  <c:v>_x0003_Apr</c:v>
                </c:pt>
                <c:pt idx="7">
                  <c:v>_x0003_May</c:v>
                </c:pt>
                <c:pt idx="8">
                  <c:v>_x0004_June</c:v>
                </c:pt>
                <c:pt idx="9">
                  <c:v>_x0004_July</c:v>
                </c:pt>
                <c:pt idx="10">
                  <c:v>_x0003_Aug</c:v>
                </c:pt>
                <c:pt idx="11">
                  <c:v>_x0004_Sept</c:v>
                </c:pt>
              </c:strCache>
            </c:strRef>
          </c:cat>
          <c:val>
            <c:numRef>
              <c:f>'[2]DS Logon Bar Graph'!$B$36:$B$47</c:f>
              <c:numCache>
                <c:formatCode>General</c:formatCode>
                <c:ptCount val="12"/>
                <c:pt idx="0">
                  <c:v>581716.0</c:v>
                </c:pt>
                <c:pt idx="1">
                  <c:v>599309.0</c:v>
                </c:pt>
                <c:pt idx="2">
                  <c:v>608320.0</c:v>
                </c:pt>
                <c:pt idx="3">
                  <c:v>623088.0</c:v>
                </c:pt>
                <c:pt idx="4">
                  <c:v>636224.0</c:v>
                </c:pt>
                <c:pt idx="5">
                  <c:v>653012.0</c:v>
                </c:pt>
                <c:pt idx="6">
                  <c:v>669399.0</c:v>
                </c:pt>
                <c:pt idx="7">
                  <c:v>681040.0</c:v>
                </c:pt>
                <c:pt idx="8">
                  <c:v>690617.0</c:v>
                </c:pt>
                <c:pt idx="9">
                  <c:v>697715.0</c:v>
                </c:pt>
                <c:pt idx="10">
                  <c:v>703484.0</c:v>
                </c:pt>
                <c:pt idx="11">
                  <c:v>706995.0</c:v>
                </c:pt>
              </c:numCache>
            </c:numRef>
          </c:val>
        </c:ser>
        <c:ser>
          <c:idx val="1"/>
          <c:order val="1"/>
          <c:tx>
            <c:strRef>
              <c:f>'[2]DS Logon Bar Graph'!$C$2</c:f>
              <c:strCache>
                <c:ptCount val="1"/>
                <c:pt idx="0">
                  <c:v>Reserve</c:v>
                </c:pt>
              </c:strCache>
            </c:strRef>
          </c:tx>
          <c:spPr>
            <a:solidFill>
              <a:srgbClr val="993366"/>
            </a:solidFill>
            <a:ln w="12700">
              <a:solidFill>
                <a:srgbClr val="000000"/>
              </a:solidFill>
              <a:prstDash val="solid"/>
            </a:ln>
          </c:spPr>
          <c:invertIfNegative val="0"/>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'[2]DS Logon Bar Graph'!$A$36:$A$47</c:f>
              <c:strCache>
                <c:ptCount val="12"/>
                <c:pt idx="0">
                  <c:v>_x0012_Oct           FY14</c:v>
                </c:pt>
                <c:pt idx="1">
                  <c:v>_x0003_Nov</c:v>
                </c:pt>
                <c:pt idx="2">
                  <c:v>_x0003_Dec</c:v>
                </c:pt>
                <c:pt idx="3">
                  <c:v>_x0003_Jan</c:v>
                </c:pt>
                <c:pt idx="4">
                  <c:v>_x0003_Feb</c:v>
                </c:pt>
                <c:pt idx="5">
                  <c:v>_x0003_Mar</c:v>
                </c:pt>
                <c:pt idx="6">
                  <c:v>_x0003_Apr</c:v>
                </c:pt>
                <c:pt idx="7">
                  <c:v>_x0003_May</c:v>
                </c:pt>
                <c:pt idx="8">
                  <c:v>_x0004_June</c:v>
                </c:pt>
                <c:pt idx="9">
                  <c:v>_x0004_July</c:v>
                </c:pt>
                <c:pt idx="10">
                  <c:v>_x0003_Aug</c:v>
                </c:pt>
                <c:pt idx="11">
                  <c:v>_x0004_Sept</c:v>
                </c:pt>
              </c:strCache>
            </c:strRef>
          </c:cat>
          <c:val>
            <c:numRef>
              <c:f>'[2]DS Logon Bar Graph'!$C$36:$C$47</c:f>
              <c:numCache>
                <c:formatCode>General</c:formatCode>
                <c:ptCount val="12"/>
                <c:pt idx="0">
                  <c:v>320525.0</c:v>
                </c:pt>
                <c:pt idx="1">
                  <c:v>327790.0</c:v>
                </c:pt>
                <c:pt idx="2">
                  <c:v>335006.0</c:v>
                </c:pt>
                <c:pt idx="3">
                  <c:v>342557.0</c:v>
                </c:pt>
                <c:pt idx="4">
                  <c:v>348747.0</c:v>
                </c:pt>
                <c:pt idx="5">
                  <c:v>355726.0</c:v>
                </c:pt>
                <c:pt idx="6">
                  <c:v>361482.0</c:v>
                </c:pt>
                <c:pt idx="7">
                  <c:v>366943.0</c:v>
                </c:pt>
                <c:pt idx="8">
                  <c:v>373845.0</c:v>
                </c:pt>
                <c:pt idx="9">
                  <c:v>382974.0</c:v>
                </c:pt>
                <c:pt idx="10">
                  <c:v>391693.0</c:v>
                </c:pt>
                <c:pt idx="11">
                  <c:v>400166.0</c:v>
                </c:pt>
              </c:numCache>
            </c:numRef>
          </c:val>
        </c:ser>
        <c:ser>
          <c:idx val="2"/>
          <c:order val="2"/>
          <c:tx>
            <c:strRef>
              <c:f>'[2]DS Logon Bar Graph'!$D$2</c:f>
              <c:strCache>
                <c:ptCount val="1"/>
                <c:pt idx="0">
                  <c:v>Guard</c:v>
                </c:pt>
              </c:strCache>
            </c:strRef>
          </c:tx>
          <c:spPr>
            <a:solidFill>
              <a:srgbClr val="FFFFCC"/>
            </a:solidFill>
            <a:ln w="12700">
              <a:solidFill>
                <a:srgbClr val="000000"/>
              </a:solidFill>
              <a:prstDash val="solid"/>
            </a:ln>
          </c:spPr>
          <c:invertIfNegative val="0"/>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'[2]DS Logon Bar Graph'!$A$36:$A$47</c:f>
              <c:strCache>
                <c:ptCount val="12"/>
                <c:pt idx="0">
                  <c:v>_x0012_Oct           FY14</c:v>
                </c:pt>
                <c:pt idx="1">
                  <c:v>_x0003_Nov</c:v>
                </c:pt>
                <c:pt idx="2">
                  <c:v>_x0003_Dec</c:v>
                </c:pt>
                <c:pt idx="3">
                  <c:v>_x0003_Jan</c:v>
                </c:pt>
                <c:pt idx="4">
                  <c:v>_x0003_Feb</c:v>
                </c:pt>
                <c:pt idx="5">
                  <c:v>_x0003_Mar</c:v>
                </c:pt>
                <c:pt idx="6">
                  <c:v>_x0003_Apr</c:v>
                </c:pt>
                <c:pt idx="7">
                  <c:v>_x0003_May</c:v>
                </c:pt>
                <c:pt idx="8">
                  <c:v>_x0004_June</c:v>
                </c:pt>
                <c:pt idx="9">
                  <c:v>_x0004_July</c:v>
                </c:pt>
                <c:pt idx="10">
                  <c:v>_x0003_Aug</c:v>
                </c:pt>
                <c:pt idx="11">
                  <c:v>_x0004_Sept</c:v>
                </c:pt>
              </c:strCache>
            </c:strRef>
          </c:cat>
          <c:val>
            <c:numRef>
              <c:f>'[2]DS Logon Bar Graph'!$D$36:$D$47</c:f>
              <c:numCache>
                <c:formatCode>General</c:formatCode>
                <c:ptCount val="12"/>
                <c:pt idx="0">
                  <c:v>177096.0</c:v>
                </c:pt>
                <c:pt idx="1">
                  <c:v>179752.0</c:v>
                </c:pt>
                <c:pt idx="2">
                  <c:v>182607.0</c:v>
                </c:pt>
                <c:pt idx="3">
                  <c:v>186024.0</c:v>
                </c:pt>
                <c:pt idx="4">
                  <c:v>188863.0</c:v>
                </c:pt>
                <c:pt idx="5">
                  <c:v>191352.0</c:v>
                </c:pt>
                <c:pt idx="6">
                  <c:v>193409.0</c:v>
                </c:pt>
                <c:pt idx="7">
                  <c:v>195812.0</c:v>
                </c:pt>
                <c:pt idx="8">
                  <c:v>198134.0</c:v>
                </c:pt>
                <c:pt idx="9">
                  <c:v>201305.0</c:v>
                </c:pt>
                <c:pt idx="10">
                  <c:v>204058.0</c:v>
                </c:pt>
                <c:pt idx="11">
                  <c:v>206875.0</c:v>
                </c:pt>
              </c:numCache>
            </c:numRef>
          </c:val>
        </c:ser>
        <c:ser>
          <c:idx val="3"/>
          <c:order val="3"/>
          <c:tx>
            <c:strRef>
              <c:f>'[2]DS Logon Bar Graph'!$E$2</c:f>
              <c:strCache>
                <c:ptCount val="1"/>
                <c:pt idx="0">
                  <c:v>Retiree</c:v>
                </c:pt>
              </c:strCache>
            </c:strRef>
          </c:tx>
          <c:spPr>
            <a:solidFill>
              <a:srgbClr val="CCFFFF"/>
            </a:solidFill>
            <a:ln w="12700">
              <a:solidFill>
                <a:srgbClr val="000000"/>
              </a:solidFill>
              <a:prstDash val="solid"/>
            </a:ln>
          </c:spPr>
          <c:invertIfNegative val="0"/>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'[2]DS Logon Bar Graph'!$A$36:$A$47</c:f>
              <c:strCache>
                <c:ptCount val="12"/>
                <c:pt idx="0">
                  <c:v>_x0012_Oct           FY14</c:v>
                </c:pt>
                <c:pt idx="1">
                  <c:v>_x0003_Nov</c:v>
                </c:pt>
                <c:pt idx="2">
                  <c:v>_x0003_Dec</c:v>
                </c:pt>
                <c:pt idx="3">
                  <c:v>_x0003_Jan</c:v>
                </c:pt>
                <c:pt idx="4">
                  <c:v>_x0003_Feb</c:v>
                </c:pt>
                <c:pt idx="5">
                  <c:v>_x0003_Mar</c:v>
                </c:pt>
                <c:pt idx="6">
                  <c:v>_x0003_Apr</c:v>
                </c:pt>
                <c:pt idx="7">
                  <c:v>_x0003_May</c:v>
                </c:pt>
                <c:pt idx="8">
                  <c:v>_x0004_June</c:v>
                </c:pt>
                <c:pt idx="9">
                  <c:v>_x0004_July</c:v>
                </c:pt>
                <c:pt idx="10">
                  <c:v>_x0003_Aug</c:v>
                </c:pt>
                <c:pt idx="11">
                  <c:v>_x0004_Sept</c:v>
                </c:pt>
              </c:strCache>
            </c:strRef>
          </c:cat>
          <c:val>
            <c:numRef>
              <c:f>'[2]DS Logon Bar Graph'!$E$36:$E$47</c:f>
              <c:numCache>
                <c:formatCode>General</c:formatCode>
                <c:ptCount val="12"/>
                <c:pt idx="0">
                  <c:v>527209.0</c:v>
                </c:pt>
                <c:pt idx="1">
                  <c:v>542200.0</c:v>
                </c:pt>
                <c:pt idx="2">
                  <c:v>556245.0</c:v>
                </c:pt>
                <c:pt idx="3">
                  <c:v>571178.0</c:v>
                </c:pt>
                <c:pt idx="4">
                  <c:v>583867.0</c:v>
                </c:pt>
                <c:pt idx="5">
                  <c:v>598643.0</c:v>
                </c:pt>
                <c:pt idx="6">
                  <c:v>612251.0</c:v>
                </c:pt>
                <c:pt idx="7">
                  <c:v>624840.0</c:v>
                </c:pt>
                <c:pt idx="8">
                  <c:v>638003.0</c:v>
                </c:pt>
                <c:pt idx="9">
                  <c:v>654779.0</c:v>
                </c:pt>
                <c:pt idx="10">
                  <c:v>671026.0</c:v>
                </c:pt>
                <c:pt idx="11">
                  <c:v>688509.0</c:v>
                </c:pt>
              </c:numCache>
            </c:numRef>
          </c:val>
        </c:ser>
        <c:ser>
          <c:idx val="4"/>
          <c:order val="4"/>
          <c:tx>
            <c:strRef>
              <c:f>'[2]DS Logon Bar Graph'!$F$2</c:f>
              <c:strCache>
                <c:ptCount val="1"/>
                <c:pt idx="0">
                  <c:v>Dependant</c:v>
                </c:pt>
              </c:strCache>
            </c:strRef>
          </c:tx>
          <c:spPr>
            <a:solidFill>
              <a:srgbClr val="660066"/>
            </a:solidFill>
            <a:ln w="12700">
              <a:solidFill>
                <a:srgbClr val="000000"/>
              </a:solidFill>
              <a:prstDash val="solid"/>
            </a:ln>
          </c:spPr>
          <c:invertIfNegative val="0"/>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'[2]DS Logon Bar Graph'!$A$36:$A$47</c:f>
              <c:strCache>
                <c:ptCount val="12"/>
                <c:pt idx="0">
                  <c:v>_x0012_Oct           FY14</c:v>
                </c:pt>
                <c:pt idx="1">
                  <c:v>_x0003_Nov</c:v>
                </c:pt>
                <c:pt idx="2">
                  <c:v>_x0003_Dec</c:v>
                </c:pt>
                <c:pt idx="3">
                  <c:v>_x0003_Jan</c:v>
                </c:pt>
                <c:pt idx="4">
                  <c:v>_x0003_Feb</c:v>
                </c:pt>
                <c:pt idx="5">
                  <c:v>_x0003_Mar</c:v>
                </c:pt>
                <c:pt idx="6">
                  <c:v>_x0003_Apr</c:v>
                </c:pt>
                <c:pt idx="7">
                  <c:v>_x0003_May</c:v>
                </c:pt>
                <c:pt idx="8">
                  <c:v>_x0004_June</c:v>
                </c:pt>
                <c:pt idx="9">
                  <c:v>_x0004_July</c:v>
                </c:pt>
                <c:pt idx="10">
                  <c:v>_x0003_Aug</c:v>
                </c:pt>
                <c:pt idx="11">
                  <c:v>_x0004_Sept</c:v>
                </c:pt>
              </c:strCache>
            </c:strRef>
          </c:cat>
          <c:val>
            <c:numRef>
              <c:f>'[2]DS Logon Bar Graph'!$F$36:$F$47</c:f>
              <c:numCache>
                <c:formatCode>General</c:formatCode>
                <c:ptCount val="12"/>
                <c:pt idx="0">
                  <c:v>275894.0</c:v>
                </c:pt>
                <c:pt idx="1">
                  <c:v>287518.0</c:v>
                </c:pt>
                <c:pt idx="2">
                  <c:v>300227.0</c:v>
                </c:pt>
                <c:pt idx="3">
                  <c:v>316164.0</c:v>
                </c:pt>
                <c:pt idx="4">
                  <c:v>326745.0</c:v>
                </c:pt>
                <c:pt idx="5">
                  <c:v>343144.0</c:v>
                </c:pt>
                <c:pt idx="6">
                  <c:v>354319.0</c:v>
                </c:pt>
                <c:pt idx="7">
                  <c:v>370829.0</c:v>
                </c:pt>
                <c:pt idx="8">
                  <c:v>382112.0</c:v>
                </c:pt>
                <c:pt idx="9">
                  <c:v>397254.0</c:v>
                </c:pt>
                <c:pt idx="10">
                  <c:v>415618.0</c:v>
                </c:pt>
                <c:pt idx="11">
                  <c:v>415618.0</c:v>
                </c:pt>
              </c:numCache>
            </c:numRef>
          </c:val>
        </c:ser>
        <c:ser>
          <c:idx val="5"/>
          <c:order val="5"/>
          <c:tx>
            <c:strRef>
              <c:f>'[2]DS Logon Bar Graph'!$G$2</c:f>
              <c:strCache>
                <c:ptCount val="1"/>
                <c:pt idx="0">
                  <c:v>Veteran</c:v>
                </c:pt>
              </c:strCache>
            </c:strRef>
          </c:tx>
          <c:spPr>
            <a:solidFill>
              <a:srgbClr val="FF8080"/>
            </a:solidFill>
            <a:ln w="12700">
              <a:solidFill>
                <a:srgbClr val="000000"/>
              </a:solidFill>
              <a:prstDash val="solid"/>
            </a:ln>
          </c:spPr>
          <c:invertIfNegative val="0"/>
          <c:dLbls>
            <c:spPr>
              <a:noFill/>
              <a:ln w="25400">
                <a:noFill/>
              </a:ln>
            </c:spPr>
            <c:txPr>
              <a:bodyPr/>
              <a:lstStyle/>
              <a:p>
                <a:pPr>
                  <a:defRPr sz="8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'[2]DS Logon Bar Graph'!$A$36:$A$47</c:f>
              <c:strCache>
                <c:ptCount val="12"/>
                <c:pt idx="0">
                  <c:v>_x0012_Oct           FY14</c:v>
                </c:pt>
                <c:pt idx="1">
                  <c:v>_x0003_Nov</c:v>
                </c:pt>
                <c:pt idx="2">
                  <c:v>_x0003_Dec</c:v>
                </c:pt>
                <c:pt idx="3">
                  <c:v>_x0003_Jan</c:v>
                </c:pt>
                <c:pt idx="4">
                  <c:v>_x0003_Feb</c:v>
                </c:pt>
                <c:pt idx="5">
                  <c:v>_x0003_Mar</c:v>
                </c:pt>
                <c:pt idx="6">
                  <c:v>_x0003_Apr</c:v>
                </c:pt>
                <c:pt idx="7">
                  <c:v>_x0003_May</c:v>
                </c:pt>
                <c:pt idx="8">
                  <c:v>_x0004_June</c:v>
                </c:pt>
                <c:pt idx="9">
                  <c:v>_x0004_July</c:v>
                </c:pt>
                <c:pt idx="10">
                  <c:v>_x0003_Aug</c:v>
                </c:pt>
                <c:pt idx="11">
                  <c:v>_x0004_Sept</c:v>
                </c:pt>
              </c:strCache>
            </c:strRef>
          </c:cat>
          <c:val>
            <c:numRef>
              <c:f>'[2]DS Logon Bar Graph'!$G$36:$G$47</c:f>
              <c:numCache>
                <c:formatCode>General</c:formatCode>
                <c:ptCount val="12"/>
                <c:pt idx="0">
                  <c:v>1.288607E6</c:v>
                </c:pt>
                <c:pt idx="1">
                  <c:v>1.319414E6</c:v>
                </c:pt>
                <c:pt idx="2">
                  <c:v>1.349458E6</c:v>
                </c:pt>
                <c:pt idx="3">
                  <c:v>1.386745E6</c:v>
                </c:pt>
                <c:pt idx="4">
                  <c:v>1.420422E6</c:v>
                </c:pt>
                <c:pt idx="5">
                  <c:v>1.461949E6</c:v>
                </c:pt>
                <c:pt idx="6">
                  <c:v>1.506425E6</c:v>
                </c:pt>
                <c:pt idx="7">
                  <c:v>1.549861E6</c:v>
                </c:pt>
                <c:pt idx="8">
                  <c:v>1.589461E6</c:v>
                </c:pt>
                <c:pt idx="9">
                  <c:v>1.632673E6</c:v>
                </c:pt>
                <c:pt idx="10">
                  <c:v>1.67816E6</c:v>
                </c:pt>
                <c:pt idx="11">
                  <c:v>1.720867E6</c:v>
                </c:pt>
              </c:numCache>
            </c:numRef>
          </c:val>
        </c:ser>
        <c:dLbls>
          <c:showLegendKey val="0"/>
          <c:showVal val="0"/>
          <c:showCatName val="0"/>
          <c:showSerName val="0"/>
          <c:showPercent val="0"/>
          <c:showBubbleSize val="0"/>
        </c:dLbls>
        <c:gapWidth val="70"/>
        <c:overlap val="100"/>
        <c:axId val="-2011594664"/>
        <c:axId val="-2011591320"/>
      </c:barChart>
      <c:catAx>
        <c:axId val="-20115946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011591320"/>
        <c:crosses val="autoZero"/>
        <c:auto val="1"/>
        <c:lblAlgn val="ctr"/>
        <c:lblOffset val="100"/>
        <c:tickLblSkip val="1"/>
        <c:tickMarkSkip val="1"/>
        <c:noMultiLvlLbl val="0"/>
      </c:catAx>
      <c:valAx>
        <c:axId val="-2011591320"/>
        <c:scaling>
          <c:orientation val="minMax"/>
          <c:min val="0.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2011594664"/>
        <c:crosses val="autoZero"/>
        <c:crossBetween val="between"/>
        <c:majorUnit val="500000.0"/>
      </c:valAx>
    </c:plotArea>
    <c:legend>
      <c:legendPos val="b"/>
      <c:layout>
        <c:manualLayout>
          <c:xMode val="edge"/>
          <c:yMode val="edge"/>
          <c:x val="0.105128339726765"/>
          <c:y val="0.685186351706036"/>
          <c:w val="0.693590551181102"/>
          <c:h val="0.048148148148148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551117968985"/>
          <c:y val="0.0653684299929883"/>
          <c:w val="0.659498977350024"/>
          <c:h val="0.792416714260374"/>
        </c:manualLayout>
      </c:layout>
      <c:barChart>
        <c:barDir val="col"/>
        <c:grouping val="stacked"/>
        <c:varyColors val="0"/>
        <c:ser>
          <c:idx val="0"/>
          <c:order val="0"/>
          <c:tx>
            <c:strRef>
              <c:f>'[2]Letters by Type'!$A$8</c:f>
              <c:strCache>
                <c:ptCount val="1"/>
                <c:pt idx="0">
                  <c:v>Benefit Summary Letter</c:v>
                </c:pt>
              </c:strCache>
            </c:strRef>
          </c:tx>
          <c:spPr>
            <a:solidFill>
              <a:srgbClr val="9999FF"/>
            </a:solidFill>
            <a:ln w="12700">
              <a:solidFill>
                <a:srgbClr val="000000"/>
              </a:solidFill>
              <a:prstDash val="solid"/>
            </a:ln>
          </c:spPr>
          <c:invertIfNegative val="0"/>
          <c:dLbls>
            <c:dLbl>
              <c:idx val="0"/>
              <c:delete val="1"/>
              <c:extLst>
                <c:ext xmlns:c15="http://schemas.microsoft.com/office/drawing/2012/chart" uri="{CE6537A1-D6FC-4f65-9D91-7224C49458BB}"/>
              </c:extLst>
            </c:dLbl>
            <c:dLbl>
              <c:idx val="10"/>
              <c:spPr>
                <a:noFill/>
                <a:ln w="25400">
                  <a:noFill/>
                </a:ln>
              </c:spPr>
              <c:txPr>
                <a:bodyPr/>
                <a:lstStyle/>
                <a:p>
                  <a:pPr>
                    <a:defRPr sz="8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dLbl>
            <c:spPr>
              <a:noFill/>
              <a:ln w="25400">
                <a:noFill/>
              </a:ln>
            </c:spPr>
            <c:txPr>
              <a:bodyPr/>
              <a:lstStyle/>
              <a:p>
                <a:pPr>
                  <a:defRPr sz="8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'[2]Letters by Type'!$U$2:$AF$2</c:f>
              <c:strCache>
                <c:ptCount val="12"/>
                <c:pt idx="0">
                  <c:v>_x0003_Jan</c:v>
                </c:pt>
                <c:pt idx="1">
                  <c:v>_x0003_Feb</c:v>
                </c:pt>
                <c:pt idx="2">
                  <c:v>_x0003_Mar</c:v>
                </c:pt>
                <c:pt idx="3">
                  <c:v>_x0003_Apr</c:v>
                </c:pt>
                <c:pt idx="4">
                  <c:v>_x0003_May</c:v>
                </c:pt>
                <c:pt idx="5">
                  <c:v>_x0004_June</c:v>
                </c:pt>
                <c:pt idx="6">
                  <c:v>_x0004_July</c:v>
                </c:pt>
                <c:pt idx="7">
                  <c:v>_x0003_Aug</c:v>
                </c:pt>
                <c:pt idx="8">
                  <c:v>_x0004_Sept</c:v>
                </c:pt>
                <c:pt idx="9">
                  <c:v>	Oct FY 16</c:v>
                </c:pt>
                <c:pt idx="10">
                  <c:v>_x0003_Nov</c:v>
                </c:pt>
                <c:pt idx="11">
                  <c:v>_x0003_Dec</c:v>
                </c:pt>
              </c:strCache>
            </c:strRef>
          </c:cat>
          <c:val>
            <c:numRef>
              <c:f>'[2]Letters by Type'!$U$8:$AF$8</c:f>
              <c:numCache>
                <c:formatCode>General</c:formatCode>
                <c:ptCount val="12"/>
                <c:pt idx="0">
                  <c:v>81182.0</c:v>
                </c:pt>
                <c:pt idx="1">
                  <c:v>70128.0</c:v>
                </c:pt>
                <c:pt idx="2">
                  <c:v>72655.0</c:v>
                </c:pt>
                <c:pt idx="3">
                  <c:v>61820.0</c:v>
                </c:pt>
                <c:pt idx="4">
                  <c:v>58512.0</c:v>
                </c:pt>
                <c:pt idx="5">
                  <c:v>63010.0</c:v>
                </c:pt>
                <c:pt idx="6">
                  <c:v>66392.0</c:v>
                </c:pt>
                <c:pt idx="7">
                  <c:v>68670.0</c:v>
                </c:pt>
                <c:pt idx="8">
                  <c:v>77510.0</c:v>
                </c:pt>
                <c:pt idx="9">
                  <c:v>73961.0</c:v>
                </c:pt>
                <c:pt idx="10">
                  <c:v>60868.0</c:v>
                </c:pt>
                <c:pt idx="11">
                  <c:v>62822.0</c:v>
                </c:pt>
              </c:numCache>
            </c:numRef>
          </c:val>
        </c:ser>
        <c:ser>
          <c:idx val="1"/>
          <c:order val="1"/>
          <c:tx>
            <c:strRef>
              <c:f>'[2]Letters by Type'!$A$5</c:f>
              <c:strCache>
                <c:ptCount val="1"/>
                <c:pt idx="0">
                  <c:v>Service Verification</c:v>
                </c:pt>
              </c:strCache>
            </c:strRef>
          </c:tx>
          <c:spPr>
            <a:solidFill>
              <a:srgbClr val="993366"/>
            </a:solidFill>
            <a:ln w="12700">
              <a:solidFill>
                <a:srgbClr val="000000"/>
              </a:solidFill>
              <a:prstDash val="solid"/>
            </a:ln>
          </c:spPr>
          <c:invertIfNegative val="0"/>
          <c:dLbls>
            <c:dLbl>
              <c:idx val="0"/>
              <c:delete val="1"/>
              <c:extLst>
                <c:ext xmlns:c15="http://schemas.microsoft.com/office/drawing/2012/chart" uri="{CE6537A1-D6FC-4f65-9D91-7224C49458BB}"/>
              </c:extLst>
            </c:dLbl>
            <c:spPr>
              <a:noFill/>
              <a:ln w="25400">
                <a:noFill/>
              </a:ln>
            </c:spPr>
            <c:txPr>
              <a:bodyPr/>
              <a:lstStyle/>
              <a:p>
                <a:pPr>
                  <a:defRPr sz="8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'[2]Letters by Type'!$U$2:$AF$2</c:f>
              <c:strCache>
                <c:ptCount val="12"/>
                <c:pt idx="0">
                  <c:v>_x0003_Jan</c:v>
                </c:pt>
                <c:pt idx="1">
                  <c:v>_x0003_Feb</c:v>
                </c:pt>
                <c:pt idx="2">
                  <c:v>_x0003_Mar</c:v>
                </c:pt>
                <c:pt idx="3">
                  <c:v>_x0003_Apr</c:v>
                </c:pt>
                <c:pt idx="4">
                  <c:v>_x0003_May</c:v>
                </c:pt>
                <c:pt idx="5">
                  <c:v>_x0004_June</c:v>
                </c:pt>
                <c:pt idx="6">
                  <c:v>_x0004_July</c:v>
                </c:pt>
                <c:pt idx="7">
                  <c:v>_x0003_Aug</c:v>
                </c:pt>
                <c:pt idx="8">
                  <c:v>_x0004_Sept</c:v>
                </c:pt>
                <c:pt idx="9">
                  <c:v>	Oct FY 16</c:v>
                </c:pt>
                <c:pt idx="10">
                  <c:v>_x0003_Nov</c:v>
                </c:pt>
                <c:pt idx="11">
                  <c:v>_x0003_Dec</c:v>
                </c:pt>
              </c:strCache>
            </c:strRef>
          </c:cat>
          <c:val>
            <c:numRef>
              <c:f>'[2]Letters by Type'!$U$5:$AF$5</c:f>
              <c:numCache>
                <c:formatCode>General</c:formatCode>
                <c:ptCount val="12"/>
                <c:pt idx="0">
                  <c:v>25904.0</c:v>
                </c:pt>
                <c:pt idx="1">
                  <c:v>22283.0</c:v>
                </c:pt>
                <c:pt idx="2">
                  <c:v>22583.0</c:v>
                </c:pt>
                <c:pt idx="3">
                  <c:v>19566.0</c:v>
                </c:pt>
                <c:pt idx="4">
                  <c:v>18481.0</c:v>
                </c:pt>
                <c:pt idx="5">
                  <c:v>19060.0</c:v>
                </c:pt>
                <c:pt idx="6">
                  <c:v>21212.0</c:v>
                </c:pt>
                <c:pt idx="7">
                  <c:v>22026.0</c:v>
                </c:pt>
                <c:pt idx="8">
                  <c:v>21172.0</c:v>
                </c:pt>
                <c:pt idx="9">
                  <c:v>20887.0</c:v>
                </c:pt>
                <c:pt idx="10">
                  <c:v>17984.0</c:v>
                </c:pt>
                <c:pt idx="11">
                  <c:v>17899.0</c:v>
                </c:pt>
              </c:numCache>
            </c:numRef>
          </c:val>
        </c:ser>
        <c:ser>
          <c:idx val="2"/>
          <c:order val="2"/>
          <c:tx>
            <c:strRef>
              <c:f>'[2]Letters by Type'!$A$6</c:f>
              <c:strCache>
                <c:ptCount val="1"/>
                <c:pt idx="0">
                  <c:v>Benefit Verification</c:v>
                </c:pt>
              </c:strCache>
            </c:strRef>
          </c:tx>
          <c:spPr>
            <a:solidFill>
              <a:srgbClr val="FFFFCC"/>
            </a:solidFill>
            <a:ln w="12700">
              <a:solidFill>
                <a:srgbClr val="000000"/>
              </a:solidFill>
              <a:prstDash val="solid"/>
            </a:ln>
          </c:spPr>
          <c:invertIfNegative val="0"/>
          <c:dLbls>
            <c:dLbl>
              <c:idx val="0"/>
              <c:layout>
                <c:manualLayout>
                  <c:x val="-0.000260084326625225"/>
                  <c:y val="-0.0155523553272047"/>
                </c:manualLayout>
              </c:layout>
              <c:dLblPos val="ctr"/>
              <c:showLegendKey val="0"/>
              <c:showVal val="1"/>
              <c:showCatName val="0"/>
              <c:showSerName val="0"/>
              <c:showPercent val="0"/>
              <c:showBubbleSize val="0"/>
              <c:extLst>
                <c:ext xmlns:c15="http://schemas.microsoft.com/office/drawing/2012/chart" uri="{CE6537A1-D6FC-4f65-9D91-7224C49458BB}"/>
              </c:extLst>
            </c:dLbl>
            <c:dLbl>
              <c:idx val="9"/>
              <c:layout>
                <c:manualLayout>
                  <c:x val="-0.00356317848255862"/>
                  <c:y val="-0.00618591918145157"/>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0"/>
              <c:layout>
                <c:manualLayout>
                  <c:x val="-0.00356317520158461"/>
                  <c:y val="-0.0045174645593771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1"/>
              <c:layout>
                <c:manualLayout>
                  <c:x val="5.49902804679273E-6"/>
                  <c:y val="-0.00755234936950247"/>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a:lstStyle/>
              <a:p>
                <a:pPr>
                  <a:defRPr sz="87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'[2]Letters by Type'!$U$2:$AF$2</c:f>
              <c:strCache>
                <c:ptCount val="12"/>
                <c:pt idx="0">
                  <c:v>_x0003_Jan</c:v>
                </c:pt>
                <c:pt idx="1">
                  <c:v>_x0003_Feb</c:v>
                </c:pt>
                <c:pt idx="2">
                  <c:v>_x0003_Mar</c:v>
                </c:pt>
                <c:pt idx="3">
                  <c:v>_x0003_Apr</c:v>
                </c:pt>
                <c:pt idx="4">
                  <c:v>_x0003_May</c:v>
                </c:pt>
                <c:pt idx="5">
                  <c:v>_x0004_June</c:v>
                </c:pt>
                <c:pt idx="6">
                  <c:v>_x0004_July</c:v>
                </c:pt>
                <c:pt idx="7">
                  <c:v>_x0003_Aug</c:v>
                </c:pt>
                <c:pt idx="8">
                  <c:v>_x0004_Sept</c:v>
                </c:pt>
                <c:pt idx="9">
                  <c:v>	Oct FY 16</c:v>
                </c:pt>
                <c:pt idx="10">
                  <c:v>_x0003_Nov</c:v>
                </c:pt>
                <c:pt idx="11">
                  <c:v>_x0003_Dec</c:v>
                </c:pt>
              </c:strCache>
            </c:strRef>
          </c:cat>
          <c:val>
            <c:numRef>
              <c:f>'[2]Letters by Type'!$U$6:$AF$6</c:f>
              <c:numCache>
                <c:formatCode>General</c:formatCode>
                <c:ptCount val="12"/>
                <c:pt idx="0">
                  <c:v>113589.0</c:v>
                </c:pt>
                <c:pt idx="1">
                  <c:v>106964.0</c:v>
                </c:pt>
                <c:pt idx="2">
                  <c:v>114168.0</c:v>
                </c:pt>
                <c:pt idx="3">
                  <c:v>91388.0</c:v>
                </c:pt>
                <c:pt idx="4">
                  <c:v>88364.0</c:v>
                </c:pt>
                <c:pt idx="5">
                  <c:v>90895.0</c:v>
                </c:pt>
                <c:pt idx="6">
                  <c:v>94404.0</c:v>
                </c:pt>
                <c:pt idx="7">
                  <c:v>93747.0</c:v>
                </c:pt>
                <c:pt idx="8">
                  <c:v>98973.0</c:v>
                </c:pt>
                <c:pt idx="9">
                  <c:v>98209.0</c:v>
                </c:pt>
                <c:pt idx="10">
                  <c:v>83346.0</c:v>
                </c:pt>
                <c:pt idx="11">
                  <c:v>86570.0</c:v>
                </c:pt>
              </c:numCache>
            </c:numRef>
          </c:val>
        </c:ser>
        <c:ser>
          <c:idx val="4"/>
          <c:order val="3"/>
          <c:tx>
            <c:strRef>
              <c:f>'[2]Letters by Type'!$A$9</c:f>
              <c:strCache>
                <c:ptCount val="1"/>
                <c:pt idx="0">
                  <c:v>Proof of Service</c:v>
                </c:pt>
              </c:strCache>
            </c:strRef>
          </c:tx>
          <c:invertIfNegative val="0"/>
          <c:dLbls>
            <c:spPr>
              <a:noFill/>
              <a:ln>
                <a:noFill/>
              </a:ln>
              <a:effectLst/>
            </c:spPr>
            <c:txPr>
              <a:bodyPr/>
              <a:lstStyle/>
              <a:p>
                <a:pPr>
                  <a:defRPr sz="88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'[2]Letters by Type'!$U$2:$AF$2</c:f>
              <c:strCache>
                <c:ptCount val="12"/>
                <c:pt idx="0">
                  <c:v>_x0003_Jan</c:v>
                </c:pt>
                <c:pt idx="1">
                  <c:v>_x0003_Feb</c:v>
                </c:pt>
                <c:pt idx="2">
                  <c:v>_x0003_Mar</c:v>
                </c:pt>
                <c:pt idx="3">
                  <c:v>_x0003_Apr</c:v>
                </c:pt>
                <c:pt idx="4">
                  <c:v>_x0003_May</c:v>
                </c:pt>
                <c:pt idx="5">
                  <c:v>_x0004_June</c:v>
                </c:pt>
                <c:pt idx="6">
                  <c:v>_x0004_July</c:v>
                </c:pt>
                <c:pt idx="7">
                  <c:v>_x0003_Aug</c:v>
                </c:pt>
                <c:pt idx="8">
                  <c:v>_x0004_Sept</c:v>
                </c:pt>
                <c:pt idx="9">
                  <c:v>	Oct FY 16</c:v>
                </c:pt>
                <c:pt idx="10">
                  <c:v>_x0003_Nov</c:v>
                </c:pt>
                <c:pt idx="11">
                  <c:v>_x0003_Dec</c:v>
                </c:pt>
              </c:strCache>
            </c:strRef>
          </c:cat>
          <c:val>
            <c:numRef>
              <c:f>'[2]Letters by Type'!$U$9:$AF$9</c:f>
              <c:numCache>
                <c:formatCode>General</c:formatCode>
                <c:ptCount val="12"/>
                <c:pt idx="0">
                  <c:v>24960.0</c:v>
                </c:pt>
                <c:pt idx="1">
                  <c:v>20971.0</c:v>
                </c:pt>
                <c:pt idx="2">
                  <c:v>21000.0</c:v>
                </c:pt>
                <c:pt idx="3">
                  <c:v>18028.0</c:v>
                </c:pt>
                <c:pt idx="4">
                  <c:v>17178.0</c:v>
                </c:pt>
                <c:pt idx="5">
                  <c:v>17627.0</c:v>
                </c:pt>
                <c:pt idx="6">
                  <c:v>20091.0</c:v>
                </c:pt>
                <c:pt idx="7">
                  <c:v>21026.0</c:v>
                </c:pt>
                <c:pt idx="8">
                  <c:v>20384.0</c:v>
                </c:pt>
                <c:pt idx="9">
                  <c:v>19878.0</c:v>
                </c:pt>
                <c:pt idx="10">
                  <c:v>17609.0</c:v>
                </c:pt>
                <c:pt idx="11">
                  <c:v>17190.0</c:v>
                </c:pt>
              </c:numCache>
            </c:numRef>
          </c:val>
        </c:ser>
        <c:ser>
          <c:idx val="5"/>
          <c:order val="4"/>
          <c:tx>
            <c:strRef>
              <c:f>'[2]Letters by Type'!$A$4</c:f>
              <c:strCache>
                <c:ptCount val="1"/>
                <c:pt idx="0">
                  <c:v>Civil Service Preference</c:v>
                </c:pt>
              </c:strCache>
            </c:strRef>
          </c:tx>
          <c:invertIfNegative val="0"/>
          <c:dLbls>
            <c:spPr>
              <a:noFill/>
              <a:ln>
                <a:noFill/>
              </a:ln>
              <a:effectLst/>
            </c:spPr>
            <c:txPr>
              <a:bodyPr/>
              <a:lstStyle/>
              <a:p>
                <a:pPr>
                  <a:defRPr sz="88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'[2]Letters by Type'!$U$2:$AF$2</c:f>
              <c:strCache>
                <c:ptCount val="12"/>
                <c:pt idx="0">
                  <c:v>_x0003_Jan</c:v>
                </c:pt>
                <c:pt idx="1">
                  <c:v>_x0003_Feb</c:v>
                </c:pt>
                <c:pt idx="2">
                  <c:v>_x0003_Mar</c:v>
                </c:pt>
                <c:pt idx="3">
                  <c:v>_x0003_Apr</c:v>
                </c:pt>
                <c:pt idx="4">
                  <c:v>_x0003_May</c:v>
                </c:pt>
                <c:pt idx="5">
                  <c:v>_x0004_June</c:v>
                </c:pt>
                <c:pt idx="6">
                  <c:v>_x0004_July</c:v>
                </c:pt>
                <c:pt idx="7">
                  <c:v>_x0003_Aug</c:v>
                </c:pt>
                <c:pt idx="8">
                  <c:v>_x0004_Sept</c:v>
                </c:pt>
                <c:pt idx="9">
                  <c:v>	Oct FY 16</c:v>
                </c:pt>
                <c:pt idx="10">
                  <c:v>_x0003_Nov</c:v>
                </c:pt>
                <c:pt idx="11">
                  <c:v>_x0003_Dec</c:v>
                </c:pt>
              </c:strCache>
            </c:strRef>
          </c:cat>
          <c:val>
            <c:numRef>
              <c:f>'[2]Letters by Type'!$U$4:$AF$4</c:f>
              <c:numCache>
                <c:formatCode>General</c:formatCode>
                <c:ptCount val="12"/>
                <c:pt idx="0">
                  <c:v>28932.0</c:v>
                </c:pt>
                <c:pt idx="1">
                  <c:v>26484.0</c:v>
                </c:pt>
                <c:pt idx="2">
                  <c:v>27976.0</c:v>
                </c:pt>
                <c:pt idx="3">
                  <c:v>24868.0</c:v>
                </c:pt>
                <c:pt idx="4">
                  <c:v>21807.0</c:v>
                </c:pt>
                <c:pt idx="5">
                  <c:v>23482.0</c:v>
                </c:pt>
                <c:pt idx="6">
                  <c:v>25145.0</c:v>
                </c:pt>
                <c:pt idx="7">
                  <c:v>26941.0</c:v>
                </c:pt>
                <c:pt idx="8">
                  <c:v>27195.0</c:v>
                </c:pt>
                <c:pt idx="9">
                  <c:v>25723.0</c:v>
                </c:pt>
                <c:pt idx="10">
                  <c:v>21671.0</c:v>
                </c:pt>
                <c:pt idx="11">
                  <c:v>22191.0</c:v>
                </c:pt>
              </c:numCache>
            </c:numRef>
          </c:val>
        </c:ser>
        <c:ser>
          <c:idx val="3"/>
          <c:order val="5"/>
          <c:tx>
            <c:strRef>
              <c:f>'[2]Letters by Type'!$A$7</c:f>
              <c:strCache>
                <c:ptCount val="1"/>
                <c:pt idx="0">
                  <c:v>Commissary</c:v>
                </c:pt>
              </c:strCache>
            </c:strRef>
          </c:tx>
          <c:invertIfNegative val="0"/>
          <c:dLbls>
            <c:spPr>
              <a:noFill/>
              <a:ln>
                <a:noFill/>
              </a:ln>
              <a:effectLst/>
            </c:spPr>
            <c:txPr>
              <a:bodyPr/>
              <a:lstStyle/>
              <a:p>
                <a:pPr>
                  <a:defRPr sz="88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'[2]Letters by Type'!$U$2:$AF$2</c:f>
              <c:strCache>
                <c:ptCount val="12"/>
                <c:pt idx="0">
                  <c:v>_x0003_Jan</c:v>
                </c:pt>
                <c:pt idx="1">
                  <c:v>_x0003_Feb</c:v>
                </c:pt>
                <c:pt idx="2">
                  <c:v>_x0003_Mar</c:v>
                </c:pt>
                <c:pt idx="3">
                  <c:v>_x0003_Apr</c:v>
                </c:pt>
                <c:pt idx="4">
                  <c:v>_x0003_May</c:v>
                </c:pt>
                <c:pt idx="5">
                  <c:v>_x0004_June</c:v>
                </c:pt>
                <c:pt idx="6">
                  <c:v>_x0004_July</c:v>
                </c:pt>
                <c:pt idx="7">
                  <c:v>_x0003_Aug</c:v>
                </c:pt>
                <c:pt idx="8">
                  <c:v>_x0004_Sept</c:v>
                </c:pt>
                <c:pt idx="9">
                  <c:v>	Oct FY 16</c:v>
                </c:pt>
                <c:pt idx="10">
                  <c:v>_x0003_Nov</c:v>
                </c:pt>
                <c:pt idx="11">
                  <c:v>_x0003_Dec</c:v>
                </c:pt>
              </c:strCache>
            </c:strRef>
          </c:cat>
          <c:val>
            <c:numRef>
              <c:f>'[2]Letters by Type'!$U$7:$AF$7</c:f>
              <c:numCache>
                <c:formatCode>General</c:formatCode>
                <c:ptCount val="12"/>
                <c:pt idx="0">
                  <c:v>4260.0</c:v>
                </c:pt>
                <c:pt idx="1">
                  <c:v>3868.0</c:v>
                </c:pt>
                <c:pt idx="2">
                  <c:v>4316.0</c:v>
                </c:pt>
                <c:pt idx="3">
                  <c:v>3782.0</c:v>
                </c:pt>
                <c:pt idx="4">
                  <c:v>3708.0</c:v>
                </c:pt>
                <c:pt idx="5">
                  <c:v>3884.0</c:v>
                </c:pt>
                <c:pt idx="6">
                  <c:v>4000.0</c:v>
                </c:pt>
                <c:pt idx="7">
                  <c:v>3926.0</c:v>
                </c:pt>
                <c:pt idx="8">
                  <c:v>20518.0</c:v>
                </c:pt>
                <c:pt idx="9">
                  <c:v>18926.0</c:v>
                </c:pt>
                <c:pt idx="10">
                  <c:v>3570.0</c:v>
                </c:pt>
                <c:pt idx="11">
                  <c:v>3662.0</c:v>
                </c:pt>
              </c:numCache>
            </c:numRef>
          </c:val>
        </c:ser>
        <c:ser>
          <c:idx val="6"/>
          <c:order val="6"/>
          <c:tx>
            <c:strRef>
              <c:f>'[2]Letters by Type'!$A$10</c:f>
              <c:strCache>
                <c:ptCount val="1"/>
                <c:pt idx="0">
                  <c:v>Affortable Care Act</c:v>
                </c:pt>
              </c:strCache>
            </c:strRef>
          </c:tx>
          <c:invertIfNegative val="0"/>
          <c:dLbls>
            <c:spPr>
              <a:noFill/>
              <a:ln>
                <a:noFill/>
              </a:ln>
              <a:effectLst/>
            </c:spPr>
            <c:txPr>
              <a:bodyPr/>
              <a:lstStyle/>
              <a:p>
                <a:pPr>
                  <a:defRPr sz="880"/>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'[2]Letters by Type'!$U$2:$AF$2</c:f>
              <c:strCache>
                <c:ptCount val="12"/>
                <c:pt idx="0">
                  <c:v>_x0003_Jan</c:v>
                </c:pt>
                <c:pt idx="1">
                  <c:v>_x0003_Feb</c:v>
                </c:pt>
                <c:pt idx="2">
                  <c:v>_x0003_Mar</c:v>
                </c:pt>
                <c:pt idx="3">
                  <c:v>_x0003_Apr</c:v>
                </c:pt>
                <c:pt idx="4">
                  <c:v>_x0003_May</c:v>
                </c:pt>
                <c:pt idx="5">
                  <c:v>_x0004_June</c:v>
                </c:pt>
                <c:pt idx="6">
                  <c:v>_x0004_July</c:v>
                </c:pt>
                <c:pt idx="7">
                  <c:v>_x0003_Aug</c:v>
                </c:pt>
                <c:pt idx="8">
                  <c:v>_x0004_Sept</c:v>
                </c:pt>
                <c:pt idx="9">
                  <c:v>	Oct FY 16</c:v>
                </c:pt>
                <c:pt idx="10">
                  <c:v>_x0003_Nov</c:v>
                </c:pt>
                <c:pt idx="11">
                  <c:v>_x0003_Dec</c:v>
                </c:pt>
              </c:strCache>
            </c:strRef>
          </c:cat>
          <c:val>
            <c:numRef>
              <c:f>'[2]Letters by Type'!$U$10:$AF$10</c:f>
              <c:numCache>
                <c:formatCode>General</c:formatCode>
                <c:ptCount val="12"/>
                <c:pt idx="0">
                  <c:v>26547.0</c:v>
                </c:pt>
                <c:pt idx="1">
                  <c:v>21803.0</c:v>
                </c:pt>
                <c:pt idx="2">
                  <c:v>19736.0</c:v>
                </c:pt>
                <c:pt idx="3">
                  <c:v>16157.0</c:v>
                </c:pt>
                <c:pt idx="4">
                  <c:v>15127.0</c:v>
                </c:pt>
                <c:pt idx="5">
                  <c:v>14617.0</c:v>
                </c:pt>
                <c:pt idx="6">
                  <c:v>17557.0</c:v>
                </c:pt>
                <c:pt idx="7">
                  <c:v>19235.0</c:v>
                </c:pt>
                <c:pt idx="8">
                  <c:v>18414.0</c:v>
                </c:pt>
                <c:pt idx="9">
                  <c:v>17178.0</c:v>
                </c:pt>
                <c:pt idx="10">
                  <c:v>15745.0</c:v>
                </c:pt>
                <c:pt idx="11">
                  <c:v>10696.0</c:v>
                </c:pt>
              </c:numCache>
            </c:numRef>
          </c:val>
        </c:ser>
        <c:dLbls>
          <c:showLegendKey val="0"/>
          <c:showVal val="0"/>
          <c:showCatName val="0"/>
          <c:showSerName val="0"/>
          <c:showPercent val="0"/>
          <c:showBubbleSize val="0"/>
        </c:dLbls>
        <c:gapWidth val="40"/>
        <c:overlap val="100"/>
        <c:axId val="-2010224808"/>
        <c:axId val="-2010218632"/>
      </c:barChart>
      <c:catAx>
        <c:axId val="-2010224808"/>
        <c:scaling>
          <c:orientation val="minMax"/>
        </c:scaling>
        <c:delete val="0"/>
        <c:axPos val="b"/>
        <c:title>
          <c:tx>
            <c:rich>
              <a:bodyPr/>
              <a:lstStyle/>
              <a:p>
                <a:pPr>
                  <a:defRPr sz="1200" b="0" i="0" u="none" strike="noStrike" baseline="0">
                    <a:solidFill>
                      <a:srgbClr val="000000"/>
                    </a:solidFill>
                    <a:latin typeface="Arial"/>
                    <a:ea typeface="Arial"/>
                    <a:cs typeface="Arial"/>
                  </a:defRPr>
                </a:pPr>
                <a:r>
                  <a:rPr lang="en-US"/>
                  <a:t>Number of Letters Generated (Jan '15 - Dec '15) = 3,056,793</a:t>
                </a:r>
              </a:p>
            </c:rich>
          </c:tx>
          <c:layout>
            <c:manualLayout>
              <c:xMode val="edge"/>
              <c:yMode val="edge"/>
              <c:x val="0.198271054063709"/>
              <c:y val="0.944726836322697"/>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010218632"/>
        <c:crosses val="autoZero"/>
        <c:auto val="1"/>
        <c:lblAlgn val="ctr"/>
        <c:lblOffset val="100"/>
        <c:noMultiLvlLbl val="0"/>
      </c:catAx>
      <c:valAx>
        <c:axId val="-2010218632"/>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010224808"/>
        <c:crosses val="autoZero"/>
        <c:crossBetween val="between"/>
      </c:valAx>
      <c:spPr>
        <a:noFill/>
        <a:ln w="12700">
          <a:solidFill>
            <a:srgbClr val="808080"/>
          </a:solidFill>
          <a:prstDash val="solid"/>
        </a:ln>
      </c:spPr>
    </c:plotArea>
    <c:legend>
      <c:legendPos val="r"/>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8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orientation="landscape"/>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Calibri"/>
                <a:ea typeface="Calibri"/>
                <a:cs typeface="Calibri"/>
              </a:defRPr>
            </a:pPr>
            <a:r>
              <a:rPr lang="en-US"/>
              <a:t>Weekly eBenefits Unique Page Views &amp; NCC Activity</a:t>
            </a:r>
          </a:p>
        </c:rich>
      </c:tx>
      <c:layout>
        <c:manualLayout>
          <c:xMode val="edge"/>
          <c:yMode val="edge"/>
          <c:x val="0.430114358322745"/>
          <c:y val="0.00856269113149847"/>
        </c:manualLayout>
      </c:layout>
      <c:overlay val="0"/>
      <c:spPr>
        <a:noFill/>
        <a:ln w="25400">
          <a:noFill/>
        </a:ln>
      </c:spPr>
    </c:title>
    <c:autoTitleDeleted val="0"/>
    <c:plotArea>
      <c:layout>
        <c:manualLayout>
          <c:layoutTarget val="inner"/>
          <c:xMode val="edge"/>
          <c:yMode val="edge"/>
          <c:x val="0.0675031766200762"/>
          <c:y val="0.0574923890794564"/>
          <c:w val="0.845298602287167"/>
          <c:h val="0.921101467592142"/>
        </c:manualLayout>
      </c:layout>
      <c:lineChart>
        <c:grouping val="standard"/>
        <c:varyColors val="0"/>
        <c:ser>
          <c:idx val="1"/>
          <c:order val="1"/>
          <c:tx>
            <c:strRef>
              <c:f>'[3]Oct 2011 - April 2012'!$A$6</c:f>
              <c:strCache>
                <c:ptCount val="1"/>
                <c:pt idx="0">
                  <c:v>eBenefits Visits</c:v>
                </c:pt>
              </c:strCache>
            </c:strRef>
          </c:tx>
          <c:cat>
            <c:numRef>
              <c:f>'[3]Oct 2011 - April 2012'!$BV$4:$CI$4</c:f>
              <c:numCache>
                <c:formatCode>General</c:formatCode>
                <c:ptCount val="14"/>
                <c:pt idx="0">
                  <c:v>40956.0</c:v>
                </c:pt>
                <c:pt idx="1">
                  <c:v>40963.0</c:v>
                </c:pt>
                <c:pt idx="2">
                  <c:v>40970.0</c:v>
                </c:pt>
                <c:pt idx="3">
                  <c:v>40977.0</c:v>
                </c:pt>
                <c:pt idx="4">
                  <c:v>40984.0</c:v>
                </c:pt>
                <c:pt idx="5">
                  <c:v>40991.0</c:v>
                </c:pt>
                <c:pt idx="6">
                  <c:v>40998.0</c:v>
                </c:pt>
                <c:pt idx="7">
                  <c:v>41005.0</c:v>
                </c:pt>
                <c:pt idx="8">
                  <c:v>41012.0</c:v>
                </c:pt>
                <c:pt idx="9">
                  <c:v>41019.0</c:v>
                </c:pt>
                <c:pt idx="10">
                  <c:v>41026.0</c:v>
                </c:pt>
                <c:pt idx="11">
                  <c:v>41033.0</c:v>
                </c:pt>
                <c:pt idx="12">
                  <c:v>41040.0</c:v>
                </c:pt>
                <c:pt idx="13">
                  <c:v>41047.0</c:v>
                </c:pt>
              </c:numCache>
            </c:numRef>
          </c:cat>
          <c:val>
            <c:numRef>
              <c:f>'[3]Oct 2011 - April 2012'!$BW$6:$CI$6</c:f>
              <c:numCache>
                <c:formatCode>General</c:formatCode>
                <c:ptCount val="13"/>
                <c:pt idx="0">
                  <c:v>304364.0</c:v>
                </c:pt>
                <c:pt idx="1">
                  <c:v>341346.0</c:v>
                </c:pt>
                <c:pt idx="2">
                  <c:v>308803.0</c:v>
                </c:pt>
                <c:pt idx="3">
                  <c:v>300721.0</c:v>
                </c:pt>
                <c:pt idx="4">
                  <c:v>303385.0</c:v>
                </c:pt>
                <c:pt idx="5">
                  <c:v>321199.0</c:v>
                </c:pt>
                <c:pt idx="6">
                  <c:v>315231.0</c:v>
                </c:pt>
                <c:pt idx="7">
                  <c:v>310963.0</c:v>
                </c:pt>
                <c:pt idx="8">
                  <c:v>334142.0</c:v>
                </c:pt>
                <c:pt idx="9">
                  <c:v>316352.0</c:v>
                </c:pt>
                <c:pt idx="10">
                  <c:v>316953.0</c:v>
                </c:pt>
                <c:pt idx="11">
                  <c:v>304934.0</c:v>
                </c:pt>
                <c:pt idx="12">
                  <c:v>306379.0</c:v>
                </c:pt>
              </c:numCache>
            </c:numRef>
          </c:val>
          <c:smooth val="0"/>
        </c:ser>
        <c:ser>
          <c:idx val="2"/>
          <c:order val="2"/>
          <c:tx>
            <c:strRef>
              <c:f>'[3]Oct 2011 - April 2012'!$A$7</c:f>
              <c:strCache>
                <c:ptCount val="1"/>
                <c:pt idx="0">
                  <c:v>C&amp;P Claims Status</c:v>
                </c:pt>
              </c:strCache>
            </c:strRef>
          </c:tx>
          <c:cat>
            <c:numRef>
              <c:f>'[3]Oct 2011 - April 2012'!$BV$4:$CI$4</c:f>
              <c:numCache>
                <c:formatCode>General</c:formatCode>
                <c:ptCount val="14"/>
                <c:pt idx="0">
                  <c:v>40956.0</c:v>
                </c:pt>
                <c:pt idx="1">
                  <c:v>40963.0</c:v>
                </c:pt>
                <c:pt idx="2">
                  <c:v>40970.0</c:v>
                </c:pt>
                <c:pt idx="3">
                  <c:v>40977.0</c:v>
                </c:pt>
                <c:pt idx="4">
                  <c:v>40984.0</c:v>
                </c:pt>
                <c:pt idx="5">
                  <c:v>40991.0</c:v>
                </c:pt>
                <c:pt idx="6">
                  <c:v>40998.0</c:v>
                </c:pt>
                <c:pt idx="7">
                  <c:v>41005.0</c:v>
                </c:pt>
                <c:pt idx="8">
                  <c:v>41012.0</c:v>
                </c:pt>
                <c:pt idx="9">
                  <c:v>41019.0</c:v>
                </c:pt>
                <c:pt idx="10">
                  <c:v>41026.0</c:v>
                </c:pt>
                <c:pt idx="11">
                  <c:v>41033.0</c:v>
                </c:pt>
                <c:pt idx="12">
                  <c:v>41040.0</c:v>
                </c:pt>
                <c:pt idx="13">
                  <c:v>41047.0</c:v>
                </c:pt>
              </c:numCache>
            </c:numRef>
          </c:cat>
          <c:val>
            <c:numRef>
              <c:f>'[3]Oct 2011 - April 2012'!$BV$7:$CI$7</c:f>
              <c:numCache>
                <c:formatCode>General</c:formatCode>
                <c:ptCount val="14"/>
                <c:pt idx="0">
                  <c:v>188030.0</c:v>
                </c:pt>
                <c:pt idx="1">
                  <c:v>172203.0</c:v>
                </c:pt>
                <c:pt idx="2">
                  <c:v>189585.0</c:v>
                </c:pt>
                <c:pt idx="3">
                  <c:v>183035.0</c:v>
                </c:pt>
                <c:pt idx="4">
                  <c:v>178395.0</c:v>
                </c:pt>
                <c:pt idx="5">
                  <c:v>184402.0</c:v>
                </c:pt>
                <c:pt idx="6">
                  <c:v>191124.0</c:v>
                </c:pt>
                <c:pt idx="7">
                  <c:v>170151.0</c:v>
                </c:pt>
                <c:pt idx="8">
                  <c:v>170015.0</c:v>
                </c:pt>
                <c:pt idx="9">
                  <c:v>184719.0</c:v>
                </c:pt>
                <c:pt idx="10">
                  <c:v>212752.0</c:v>
                </c:pt>
                <c:pt idx="11">
                  <c:v>200199.0</c:v>
                </c:pt>
                <c:pt idx="12">
                  <c:v>198543.0</c:v>
                </c:pt>
                <c:pt idx="13">
                  <c:v>198926.0</c:v>
                </c:pt>
              </c:numCache>
            </c:numRef>
          </c:val>
          <c:smooth val="0"/>
        </c:ser>
        <c:ser>
          <c:idx val="3"/>
          <c:order val="3"/>
          <c:tx>
            <c:strRef>
              <c:f>'[3]Oct 2011 - April 2012'!$A$8</c:f>
              <c:strCache>
                <c:ptCount val="1"/>
                <c:pt idx="0">
                  <c:v>Payment History</c:v>
                </c:pt>
              </c:strCache>
            </c:strRef>
          </c:tx>
          <c:cat>
            <c:numRef>
              <c:f>'[3]Oct 2011 - April 2012'!$BV$4:$CI$4</c:f>
              <c:numCache>
                <c:formatCode>General</c:formatCode>
                <c:ptCount val="14"/>
                <c:pt idx="0">
                  <c:v>40956.0</c:v>
                </c:pt>
                <c:pt idx="1">
                  <c:v>40963.0</c:v>
                </c:pt>
                <c:pt idx="2">
                  <c:v>40970.0</c:v>
                </c:pt>
                <c:pt idx="3">
                  <c:v>40977.0</c:v>
                </c:pt>
                <c:pt idx="4">
                  <c:v>40984.0</c:v>
                </c:pt>
                <c:pt idx="5">
                  <c:v>40991.0</c:v>
                </c:pt>
                <c:pt idx="6">
                  <c:v>40998.0</c:v>
                </c:pt>
                <c:pt idx="7">
                  <c:v>41005.0</c:v>
                </c:pt>
                <c:pt idx="8">
                  <c:v>41012.0</c:v>
                </c:pt>
                <c:pt idx="9">
                  <c:v>41019.0</c:v>
                </c:pt>
                <c:pt idx="10">
                  <c:v>41026.0</c:v>
                </c:pt>
                <c:pt idx="11">
                  <c:v>41033.0</c:v>
                </c:pt>
                <c:pt idx="12">
                  <c:v>41040.0</c:v>
                </c:pt>
                <c:pt idx="13">
                  <c:v>41047.0</c:v>
                </c:pt>
              </c:numCache>
            </c:numRef>
          </c:cat>
          <c:val>
            <c:numRef>
              <c:f>'[3]Oct 2011 - April 2012'!$BT$8:$CI$8</c:f>
              <c:numCache>
                <c:formatCode>General</c:formatCode>
                <c:ptCount val="16"/>
                <c:pt idx="0">
                  <c:v>80083.0</c:v>
                </c:pt>
                <c:pt idx="1">
                  <c:v>50402.0</c:v>
                </c:pt>
                <c:pt idx="2">
                  <c:v>63640.0</c:v>
                </c:pt>
                <c:pt idx="3">
                  <c:v>73474.0</c:v>
                </c:pt>
                <c:pt idx="4">
                  <c:v>88164.0</c:v>
                </c:pt>
                <c:pt idx="5">
                  <c:v>58687.0</c:v>
                </c:pt>
                <c:pt idx="6">
                  <c:v>57354.0</c:v>
                </c:pt>
                <c:pt idx="7">
                  <c:v>66961.0</c:v>
                </c:pt>
                <c:pt idx="8">
                  <c:v>90244.0</c:v>
                </c:pt>
                <c:pt idx="9">
                  <c:v>62849.0</c:v>
                </c:pt>
                <c:pt idx="10">
                  <c:v>58230.0</c:v>
                </c:pt>
                <c:pt idx="11">
                  <c:v>67469.0</c:v>
                </c:pt>
                <c:pt idx="12">
                  <c:v>55020.0</c:v>
                </c:pt>
                <c:pt idx="13">
                  <c:v>88091.0</c:v>
                </c:pt>
                <c:pt idx="14">
                  <c:v>68421.0</c:v>
                </c:pt>
                <c:pt idx="15">
                  <c:v>69479.0</c:v>
                </c:pt>
              </c:numCache>
            </c:numRef>
          </c:val>
          <c:smooth val="0"/>
        </c:ser>
        <c:ser>
          <c:idx val="4"/>
          <c:order val="4"/>
          <c:tx>
            <c:strRef>
              <c:f>'[3]Oct 2011 - April 2012'!$A$9</c:f>
              <c:strCache>
                <c:ptCount val="1"/>
                <c:pt idx="0">
                  <c:v>Appeals Status</c:v>
                </c:pt>
              </c:strCache>
            </c:strRef>
          </c:tx>
          <c:spPr>
            <a:ln w="25400">
              <a:solidFill>
                <a:srgbClr val="808000"/>
              </a:solidFill>
              <a:prstDash val="solid"/>
            </a:ln>
          </c:spPr>
          <c:marker>
            <c:spPr>
              <a:solidFill>
                <a:srgbClr val="808000"/>
              </a:solidFill>
              <a:ln>
                <a:solidFill>
                  <a:srgbClr val="808000"/>
                </a:solidFill>
                <a:prstDash val="solid"/>
              </a:ln>
            </c:spPr>
          </c:marker>
          <c:cat>
            <c:numRef>
              <c:f>'[3]Oct 2011 - April 2012'!$BV$4:$CI$4</c:f>
              <c:numCache>
                <c:formatCode>General</c:formatCode>
                <c:ptCount val="14"/>
                <c:pt idx="0">
                  <c:v>40956.0</c:v>
                </c:pt>
                <c:pt idx="1">
                  <c:v>40963.0</c:v>
                </c:pt>
                <c:pt idx="2">
                  <c:v>40970.0</c:v>
                </c:pt>
                <c:pt idx="3">
                  <c:v>40977.0</c:v>
                </c:pt>
                <c:pt idx="4">
                  <c:v>40984.0</c:v>
                </c:pt>
                <c:pt idx="5">
                  <c:v>40991.0</c:v>
                </c:pt>
                <c:pt idx="6">
                  <c:v>40998.0</c:v>
                </c:pt>
                <c:pt idx="7">
                  <c:v>41005.0</c:v>
                </c:pt>
                <c:pt idx="8">
                  <c:v>41012.0</c:v>
                </c:pt>
                <c:pt idx="9">
                  <c:v>41019.0</c:v>
                </c:pt>
                <c:pt idx="10">
                  <c:v>41026.0</c:v>
                </c:pt>
                <c:pt idx="11">
                  <c:v>41033.0</c:v>
                </c:pt>
                <c:pt idx="12">
                  <c:v>41040.0</c:v>
                </c:pt>
                <c:pt idx="13">
                  <c:v>41047.0</c:v>
                </c:pt>
              </c:numCache>
            </c:numRef>
          </c:cat>
          <c:val>
            <c:numRef>
              <c:f>'[3]Oct 2011 - April 2012'!$B$9:$CI$9</c:f>
              <c:numCache>
                <c:formatCode>General</c:formatCode>
                <c:ptCount val="86"/>
                <c:pt idx="0">
                  <c:v>2043.0</c:v>
                </c:pt>
                <c:pt idx="1">
                  <c:v>1994.0</c:v>
                </c:pt>
                <c:pt idx="2">
                  <c:v>1673.0</c:v>
                </c:pt>
                <c:pt idx="3">
                  <c:v>1903.0</c:v>
                </c:pt>
                <c:pt idx="4">
                  <c:v>2117.0</c:v>
                </c:pt>
                <c:pt idx="5">
                  <c:v>2185.0</c:v>
                </c:pt>
                <c:pt idx="6">
                  <c:v>2176.0</c:v>
                </c:pt>
                <c:pt idx="7">
                  <c:v>2468.0</c:v>
                </c:pt>
                <c:pt idx="8">
                  <c:v>1681.0</c:v>
                </c:pt>
                <c:pt idx="9">
                  <c:v>2703.0</c:v>
                </c:pt>
                <c:pt idx="10">
                  <c:v>4324.0</c:v>
                </c:pt>
                <c:pt idx="11">
                  <c:v>4396.0</c:v>
                </c:pt>
                <c:pt idx="12">
                  <c:v>3681.0</c:v>
                </c:pt>
                <c:pt idx="13">
                  <c:v>4186.0</c:v>
                </c:pt>
                <c:pt idx="14">
                  <c:v>5428.0</c:v>
                </c:pt>
                <c:pt idx="15">
                  <c:v>5358.0</c:v>
                </c:pt>
                <c:pt idx="16">
                  <c:v>4852.0</c:v>
                </c:pt>
                <c:pt idx="17">
                  <c:v>4839.0</c:v>
                </c:pt>
                <c:pt idx="18">
                  <c:v>6036.0</c:v>
                </c:pt>
                <c:pt idx="19">
                  <c:v>6238.0</c:v>
                </c:pt>
                <c:pt idx="20">
                  <c:v>6521.0</c:v>
                </c:pt>
                <c:pt idx="21">
                  <c:v>6971.0</c:v>
                </c:pt>
                <c:pt idx="22">
                  <c:v>7103.0</c:v>
                </c:pt>
                <c:pt idx="23">
                  <c:v>8044.0</c:v>
                </c:pt>
                <c:pt idx="24">
                  <c:v>8293.0</c:v>
                </c:pt>
                <c:pt idx="25">
                  <c:v>9032.0</c:v>
                </c:pt>
                <c:pt idx="26">
                  <c:v>7938.0</c:v>
                </c:pt>
                <c:pt idx="27">
                  <c:v>8858.0</c:v>
                </c:pt>
                <c:pt idx="28">
                  <c:v>8861.0</c:v>
                </c:pt>
                <c:pt idx="29">
                  <c:v>9396.0</c:v>
                </c:pt>
                <c:pt idx="30">
                  <c:v>9249.0</c:v>
                </c:pt>
                <c:pt idx="31">
                  <c:v>9311.0</c:v>
                </c:pt>
                <c:pt idx="32">
                  <c:v>6729.0</c:v>
                </c:pt>
                <c:pt idx="33">
                  <c:v>7223.0</c:v>
                </c:pt>
                <c:pt idx="34">
                  <c:v>8385.0</c:v>
                </c:pt>
                <c:pt idx="35">
                  <c:v>8164.0</c:v>
                </c:pt>
                <c:pt idx="36">
                  <c:v>8987.0</c:v>
                </c:pt>
                <c:pt idx="37">
                  <c:v>9260.0</c:v>
                </c:pt>
                <c:pt idx="38">
                  <c:v>9810.0</c:v>
                </c:pt>
                <c:pt idx="39">
                  <c:v>10004.0</c:v>
                </c:pt>
                <c:pt idx="40">
                  <c:v>9165.0</c:v>
                </c:pt>
                <c:pt idx="41">
                  <c:v>10498.0</c:v>
                </c:pt>
                <c:pt idx="42">
                  <c:v>11604.0</c:v>
                </c:pt>
                <c:pt idx="43">
                  <c:v>11959.0</c:v>
                </c:pt>
                <c:pt idx="44">
                  <c:v>10272.0</c:v>
                </c:pt>
                <c:pt idx="45">
                  <c:v>11528.0</c:v>
                </c:pt>
                <c:pt idx="46">
                  <c:v>12337.0</c:v>
                </c:pt>
                <c:pt idx="47">
                  <c:v>8814.0</c:v>
                </c:pt>
                <c:pt idx="48">
                  <c:v>13511.0</c:v>
                </c:pt>
                <c:pt idx="49">
                  <c:v>11860.0</c:v>
                </c:pt>
                <c:pt idx="50">
                  <c:v>13192.0</c:v>
                </c:pt>
                <c:pt idx="51">
                  <c:v>13735.0</c:v>
                </c:pt>
                <c:pt idx="52">
                  <c:v>14888.0</c:v>
                </c:pt>
                <c:pt idx="53">
                  <c:v>16760.0</c:v>
                </c:pt>
                <c:pt idx="54">
                  <c:v>14691.0</c:v>
                </c:pt>
                <c:pt idx="55">
                  <c:v>16504.0</c:v>
                </c:pt>
                <c:pt idx="56">
                  <c:v>16956.0</c:v>
                </c:pt>
                <c:pt idx="57">
                  <c:v>16325.0</c:v>
                </c:pt>
                <c:pt idx="58">
                  <c:v>15177.0</c:v>
                </c:pt>
                <c:pt idx="59">
                  <c:v>17716.0</c:v>
                </c:pt>
                <c:pt idx="60">
                  <c:v>12809.0</c:v>
                </c:pt>
                <c:pt idx="61">
                  <c:v>18273.0</c:v>
                </c:pt>
                <c:pt idx="62">
                  <c:v>17450.0</c:v>
                </c:pt>
                <c:pt idx="63">
                  <c:v>24584.0</c:v>
                </c:pt>
                <c:pt idx="64">
                  <c:v>22544.0</c:v>
                </c:pt>
                <c:pt idx="65">
                  <c:v>20997.0</c:v>
                </c:pt>
                <c:pt idx="66">
                  <c:v>23823.0</c:v>
                </c:pt>
                <c:pt idx="67">
                  <c:v>25638.0</c:v>
                </c:pt>
                <c:pt idx="68">
                  <c:v>24261.0</c:v>
                </c:pt>
                <c:pt idx="69">
                  <c:v>26156.0</c:v>
                </c:pt>
                <c:pt idx="70">
                  <c:v>25720.0</c:v>
                </c:pt>
                <c:pt idx="71">
                  <c:v>25823.0</c:v>
                </c:pt>
                <c:pt idx="72">
                  <c:v>31227.0</c:v>
                </c:pt>
                <c:pt idx="73">
                  <c:v>28999.0</c:v>
                </c:pt>
                <c:pt idx="74">
                  <c:v>32057.0</c:v>
                </c:pt>
                <c:pt idx="75">
                  <c:v>30820.0</c:v>
                </c:pt>
                <c:pt idx="76">
                  <c:v>30320.0</c:v>
                </c:pt>
                <c:pt idx="77">
                  <c:v>31106.0</c:v>
                </c:pt>
                <c:pt idx="78">
                  <c:v>32738.0</c:v>
                </c:pt>
                <c:pt idx="79">
                  <c:v>28859.0</c:v>
                </c:pt>
                <c:pt idx="80">
                  <c:v>29340.0</c:v>
                </c:pt>
                <c:pt idx="81">
                  <c:v>30628.0</c:v>
                </c:pt>
                <c:pt idx="82">
                  <c:v>35636.0</c:v>
                </c:pt>
                <c:pt idx="83">
                  <c:v>33518.0</c:v>
                </c:pt>
                <c:pt idx="84">
                  <c:v>33523.0</c:v>
                </c:pt>
                <c:pt idx="85">
                  <c:v>33181.0</c:v>
                </c:pt>
              </c:numCache>
            </c:numRef>
          </c:val>
          <c:smooth val="0"/>
        </c:ser>
        <c:ser>
          <c:idx val="5"/>
          <c:order val="5"/>
          <c:tx>
            <c:strRef>
              <c:f>'[3]Oct 2011 - April 2012'!$A$10</c:f>
              <c:strCache>
                <c:ptCount val="1"/>
                <c:pt idx="0">
                  <c:v>Apply</c:v>
                </c:pt>
              </c:strCache>
            </c:strRef>
          </c:tx>
          <c:cat>
            <c:numRef>
              <c:f>'[3]Oct 2011 - April 2012'!$BV$4:$CI$4</c:f>
              <c:numCache>
                <c:formatCode>General</c:formatCode>
                <c:ptCount val="14"/>
                <c:pt idx="0">
                  <c:v>40956.0</c:v>
                </c:pt>
                <c:pt idx="1">
                  <c:v>40963.0</c:v>
                </c:pt>
                <c:pt idx="2">
                  <c:v>40970.0</c:v>
                </c:pt>
                <c:pt idx="3">
                  <c:v>40977.0</c:v>
                </c:pt>
                <c:pt idx="4">
                  <c:v>40984.0</c:v>
                </c:pt>
                <c:pt idx="5">
                  <c:v>40991.0</c:v>
                </c:pt>
                <c:pt idx="6">
                  <c:v>40998.0</c:v>
                </c:pt>
                <c:pt idx="7">
                  <c:v>41005.0</c:v>
                </c:pt>
                <c:pt idx="8">
                  <c:v>41012.0</c:v>
                </c:pt>
                <c:pt idx="9">
                  <c:v>41019.0</c:v>
                </c:pt>
                <c:pt idx="10">
                  <c:v>41026.0</c:v>
                </c:pt>
                <c:pt idx="11">
                  <c:v>41033.0</c:v>
                </c:pt>
                <c:pt idx="12">
                  <c:v>41040.0</c:v>
                </c:pt>
                <c:pt idx="13">
                  <c:v>41047.0</c:v>
                </c:pt>
              </c:numCache>
            </c:numRef>
          </c:cat>
          <c:val>
            <c:numRef>
              <c:f>'[3]Oct 2011 - April 2012'!$BU$10:$CI$10</c:f>
              <c:numCache>
                <c:formatCode>General</c:formatCode>
                <c:ptCount val="15"/>
                <c:pt idx="0">
                  <c:v>37875.0</c:v>
                </c:pt>
                <c:pt idx="1">
                  <c:v>39295.0</c:v>
                </c:pt>
                <c:pt idx="2">
                  <c:v>30308.0</c:v>
                </c:pt>
                <c:pt idx="3">
                  <c:v>28972.0</c:v>
                </c:pt>
                <c:pt idx="4">
                  <c:v>32872.0</c:v>
                </c:pt>
                <c:pt idx="5">
                  <c:v>35804.0</c:v>
                </c:pt>
                <c:pt idx="6">
                  <c:v>35962.0</c:v>
                </c:pt>
                <c:pt idx="7">
                  <c:v>37865.0</c:v>
                </c:pt>
                <c:pt idx="8">
                  <c:v>34777.0</c:v>
                </c:pt>
                <c:pt idx="9">
                  <c:v>33083.0</c:v>
                </c:pt>
                <c:pt idx="10">
                  <c:v>34684.0</c:v>
                </c:pt>
                <c:pt idx="11">
                  <c:v>38952.0</c:v>
                </c:pt>
                <c:pt idx="12">
                  <c:v>38563.0</c:v>
                </c:pt>
                <c:pt idx="13">
                  <c:v>38289.0</c:v>
                </c:pt>
                <c:pt idx="14">
                  <c:v>43247.0</c:v>
                </c:pt>
              </c:numCache>
            </c:numRef>
          </c:val>
          <c:smooth val="0"/>
        </c:ser>
        <c:ser>
          <c:idx val="6"/>
          <c:order val="6"/>
          <c:tx>
            <c:strRef>
              <c:f>'[3]Oct 2011 - April 2012'!$A$11</c:f>
              <c:strCache>
                <c:ptCount val="1"/>
                <c:pt idx="0">
                  <c:v>Benefits By State</c:v>
                </c:pt>
              </c:strCache>
            </c:strRef>
          </c:tx>
          <c:spPr>
            <a:ln w="25400">
              <a:solidFill>
                <a:srgbClr val="9999FF"/>
              </a:solidFill>
              <a:prstDash val="solid"/>
            </a:ln>
          </c:spPr>
          <c:marker>
            <c:spPr>
              <a:solidFill>
                <a:srgbClr val="9999FF"/>
              </a:solidFill>
              <a:ln>
                <a:solidFill>
                  <a:srgbClr val="333300"/>
                </a:solidFill>
                <a:prstDash val="solid"/>
              </a:ln>
            </c:spPr>
          </c:marker>
          <c:cat>
            <c:numRef>
              <c:f>'[3]Oct 2011 - April 2012'!$BV$4:$CI$4</c:f>
              <c:numCache>
                <c:formatCode>General</c:formatCode>
                <c:ptCount val="14"/>
                <c:pt idx="0">
                  <c:v>40956.0</c:v>
                </c:pt>
                <c:pt idx="1">
                  <c:v>40963.0</c:v>
                </c:pt>
                <c:pt idx="2">
                  <c:v>40970.0</c:v>
                </c:pt>
                <c:pt idx="3">
                  <c:v>40977.0</c:v>
                </c:pt>
                <c:pt idx="4">
                  <c:v>40984.0</c:v>
                </c:pt>
                <c:pt idx="5">
                  <c:v>40991.0</c:v>
                </c:pt>
                <c:pt idx="6">
                  <c:v>40998.0</c:v>
                </c:pt>
                <c:pt idx="7">
                  <c:v>41005.0</c:v>
                </c:pt>
                <c:pt idx="8">
                  <c:v>41012.0</c:v>
                </c:pt>
                <c:pt idx="9">
                  <c:v>41019.0</c:v>
                </c:pt>
                <c:pt idx="10">
                  <c:v>41026.0</c:v>
                </c:pt>
                <c:pt idx="11">
                  <c:v>41033.0</c:v>
                </c:pt>
                <c:pt idx="12">
                  <c:v>41040.0</c:v>
                </c:pt>
                <c:pt idx="13">
                  <c:v>41047.0</c:v>
                </c:pt>
              </c:numCache>
            </c:numRef>
          </c:cat>
          <c:val>
            <c:numRef>
              <c:f>'[3]Oct 2011 - April 2012'!$BV$11:$CI$11</c:f>
              <c:numCache>
                <c:formatCode>General</c:formatCode>
                <c:ptCount val="14"/>
                <c:pt idx="0">
                  <c:v>3338.0</c:v>
                </c:pt>
                <c:pt idx="1">
                  <c:v>3124.0</c:v>
                </c:pt>
                <c:pt idx="2">
                  <c:v>1848.0</c:v>
                </c:pt>
                <c:pt idx="3">
                  <c:v>1723.0</c:v>
                </c:pt>
                <c:pt idx="4">
                  <c:v>1834.0</c:v>
                </c:pt>
                <c:pt idx="5">
                  <c:v>1757.0</c:v>
                </c:pt>
                <c:pt idx="6">
                  <c:v>1952.0</c:v>
                </c:pt>
                <c:pt idx="7">
                  <c:v>1800.0</c:v>
                </c:pt>
                <c:pt idx="8">
                  <c:v>2565.0</c:v>
                </c:pt>
                <c:pt idx="9">
                  <c:v>2826.0</c:v>
                </c:pt>
                <c:pt idx="10">
                  <c:v>3265.0</c:v>
                </c:pt>
                <c:pt idx="11">
                  <c:v>3123.0</c:v>
                </c:pt>
                <c:pt idx="12">
                  <c:v>3010.0</c:v>
                </c:pt>
                <c:pt idx="13">
                  <c:v>3053.0</c:v>
                </c:pt>
              </c:numCache>
            </c:numRef>
          </c:val>
          <c:smooth val="0"/>
        </c:ser>
        <c:ser>
          <c:idx val="7"/>
          <c:order val="7"/>
          <c:tx>
            <c:strRef>
              <c:f>'[3]Oct 2011 - April 2012'!$A$12</c:f>
              <c:strCache>
                <c:ptCount val="1"/>
                <c:pt idx="0">
                  <c:v>Update Contact Info</c:v>
                </c:pt>
              </c:strCache>
            </c:strRef>
          </c:tx>
          <c:spPr>
            <a:ln w="25400">
              <a:solidFill>
                <a:srgbClr val="00FF00"/>
              </a:solidFill>
              <a:prstDash val="solid"/>
            </a:ln>
          </c:spPr>
          <c:marker>
            <c:symbol val="triangle"/>
            <c:size val="7"/>
            <c:spPr>
              <a:solidFill>
                <a:srgbClr val="00FF00"/>
              </a:solidFill>
              <a:ln>
                <a:solidFill>
                  <a:srgbClr val="00FF00"/>
                </a:solidFill>
                <a:prstDash val="solid"/>
              </a:ln>
            </c:spPr>
          </c:marker>
          <c:cat>
            <c:numRef>
              <c:f>'[3]Oct 2011 - April 2012'!$BV$4:$CI$4</c:f>
              <c:numCache>
                <c:formatCode>General</c:formatCode>
                <c:ptCount val="14"/>
                <c:pt idx="0">
                  <c:v>40956.0</c:v>
                </c:pt>
                <c:pt idx="1">
                  <c:v>40963.0</c:v>
                </c:pt>
                <c:pt idx="2">
                  <c:v>40970.0</c:v>
                </c:pt>
                <c:pt idx="3">
                  <c:v>40977.0</c:v>
                </c:pt>
                <c:pt idx="4">
                  <c:v>40984.0</c:v>
                </c:pt>
                <c:pt idx="5">
                  <c:v>40991.0</c:v>
                </c:pt>
                <c:pt idx="6">
                  <c:v>40998.0</c:v>
                </c:pt>
                <c:pt idx="7">
                  <c:v>41005.0</c:v>
                </c:pt>
                <c:pt idx="8">
                  <c:v>41012.0</c:v>
                </c:pt>
                <c:pt idx="9">
                  <c:v>41019.0</c:v>
                </c:pt>
                <c:pt idx="10">
                  <c:v>41026.0</c:v>
                </c:pt>
                <c:pt idx="11">
                  <c:v>41033.0</c:v>
                </c:pt>
                <c:pt idx="12">
                  <c:v>41040.0</c:v>
                </c:pt>
                <c:pt idx="13">
                  <c:v>41047.0</c:v>
                </c:pt>
              </c:numCache>
            </c:numRef>
          </c:cat>
          <c:val>
            <c:numRef>
              <c:f>'[3]Oct 2011 - April 2012'!$BU$12:$CI$12</c:f>
              <c:numCache>
                <c:formatCode>General</c:formatCode>
                <c:ptCount val="15"/>
                <c:pt idx="0">
                  <c:v>8928.0</c:v>
                </c:pt>
                <c:pt idx="1">
                  <c:v>9137.0</c:v>
                </c:pt>
                <c:pt idx="2">
                  <c:v>8804.0</c:v>
                </c:pt>
                <c:pt idx="3">
                  <c:v>9855.0</c:v>
                </c:pt>
                <c:pt idx="4">
                  <c:v>8709.0</c:v>
                </c:pt>
                <c:pt idx="5">
                  <c:v>7924.0</c:v>
                </c:pt>
                <c:pt idx="6">
                  <c:v>7819.0</c:v>
                </c:pt>
                <c:pt idx="7">
                  <c:v>8527.0</c:v>
                </c:pt>
                <c:pt idx="8">
                  <c:v>7902.0</c:v>
                </c:pt>
                <c:pt idx="9">
                  <c:v>7633.0</c:v>
                </c:pt>
                <c:pt idx="10">
                  <c:v>8500.0</c:v>
                </c:pt>
                <c:pt idx="11">
                  <c:v>9104.0</c:v>
                </c:pt>
                <c:pt idx="12">
                  <c:v>11009.0</c:v>
                </c:pt>
                <c:pt idx="13">
                  <c:v>9440.0</c:v>
                </c:pt>
                <c:pt idx="14">
                  <c:v>9148.0</c:v>
                </c:pt>
              </c:numCache>
            </c:numRef>
          </c:val>
          <c:smooth val="0"/>
        </c:ser>
        <c:ser>
          <c:idx val="8"/>
          <c:order val="8"/>
          <c:tx>
            <c:strRef>
              <c:f>'[3]Oct 2011 - April 2012'!$A$13</c:f>
              <c:strCache>
                <c:ptCount val="1"/>
                <c:pt idx="0">
                  <c:v>Request OMPF</c:v>
                </c:pt>
              </c:strCache>
            </c:strRef>
          </c:tx>
          <c:spPr>
            <a:ln w="25400">
              <a:solidFill>
                <a:srgbClr val="FF9900"/>
              </a:solidFill>
              <a:prstDash val="solid"/>
            </a:ln>
          </c:spPr>
          <c:marker>
            <c:symbol val="square"/>
            <c:size val="7"/>
            <c:spPr>
              <a:solidFill>
                <a:srgbClr val="FFCC99"/>
              </a:solidFill>
              <a:ln>
                <a:solidFill>
                  <a:srgbClr val="FFCC99"/>
                </a:solidFill>
                <a:prstDash val="solid"/>
              </a:ln>
            </c:spPr>
          </c:marker>
          <c:cat>
            <c:numRef>
              <c:f>'[3]Oct 2011 - April 2012'!$BV$4:$CI$4</c:f>
              <c:numCache>
                <c:formatCode>General</c:formatCode>
                <c:ptCount val="14"/>
                <c:pt idx="0">
                  <c:v>40956.0</c:v>
                </c:pt>
                <c:pt idx="1">
                  <c:v>40963.0</c:v>
                </c:pt>
                <c:pt idx="2">
                  <c:v>40970.0</c:v>
                </c:pt>
                <c:pt idx="3">
                  <c:v>40977.0</c:v>
                </c:pt>
                <c:pt idx="4">
                  <c:v>40984.0</c:v>
                </c:pt>
                <c:pt idx="5">
                  <c:v>40991.0</c:v>
                </c:pt>
                <c:pt idx="6">
                  <c:v>40998.0</c:v>
                </c:pt>
                <c:pt idx="7">
                  <c:v>41005.0</c:v>
                </c:pt>
                <c:pt idx="8">
                  <c:v>41012.0</c:v>
                </c:pt>
                <c:pt idx="9">
                  <c:v>41019.0</c:v>
                </c:pt>
                <c:pt idx="10">
                  <c:v>41026.0</c:v>
                </c:pt>
                <c:pt idx="11">
                  <c:v>41033.0</c:v>
                </c:pt>
                <c:pt idx="12">
                  <c:v>41040.0</c:v>
                </c:pt>
                <c:pt idx="13">
                  <c:v>41047.0</c:v>
                </c:pt>
              </c:numCache>
            </c:numRef>
          </c:cat>
          <c:val>
            <c:numRef>
              <c:f>'[3]Oct 2011 - April 2012'!$BU$13:$CI$13</c:f>
              <c:numCache>
                <c:formatCode>General</c:formatCode>
                <c:ptCount val="15"/>
                <c:pt idx="0">
                  <c:v>7278.0</c:v>
                </c:pt>
                <c:pt idx="1">
                  <c:v>8452.0</c:v>
                </c:pt>
                <c:pt idx="2">
                  <c:v>7587.0</c:v>
                </c:pt>
                <c:pt idx="3">
                  <c:v>8963.0</c:v>
                </c:pt>
                <c:pt idx="4">
                  <c:v>7701.0</c:v>
                </c:pt>
                <c:pt idx="5">
                  <c:v>6800.0</c:v>
                </c:pt>
                <c:pt idx="6">
                  <c:v>6731.0</c:v>
                </c:pt>
                <c:pt idx="7">
                  <c:v>7527.0</c:v>
                </c:pt>
                <c:pt idx="8">
                  <c:v>6824.0</c:v>
                </c:pt>
                <c:pt idx="9">
                  <c:v>7151.0</c:v>
                </c:pt>
                <c:pt idx="10">
                  <c:v>8340.0</c:v>
                </c:pt>
                <c:pt idx="11">
                  <c:v>9835.0</c:v>
                </c:pt>
                <c:pt idx="12">
                  <c:v>9505.0</c:v>
                </c:pt>
                <c:pt idx="13">
                  <c:v>9336.0</c:v>
                </c:pt>
                <c:pt idx="14">
                  <c:v>9010.0</c:v>
                </c:pt>
              </c:numCache>
            </c:numRef>
          </c:val>
          <c:smooth val="0"/>
        </c:ser>
        <c:ser>
          <c:idx val="9"/>
          <c:order val="9"/>
          <c:tx>
            <c:strRef>
              <c:f>'[3]Oct 2011 - April 2012'!$A$14:$BO$14</c:f>
              <c:strCache>
                <c:ptCount val="1"/>
                <c:pt idx="0">
                  <c:v>Health Eligibility 734 741 609 636 686 655 685 590 332 974 900 1021 839 1149 1402 1438 1327 1448 2338 2323 2200 2501 2692 2861 2601 2905 2245 2725 2619 2477 2685 2530 1488 1505 1693 1678 1661 1748 1901 1952 1814 2000 2059 2057 1092 2119 2206 1255 2367 208</c:v>
                </c:pt>
              </c:strCache>
            </c:strRef>
          </c:tx>
          <c:spPr>
            <a:ln w="25400">
              <a:solidFill>
                <a:srgbClr val="800000"/>
              </a:solidFill>
              <a:prstDash val="solid"/>
            </a:ln>
          </c:spPr>
          <c:marker>
            <c:spPr>
              <a:solidFill>
                <a:srgbClr val="800000"/>
              </a:solidFill>
              <a:ln>
                <a:solidFill>
                  <a:srgbClr val="800000"/>
                </a:solidFill>
                <a:prstDash val="solid"/>
              </a:ln>
            </c:spPr>
          </c:marker>
          <c:cat>
            <c:numRef>
              <c:f>'[3]Oct 2011 - April 2012'!$BV$4:$CI$4</c:f>
              <c:numCache>
                <c:formatCode>General</c:formatCode>
                <c:ptCount val="14"/>
                <c:pt idx="0">
                  <c:v>40956.0</c:v>
                </c:pt>
                <c:pt idx="1">
                  <c:v>40963.0</c:v>
                </c:pt>
                <c:pt idx="2">
                  <c:v>40970.0</c:v>
                </c:pt>
                <c:pt idx="3">
                  <c:v>40977.0</c:v>
                </c:pt>
                <c:pt idx="4">
                  <c:v>40984.0</c:v>
                </c:pt>
                <c:pt idx="5">
                  <c:v>40991.0</c:v>
                </c:pt>
                <c:pt idx="6">
                  <c:v>40998.0</c:v>
                </c:pt>
                <c:pt idx="7">
                  <c:v>41005.0</c:v>
                </c:pt>
                <c:pt idx="8">
                  <c:v>41012.0</c:v>
                </c:pt>
                <c:pt idx="9">
                  <c:v>41019.0</c:v>
                </c:pt>
                <c:pt idx="10">
                  <c:v>41026.0</c:v>
                </c:pt>
                <c:pt idx="11">
                  <c:v>41033.0</c:v>
                </c:pt>
                <c:pt idx="12">
                  <c:v>41040.0</c:v>
                </c:pt>
                <c:pt idx="13">
                  <c:v>41047.0</c:v>
                </c:pt>
              </c:numCache>
            </c:numRef>
          </c:cat>
          <c:val>
            <c:numRef>
              <c:f>'[3]Oct 2011 - April 2012'!$BU$14:$CI$14</c:f>
              <c:numCache>
                <c:formatCode>General</c:formatCode>
                <c:ptCount val="15"/>
                <c:pt idx="0">
                  <c:v>2673.0</c:v>
                </c:pt>
                <c:pt idx="1">
                  <c:v>3269.0</c:v>
                </c:pt>
                <c:pt idx="2">
                  <c:v>3035.0</c:v>
                </c:pt>
                <c:pt idx="3">
                  <c:v>3214.0</c:v>
                </c:pt>
                <c:pt idx="4">
                  <c:v>2850.0</c:v>
                </c:pt>
                <c:pt idx="5">
                  <c:v>2600.0</c:v>
                </c:pt>
                <c:pt idx="6">
                  <c:v>2627.0</c:v>
                </c:pt>
                <c:pt idx="7">
                  <c:v>2697.0</c:v>
                </c:pt>
                <c:pt idx="8">
                  <c:v>2426.0</c:v>
                </c:pt>
                <c:pt idx="9">
                  <c:v>2532.0</c:v>
                </c:pt>
                <c:pt idx="10">
                  <c:v>2671.0</c:v>
                </c:pt>
                <c:pt idx="11">
                  <c:v>3264.0</c:v>
                </c:pt>
                <c:pt idx="12">
                  <c:v>3037.0</c:v>
                </c:pt>
                <c:pt idx="13">
                  <c:v>2803.0</c:v>
                </c:pt>
                <c:pt idx="14">
                  <c:v>2924.0</c:v>
                </c:pt>
              </c:numCache>
            </c:numRef>
          </c:val>
          <c:smooth val="0"/>
        </c:ser>
        <c:ser>
          <c:idx val="11"/>
          <c:order val="11"/>
          <c:tx>
            <c:strRef>
              <c:f>'[3]Oct 2011 - April 2012'!$A$16</c:f>
              <c:strCache>
                <c:ptCount val="1"/>
                <c:pt idx="0">
                  <c:v>VONAPP</c:v>
                </c:pt>
              </c:strCache>
            </c:strRef>
          </c:tx>
          <c:cat>
            <c:numRef>
              <c:f>'[3]Oct 2011 - April 2012'!$BV$4:$CI$4</c:f>
              <c:numCache>
                <c:formatCode>General</c:formatCode>
                <c:ptCount val="14"/>
                <c:pt idx="0">
                  <c:v>40956.0</c:v>
                </c:pt>
                <c:pt idx="1">
                  <c:v>40963.0</c:v>
                </c:pt>
                <c:pt idx="2">
                  <c:v>40970.0</c:v>
                </c:pt>
                <c:pt idx="3">
                  <c:v>40977.0</c:v>
                </c:pt>
                <c:pt idx="4">
                  <c:v>40984.0</c:v>
                </c:pt>
                <c:pt idx="5">
                  <c:v>40991.0</c:v>
                </c:pt>
                <c:pt idx="6">
                  <c:v>40998.0</c:v>
                </c:pt>
                <c:pt idx="7">
                  <c:v>41005.0</c:v>
                </c:pt>
                <c:pt idx="8">
                  <c:v>41012.0</c:v>
                </c:pt>
                <c:pt idx="9">
                  <c:v>41019.0</c:v>
                </c:pt>
                <c:pt idx="10">
                  <c:v>41026.0</c:v>
                </c:pt>
                <c:pt idx="11">
                  <c:v>41033.0</c:v>
                </c:pt>
                <c:pt idx="12">
                  <c:v>41040.0</c:v>
                </c:pt>
                <c:pt idx="13">
                  <c:v>41047.0</c:v>
                </c:pt>
              </c:numCache>
            </c:numRef>
          </c:cat>
          <c:val>
            <c:numRef>
              <c:f>'[3]Oct 2011 - April 2012'!$BV$16:$CI$16</c:f>
              <c:numCache>
                <c:formatCode>General</c:formatCode>
                <c:ptCount val="14"/>
                <c:pt idx="0">
                  <c:v>126604.0</c:v>
                </c:pt>
                <c:pt idx="1">
                  <c:v>119963.0</c:v>
                </c:pt>
                <c:pt idx="2">
                  <c:v>133749.0</c:v>
                </c:pt>
                <c:pt idx="3">
                  <c:v>124781.0</c:v>
                </c:pt>
                <c:pt idx="4">
                  <c:v>111602.0</c:v>
                </c:pt>
                <c:pt idx="5">
                  <c:v>110432.0</c:v>
                </c:pt>
                <c:pt idx="6">
                  <c:v>117666.0</c:v>
                </c:pt>
                <c:pt idx="7">
                  <c:v>118100.0</c:v>
                </c:pt>
                <c:pt idx="8">
                  <c:v>124949.0</c:v>
                </c:pt>
                <c:pt idx="9">
                  <c:v>130279.0</c:v>
                </c:pt>
                <c:pt idx="10">
                  <c:v>137135.0</c:v>
                </c:pt>
                <c:pt idx="11">
                  <c:v>138991.0</c:v>
                </c:pt>
                <c:pt idx="12">
                  <c:v>140253.0</c:v>
                </c:pt>
                <c:pt idx="13">
                  <c:v>181972.0</c:v>
                </c:pt>
              </c:numCache>
            </c:numRef>
          </c:val>
          <c:smooth val="0"/>
        </c:ser>
        <c:dLbls>
          <c:showLegendKey val="0"/>
          <c:showVal val="0"/>
          <c:showCatName val="0"/>
          <c:showSerName val="0"/>
          <c:showPercent val="0"/>
          <c:showBubbleSize val="0"/>
        </c:dLbls>
        <c:marker val="1"/>
        <c:smooth val="0"/>
        <c:axId val="-2013025064"/>
        <c:axId val="-2013030424"/>
      </c:lineChart>
      <c:lineChart>
        <c:grouping val="standard"/>
        <c:varyColors val="0"/>
        <c:ser>
          <c:idx val="0"/>
          <c:order val="0"/>
          <c:tx>
            <c:strRef>
              <c:f>'[3]Oct 2011 - April 2012'!$A$5</c:f>
              <c:strCache>
                <c:ptCount val="1"/>
                <c:pt idx="0">
                  <c:v>NCC Calls*</c:v>
                </c:pt>
              </c:strCache>
            </c:strRef>
          </c:tx>
          <c:cat>
            <c:numRef>
              <c:f>'[3]Oct 2011 - April 2012'!$BW$4:$CI$4</c:f>
              <c:numCache>
                <c:formatCode>General</c:formatCode>
                <c:ptCount val="13"/>
                <c:pt idx="0">
                  <c:v>40963.0</c:v>
                </c:pt>
                <c:pt idx="1">
                  <c:v>40970.0</c:v>
                </c:pt>
                <c:pt idx="2">
                  <c:v>40977.0</c:v>
                </c:pt>
                <c:pt idx="3">
                  <c:v>40984.0</c:v>
                </c:pt>
                <c:pt idx="4">
                  <c:v>40991.0</c:v>
                </c:pt>
                <c:pt idx="5">
                  <c:v>40998.0</c:v>
                </c:pt>
                <c:pt idx="6">
                  <c:v>41005.0</c:v>
                </c:pt>
                <c:pt idx="7">
                  <c:v>41012.0</c:v>
                </c:pt>
                <c:pt idx="8">
                  <c:v>41019.0</c:v>
                </c:pt>
                <c:pt idx="9">
                  <c:v>41026.0</c:v>
                </c:pt>
                <c:pt idx="10">
                  <c:v>41033.0</c:v>
                </c:pt>
                <c:pt idx="11">
                  <c:v>41040.0</c:v>
                </c:pt>
                <c:pt idx="12">
                  <c:v>41047.0</c:v>
                </c:pt>
              </c:numCache>
            </c:numRef>
          </c:cat>
          <c:val>
            <c:numRef>
              <c:f>'[3]Oct 2011 - April 2012'!$BU$5:$CI$5</c:f>
              <c:numCache>
                <c:formatCode>General</c:formatCode>
                <c:ptCount val="15"/>
                <c:pt idx="0">
                  <c:v>129355.0</c:v>
                </c:pt>
                <c:pt idx="1">
                  <c:v>135318.0</c:v>
                </c:pt>
                <c:pt idx="2">
                  <c:v>105618.0</c:v>
                </c:pt>
                <c:pt idx="3">
                  <c:v>126890.0</c:v>
                </c:pt>
                <c:pt idx="4">
                  <c:v>117337.0</c:v>
                </c:pt>
                <c:pt idx="5">
                  <c:v>112306.0</c:v>
                </c:pt>
                <c:pt idx="6">
                  <c:v>111833.0</c:v>
                </c:pt>
                <c:pt idx="7">
                  <c:v>121539.0</c:v>
                </c:pt>
                <c:pt idx="8">
                  <c:v>107132.0</c:v>
                </c:pt>
                <c:pt idx="9">
                  <c:v>109125.0</c:v>
                </c:pt>
                <c:pt idx="10">
                  <c:v>114402.0</c:v>
                </c:pt>
                <c:pt idx="11">
                  <c:v>112220.0</c:v>
                </c:pt>
                <c:pt idx="12">
                  <c:v>107999.0</c:v>
                </c:pt>
                <c:pt idx="13">
                  <c:v>102146.0</c:v>
                </c:pt>
              </c:numCache>
            </c:numRef>
          </c:val>
          <c:smooth val="0"/>
        </c:ser>
        <c:ser>
          <c:idx val="10"/>
          <c:order val="10"/>
          <c:tx>
            <c:strRef>
              <c:f>'[3]Oct 2011 - April 2012'!$A$15</c:f>
              <c:strCache>
                <c:ptCount val="1"/>
                <c:pt idx="0">
                  <c:v>Letter Generator</c:v>
                </c:pt>
              </c:strCache>
            </c:strRef>
          </c:tx>
          <c:spPr>
            <a:ln w="25400">
              <a:solidFill>
                <a:srgbClr val="99CCFF"/>
              </a:solidFill>
              <a:prstDash val="solid"/>
            </a:ln>
          </c:spPr>
          <c:marker>
            <c:symbol val="circle"/>
            <c:size val="7"/>
            <c:spPr>
              <a:solidFill>
                <a:srgbClr val="99CCFF"/>
              </a:solidFill>
              <a:ln>
                <a:solidFill>
                  <a:srgbClr val="000000"/>
                </a:solidFill>
                <a:prstDash val="solid"/>
              </a:ln>
            </c:spPr>
          </c:marker>
          <c:cat>
            <c:numRef>
              <c:f>'[3]Oct 2011 - April 2012'!$BW$4:$CI$4</c:f>
              <c:numCache>
                <c:formatCode>General</c:formatCode>
                <c:ptCount val="13"/>
                <c:pt idx="0">
                  <c:v>40963.0</c:v>
                </c:pt>
                <c:pt idx="1">
                  <c:v>40970.0</c:v>
                </c:pt>
                <c:pt idx="2">
                  <c:v>40977.0</c:v>
                </c:pt>
                <c:pt idx="3">
                  <c:v>40984.0</c:v>
                </c:pt>
                <c:pt idx="4">
                  <c:v>40991.0</c:v>
                </c:pt>
                <c:pt idx="5">
                  <c:v>40998.0</c:v>
                </c:pt>
                <c:pt idx="6">
                  <c:v>41005.0</c:v>
                </c:pt>
                <c:pt idx="7">
                  <c:v>41012.0</c:v>
                </c:pt>
                <c:pt idx="8">
                  <c:v>41019.0</c:v>
                </c:pt>
                <c:pt idx="9">
                  <c:v>41026.0</c:v>
                </c:pt>
                <c:pt idx="10">
                  <c:v>41033.0</c:v>
                </c:pt>
                <c:pt idx="11">
                  <c:v>41040.0</c:v>
                </c:pt>
                <c:pt idx="12">
                  <c:v>41047.0</c:v>
                </c:pt>
              </c:numCache>
            </c:numRef>
          </c:cat>
          <c:val>
            <c:numRef>
              <c:f>'[3]Oct 2011 - April 2012'!$BT$15:$CI$15</c:f>
              <c:numCache>
                <c:formatCode>General</c:formatCode>
                <c:ptCount val="16"/>
                <c:pt idx="0">
                  <c:v>19023.0</c:v>
                </c:pt>
                <c:pt idx="1">
                  <c:v>19689.0</c:v>
                </c:pt>
                <c:pt idx="2">
                  <c:v>23854.0</c:v>
                </c:pt>
                <c:pt idx="3">
                  <c:v>22081.0</c:v>
                </c:pt>
                <c:pt idx="4">
                  <c:v>25206.0</c:v>
                </c:pt>
                <c:pt idx="5">
                  <c:v>23585.0</c:v>
                </c:pt>
                <c:pt idx="6">
                  <c:v>23332.0</c:v>
                </c:pt>
                <c:pt idx="7">
                  <c:v>24554.0</c:v>
                </c:pt>
                <c:pt idx="8">
                  <c:v>26045.0</c:v>
                </c:pt>
                <c:pt idx="9">
                  <c:v>24001.0</c:v>
                </c:pt>
                <c:pt idx="10">
                  <c:v>24695.0</c:v>
                </c:pt>
                <c:pt idx="11">
                  <c:v>27391.0</c:v>
                </c:pt>
                <c:pt idx="12">
                  <c:v>30639.0</c:v>
                </c:pt>
                <c:pt idx="13">
                  <c:v>30943.0</c:v>
                </c:pt>
                <c:pt idx="14">
                  <c:v>29429.0</c:v>
                </c:pt>
                <c:pt idx="15">
                  <c:v>29053.0</c:v>
                </c:pt>
              </c:numCache>
            </c:numRef>
          </c:val>
          <c:smooth val="0"/>
        </c:ser>
        <c:ser>
          <c:idx val="12"/>
          <c:order val="12"/>
          <c:tx>
            <c:strRef>
              <c:f>'[3]Oct 2011 - April 2012'!$A$17</c:f>
              <c:strCache>
                <c:ptCount val="1"/>
                <c:pt idx="0">
                  <c:v>Ch. 33 Enrollment</c:v>
                </c:pt>
              </c:strCache>
            </c:strRef>
          </c:tx>
          <c:spPr>
            <a:ln w="12700">
              <a:solidFill>
                <a:srgbClr val="FF0000"/>
              </a:solidFill>
              <a:prstDash val="solid"/>
            </a:ln>
          </c:spPr>
          <c:marker>
            <c:symbol val="circle"/>
            <c:size val="8"/>
            <c:spPr>
              <a:solidFill>
                <a:srgbClr val="FF0000"/>
              </a:solidFill>
              <a:ln>
                <a:solidFill>
                  <a:srgbClr val="99CCFF"/>
                </a:solidFill>
                <a:prstDash val="solid"/>
              </a:ln>
            </c:spPr>
          </c:marker>
          <c:cat>
            <c:numRef>
              <c:f>'[3]Oct 2011 - April 2012'!$BW$4:$CI$4</c:f>
              <c:numCache>
                <c:formatCode>General</c:formatCode>
                <c:ptCount val="13"/>
                <c:pt idx="0">
                  <c:v>40963.0</c:v>
                </c:pt>
                <c:pt idx="1">
                  <c:v>40970.0</c:v>
                </c:pt>
                <c:pt idx="2">
                  <c:v>40977.0</c:v>
                </c:pt>
                <c:pt idx="3">
                  <c:v>40984.0</c:v>
                </c:pt>
                <c:pt idx="4">
                  <c:v>40991.0</c:v>
                </c:pt>
                <c:pt idx="5">
                  <c:v>40998.0</c:v>
                </c:pt>
                <c:pt idx="6">
                  <c:v>41005.0</c:v>
                </c:pt>
                <c:pt idx="7">
                  <c:v>41012.0</c:v>
                </c:pt>
                <c:pt idx="8">
                  <c:v>41019.0</c:v>
                </c:pt>
                <c:pt idx="9">
                  <c:v>41026.0</c:v>
                </c:pt>
                <c:pt idx="10">
                  <c:v>41033.0</c:v>
                </c:pt>
                <c:pt idx="11">
                  <c:v>41040.0</c:v>
                </c:pt>
                <c:pt idx="12">
                  <c:v>41047.0</c:v>
                </c:pt>
              </c:numCache>
            </c:numRef>
          </c:cat>
          <c:val>
            <c:numRef>
              <c:f>'[3]Oct 2011 - April 2012'!$BT$17:$CI$17</c:f>
              <c:numCache>
                <c:formatCode>General</c:formatCode>
                <c:ptCount val="16"/>
                <c:pt idx="0">
                  <c:v>29101.0</c:v>
                </c:pt>
                <c:pt idx="1">
                  <c:v>27570.0</c:v>
                </c:pt>
                <c:pt idx="2">
                  <c:v>30799.0</c:v>
                </c:pt>
                <c:pt idx="3">
                  <c:v>28555.0</c:v>
                </c:pt>
                <c:pt idx="4">
                  <c:v>30148.0</c:v>
                </c:pt>
                <c:pt idx="5">
                  <c:v>26730.0</c:v>
                </c:pt>
                <c:pt idx="6">
                  <c:v>24451.0</c:v>
                </c:pt>
                <c:pt idx="7">
                  <c:v>22987.0</c:v>
                </c:pt>
                <c:pt idx="8">
                  <c:v>27215.0</c:v>
                </c:pt>
                <c:pt idx="9">
                  <c:v>22667.0</c:v>
                </c:pt>
                <c:pt idx="10">
                  <c:v>25033.0</c:v>
                </c:pt>
                <c:pt idx="11">
                  <c:v>24518.0</c:v>
                </c:pt>
                <c:pt idx="12">
                  <c:v>28793.0</c:v>
                </c:pt>
                <c:pt idx="13">
                  <c:v>29737.0</c:v>
                </c:pt>
                <c:pt idx="14">
                  <c:v>29429.0</c:v>
                </c:pt>
                <c:pt idx="15">
                  <c:v>29906.0</c:v>
                </c:pt>
              </c:numCache>
            </c:numRef>
          </c:val>
          <c:smooth val="0"/>
        </c:ser>
        <c:dLbls>
          <c:showLegendKey val="0"/>
          <c:showVal val="0"/>
          <c:showCatName val="0"/>
          <c:showSerName val="0"/>
          <c:showPercent val="0"/>
          <c:showBubbleSize val="0"/>
        </c:dLbls>
        <c:marker val="1"/>
        <c:smooth val="0"/>
        <c:axId val="-2013036040"/>
        <c:axId val="-2013039048"/>
      </c:lineChart>
      <c:catAx>
        <c:axId val="-2013025064"/>
        <c:scaling>
          <c:orientation val="minMax"/>
        </c:scaling>
        <c:delete val="0"/>
        <c:axPos val="b"/>
        <c:numFmt formatCode="[$-409]d\-mmm;@" sourceLinked="0"/>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013030424"/>
        <c:crosses val="autoZero"/>
        <c:auto val="1"/>
        <c:lblAlgn val="ctr"/>
        <c:lblOffset val="100"/>
        <c:tickLblSkip val="7"/>
        <c:tickMarkSkip val="1"/>
        <c:noMultiLvlLbl val="1"/>
      </c:catAx>
      <c:valAx>
        <c:axId val="-2013030424"/>
        <c:scaling>
          <c:orientation val="minMax"/>
          <c:max val="400000.0"/>
        </c:scaling>
        <c:delete val="0"/>
        <c:axPos val="l"/>
        <c:majorGridlines/>
        <c:title>
          <c:tx>
            <c:rich>
              <a:bodyPr/>
              <a:lstStyle/>
              <a:p>
                <a:pPr>
                  <a:defRPr sz="1200" b="1" i="0" u="none" strike="noStrike" baseline="0">
                    <a:solidFill>
                      <a:srgbClr val="0000FF"/>
                    </a:solidFill>
                    <a:latin typeface="Calibri"/>
                    <a:ea typeface="Calibri"/>
                    <a:cs typeface="Calibri"/>
                  </a:defRPr>
                </a:pPr>
                <a:r>
                  <a:rPr lang="en-US"/>
                  <a:t>eBenefits Visitors / Additional Views/ NCC Call Volume</a:t>
                </a:r>
              </a:p>
            </c:rich>
          </c:tx>
          <c:layout>
            <c:manualLayout>
              <c:xMode val="edge"/>
              <c:yMode val="edge"/>
              <c:x val="0.0268424396442186"/>
              <c:y val="0.400611877643735"/>
            </c:manualLayout>
          </c:layout>
          <c:overlay val="0"/>
          <c:spPr>
            <a:noFill/>
            <a:ln w="25400">
              <a:noFill/>
            </a:ln>
          </c:spPr>
        </c:title>
        <c:numFmt formatCode="General"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013025064"/>
        <c:crosses val="autoZero"/>
        <c:crossBetween val="between"/>
        <c:majorUnit val="20000.0"/>
      </c:valAx>
      <c:catAx>
        <c:axId val="-2013036040"/>
        <c:scaling>
          <c:orientation val="minMax"/>
        </c:scaling>
        <c:delete val="1"/>
        <c:axPos val="t"/>
        <c:numFmt formatCode="General" sourceLinked="1"/>
        <c:majorTickMark val="out"/>
        <c:minorTickMark val="none"/>
        <c:tickLblPos val="nextTo"/>
        <c:crossAx val="-2013039048"/>
        <c:crosses val="max"/>
        <c:auto val="1"/>
        <c:lblAlgn val="ctr"/>
        <c:lblOffset val="100"/>
        <c:noMultiLvlLbl val="0"/>
      </c:catAx>
      <c:valAx>
        <c:axId val="-2013039048"/>
        <c:scaling>
          <c:orientation val="minMax"/>
          <c:max val="400000.0"/>
          <c:min val="0.0"/>
        </c:scaling>
        <c:delete val="0"/>
        <c:axPos val="r"/>
        <c:numFmt formatCode="General" sourceLinked="1"/>
        <c:majorTickMark val="out"/>
        <c:minorTickMark val="none"/>
        <c:tickLblPos val="nextTo"/>
        <c:txPr>
          <a:bodyPr rot="0" vert="horz"/>
          <a:lstStyle/>
          <a:p>
            <a:pPr>
              <a:defRPr sz="1000" b="0" i="0" u="none" strike="noStrike" baseline="0">
                <a:solidFill>
                  <a:srgbClr val="000000"/>
                </a:solidFill>
                <a:latin typeface="Arial"/>
                <a:ea typeface="Arial"/>
                <a:cs typeface="Arial"/>
              </a:defRPr>
            </a:pPr>
            <a:endParaRPr lang="en-US"/>
          </a:p>
        </c:txPr>
        <c:crossAx val="-2013036040"/>
        <c:crosses val="max"/>
        <c:crossBetween val="between"/>
        <c:majorUnit val="20000.0"/>
        <c:minorUnit val="4000.0"/>
      </c:valAx>
    </c:plotArea>
    <c:legend>
      <c:legendPos val="r"/>
      <c:layout>
        <c:manualLayout>
          <c:xMode val="edge"/>
          <c:yMode val="edge"/>
          <c:x val="0.967121982210928"/>
          <c:y val="0.628746562642973"/>
          <c:w val="0.0236658195679796"/>
          <c:h val="0.369419152881119"/>
        </c:manualLayout>
      </c:layout>
      <c:overlay val="0"/>
      <c:spPr>
        <a:noFill/>
        <a:ln w="3175">
          <a:solidFill>
            <a:srgbClr val="000000"/>
          </a:solidFill>
          <a:prstDash val="solid"/>
        </a:ln>
      </c:spPr>
      <c:txPr>
        <a:bodyPr/>
        <a:lstStyle/>
        <a:p>
          <a:pPr>
            <a:defRPr sz="920" b="1" i="0" u="none" strike="noStrike" baseline="0">
              <a:solidFill>
                <a:srgbClr val="000000"/>
              </a:solidFill>
              <a:latin typeface="Calibri"/>
              <a:ea typeface="Calibri"/>
              <a:cs typeface="Calibri"/>
            </a:defRPr>
          </a:pPr>
          <a:endParaRPr lang="en-US"/>
        </a:p>
      </c:txPr>
    </c:legend>
    <c:plotVisOnly val="1"/>
    <c:dispBlanksAs val="gap"/>
    <c:showDLblsOverMax val="0"/>
  </c:chart>
  <c:spPr>
    <a:ln w="19050">
      <a:solidFill>
        <a:schemeClr val="tx1"/>
      </a:solidFill>
    </a:ln>
  </c:spPr>
  <c:printSettings>
    <c:headerFooter/>
    <c:pageMargins b="0.750000000000003" l="0.700000000000001" r="0.700000000000001" t="0.750000000000003"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0" i="0" u="none" strike="noStrike" baseline="0">
                <a:solidFill>
                  <a:srgbClr val="000000"/>
                </a:solidFill>
                <a:latin typeface="Arial"/>
                <a:ea typeface="Arial"/>
                <a:cs typeface="Arial"/>
              </a:defRPr>
            </a:pPr>
            <a:r>
              <a:rPr lang="en-US"/>
              <a:t>Self Service (eBenefits) &amp; National Call Center (NCC) Activity</a:t>
            </a:r>
          </a:p>
        </c:rich>
      </c:tx>
      <c:layout>
        <c:manualLayout>
          <c:xMode val="edge"/>
          <c:yMode val="edge"/>
          <c:x val="0.334366985692445"/>
          <c:y val="0.0242013310209134"/>
        </c:manualLayout>
      </c:layout>
      <c:overlay val="0"/>
      <c:spPr>
        <a:noFill/>
        <a:ln w="25400">
          <a:noFill/>
        </a:ln>
      </c:spPr>
    </c:title>
    <c:autoTitleDeleted val="0"/>
    <c:plotArea>
      <c:layout>
        <c:manualLayout>
          <c:layoutTarget val="inner"/>
          <c:xMode val="edge"/>
          <c:yMode val="edge"/>
          <c:x val="0.146658389515036"/>
          <c:y val="0.0124166669801726"/>
          <c:w val="0.805804859973883"/>
          <c:h val="0.237379404568639"/>
        </c:manualLayout>
      </c:layout>
      <c:lineChart>
        <c:grouping val="standard"/>
        <c:varyColors val="0"/>
        <c:ser>
          <c:idx val="0"/>
          <c:order val="0"/>
          <c:tx>
            <c:strRef>
              <c:f>'[3]Current Metrics'!$A$16</c:f>
              <c:strCache>
                <c:ptCount val="1"/>
                <c:pt idx="0">
                  <c:v>VONAPP</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'[3]Current Metrics'!$O$3:$AA$4</c:f>
              <c:strCache>
                <c:ptCount val="13"/>
                <c:pt idx="0">
                  <c:v>_x0005_42370</c:v>
                </c:pt>
                <c:pt idx="1">
                  <c:v>_x0005_42377</c:v>
                </c:pt>
                <c:pt idx="2">
                  <c:v>_x0005_42384</c:v>
                </c:pt>
                <c:pt idx="3">
                  <c:v>_x0005_42391</c:v>
                </c:pt>
                <c:pt idx="4">
                  <c:v>_x0005_42398</c:v>
                </c:pt>
                <c:pt idx="5">
                  <c:v>_x0005_42405</c:v>
                </c:pt>
                <c:pt idx="6">
                  <c:v>_x0005_42412</c:v>
                </c:pt>
                <c:pt idx="7">
                  <c:v>_x0005_42419</c:v>
                </c:pt>
                <c:pt idx="8">
                  <c:v>_x0005_42426</c:v>
                </c:pt>
                <c:pt idx="9">
                  <c:v>_x0005_42433</c:v>
                </c:pt>
                <c:pt idx="10">
                  <c:v>_x0005_42440</c:v>
                </c:pt>
                <c:pt idx="11">
                  <c:v>_x0005_42447</c:v>
                </c:pt>
                <c:pt idx="12">
                  <c:v>_x0005_42454</c:v>
                </c:pt>
              </c:strCache>
            </c:strRef>
          </c:cat>
          <c:val>
            <c:numRef>
              <c:f>'[3]Current Metrics'!$O$16:$AA$16</c:f>
              <c:numCache>
                <c:formatCode>General</c:formatCode>
                <c:ptCount val="13"/>
                <c:pt idx="0">
                  <c:v>28790.0</c:v>
                </c:pt>
                <c:pt idx="1">
                  <c:v>54571.0</c:v>
                </c:pt>
                <c:pt idx="2">
                  <c:v>50883.0</c:v>
                </c:pt>
                <c:pt idx="3">
                  <c:v>39596.0</c:v>
                </c:pt>
                <c:pt idx="4">
                  <c:v>41604.0</c:v>
                </c:pt>
                <c:pt idx="5">
                  <c:v>40441.0</c:v>
                </c:pt>
                <c:pt idx="6">
                  <c:v>37327.0</c:v>
                </c:pt>
                <c:pt idx="7">
                  <c:v>33588.0</c:v>
                </c:pt>
                <c:pt idx="8">
                  <c:v>36713.0</c:v>
                </c:pt>
                <c:pt idx="9">
                  <c:v>38355.0</c:v>
                </c:pt>
                <c:pt idx="10">
                  <c:v>37527.0</c:v>
                </c:pt>
                <c:pt idx="11">
                  <c:v>35263.0</c:v>
                </c:pt>
                <c:pt idx="12">
                  <c:v>34573.0</c:v>
                </c:pt>
              </c:numCache>
            </c:numRef>
          </c:val>
          <c:smooth val="0"/>
        </c:ser>
        <c:ser>
          <c:idx val="1"/>
          <c:order val="1"/>
          <c:tx>
            <c:strRef>
              <c:f>'[3]Current Metrics'!$A$6</c:f>
              <c:strCache>
                <c:ptCount val="1"/>
                <c:pt idx="0">
                  <c:v>eBenefits Visits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'[3]Current Metrics'!$O$3:$AA$4</c:f>
              <c:strCache>
                <c:ptCount val="13"/>
                <c:pt idx="0">
                  <c:v>_x0005_42370</c:v>
                </c:pt>
                <c:pt idx="1">
                  <c:v>_x0005_42377</c:v>
                </c:pt>
                <c:pt idx="2">
                  <c:v>_x0005_42384</c:v>
                </c:pt>
                <c:pt idx="3">
                  <c:v>_x0005_42391</c:v>
                </c:pt>
                <c:pt idx="4">
                  <c:v>_x0005_42398</c:v>
                </c:pt>
                <c:pt idx="5">
                  <c:v>_x0005_42405</c:v>
                </c:pt>
                <c:pt idx="6">
                  <c:v>_x0005_42412</c:v>
                </c:pt>
                <c:pt idx="7">
                  <c:v>_x0005_42419</c:v>
                </c:pt>
                <c:pt idx="8">
                  <c:v>_x0005_42426</c:v>
                </c:pt>
                <c:pt idx="9">
                  <c:v>_x0005_42433</c:v>
                </c:pt>
                <c:pt idx="10">
                  <c:v>_x0005_42440</c:v>
                </c:pt>
                <c:pt idx="11">
                  <c:v>_x0005_42447</c:v>
                </c:pt>
                <c:pt idx="12">
                  <c:v>_x0005_42454</c:v>
                </c:pt>
              </c:strCache>
            </c:strRef>
          </c:cat>
          <c:val>
            <c:numRef>
              <c:f>'[3]Current Metrics'!$O$6:$AA$6</c:f>
              <c:numCache>
                <c:formatCode>General</c:formatCode>
                <c:ptCount val="13"/>
                <c:pt idx="0">
                  <c:v>5.201035E6</c:v>
                </c:pt>
                <c:pt idx="1">
                  <c:v>6.484141E6</c:v>
                </c:pt>
                <c:pt idx="2">
                  <c:v>1.127579E6</c:v>
                </c:pt>
                <c:pt idx="3">
                  <c:v>1.054529E6</c:v>
                </c:pt>
                <c:pt idx="4">
                  <c:v>1.263748E6</c:v>
                </c:pt>
                <c:pt idx="5">
                  <c:v>1.157488E6</c:v>
                </c:pt>
                <c:pt idx="6">
                  <c:v>1.046013E6</c:v>
                </c:pt>
                <c:pt idx="7">
                  <c:v>959866.0</c:v>
                </c:pt>
                <c:pt idx="8">
                  <c:v>1.107805E6</c:v>
                </c:pt>
                <c:pt idx="9">
                  <c:v>1.144999E6</c:v>
                </c:pt>
                <c:pt idx="10">
                  <c:v>1.019988E6</c:v>
                </c:pt>
                <c:pt idx="11">
                  <c:v>987466.0</c:v>
                </c:pt>
                <c:pt idx="12">
                  <c:v>1.083048E6</c:v>
                </c:pt>
              </c:numCache>
            </c:numRef>
          </c:val>
          <c:smooth val="0"/>
        </c:ser>
        <c:ser>
          <c:idx val="2"/>
          <c:order val="2"/>
          <c:tx>
            <c:strRef>
              <c:f>'[3]Current Metrics'!$A$7</c:f>
              <c:strCache>
                <c:ptCount val="1"/>
                <c:pt idx="0">
                  <c:v>C&amp;P Claims Status</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cat>
            <c:strRef>
              <c:f>'[3]Current Metrics'!$O$3:$AA$4</c:f>
              <c:strCache>
                <c:ptCount val="13"/>
                <c:pt idx="0">
                  <c:v>_x0005_42370</c:v>
                </c:pt>
                <c:pt idx="1">
                  <c:v>_x0005_42377</c:v>
                </c:pt>
                <c:pt idx="2">
                  <c:v>_x0005_42384</c:v>
                </c:pt>
                <c:pt idx="3">
                  <c:v>_x0005_42391</c:v>
                </c:pt>
                <c:pt idx="4">
                  <c:v>_x0005_42398</c:v>
                </c:pt>
                <c:pt idx="5">
                  <c:v>_x0005_42405</c:v>
                </c:pt>
                <c:pt idx="6">
                  <c:v>_x0005_42412</c:v>
                </c:pt>
                <c:pt idx="7">
                  <c:v>_x0005_42419</c:v>
                </c:pt>
                <c:pt idx="8">
                  <c:v>_x0005_42426</c:v>
                </c:pt>
                <c:pt idx="9">
                  <c:v>_x0005_42433</c:v>
                </c:pt>
                <c:pt idx="10">
                  <c:v>_x0005_42440</c:v>
                </c:pt>
                <c:pt idx="11">
                  <c:v>_x0005_42447</c:v>
                </c:pt>
                <c:pt idx="12">
                  <c:v>_x0005_42454</c:v>
                </c:pt>
              </c:strCache>
            </c:strRef>
          </c:cat>
          <c:val>
            <c:numRef>
              <c:f>'[3]Current Metrics'!$O$7:$AA$7</c:f>
              <c:numCache>
                <c:formatCode>General</c:formatCode>
                <c:ptCount val="13"/>
                <c:pt idx="0">
                  <c:v>218748.0</c:v>
                </c:pt>
                <c:pt idx="1">
                  <c:v>308278.0</c:v>
                </c:pt>
                <c:pt idx="2">
                  <c:v>278165.0</c:v>
                </c:pt>
                <c:pt idx="3">
                  <c:v>251718.0</c:v>
                </c:pt>
                <c:pt idx="4">
                  <c:v>273457.0</c:v>
                </c:pt>
                <c:pt idx="5">
                  <c:v>266163.0</c:v>
                </c:pt>
                <c:pt idx="6">
                  <c:v>261161.0</c:v>
                </c:pt>
                <c:pt idx="7">
                  <c:v>241766.0</c:v>
                </c:pt>
                <c:pt idx="8">
                  <c:v>287935.0</c:v>
                </c:pt>
                <c:pt idx="9">
                  <c:v>299732.0</c:v>
                </c:pt>
                <c:pt idx="10">
                  <c:v>290079.0</c:v>
                </c:pt>
                <c:pt idx="11">
                  <c:v>287675.0</c:v>
                </c:pt>
                <c:pt idx="12">
                  <c:v>287014.0</c:v>
                </c:pt>
              </c:numCache>
            </c:numRef>
          </c:val>
          <c:smooth val="0"/>
        </c:ser>
        <c:ser>
          <c:idx val="3"/>
          <c:order val="3"/>
          <c:tx>
            <c:strRef>
              <c:f>'[3]Current Metrics'!$A$8</c:f>
              <c:strCache>
                <c:ptCount val="1"/>
                <c:pt idx="0">
                  <c:v>Payment History</c:v>
                </c:pt>
              </c:strCache>
            </c:strRef>
          </c:tx>
          <c:spPr>
            <a:ln w="12700">
              <a:solidFill>
                <a:srgbClr val="00FFFF"/>
              </a:solidFill>
              <a:prstDash val="solid"/>
            </a:ln>
          </c:spPr>
          <c:marker>
            <c:symbol val="x"/>
            <c:size val="5"/>
            <c:spPr>
              <a:noFill/>
              <a:ln>
                <a:solidFill>
                  <a:srgbClr val="00FFFF"/>
                </a:solidFill>
                <a:prstDash val="solid"/>
              </a:ln>
            </c:spPr>
          </c:marker>
          <c:cat>
            <c:strRef>
              <c:f>'[3]Current Metrics'!$O$3:$AA$4</c:f>
              <c:strCache>
                <c:ptCount val="13"/>
                <c:pt idx="0">
                  <c:v>_x0005_42370</c:v>
                </c:pt>
                <c:pt idx="1">
                  <c:v>_x0005_42377</c:v>
                </c:pt>
                <c:pt idx="2">
                  <c:v>_x0005_42384</c:v>
                </c:pt>
                <c:pt idx="3">
                  <c:v>_x0005_42391</c:v>
                </c:pt>
                <c:pt idx="4">
                  <c:v>_x0005_42398</c:v>
                </c:pt>
                <c:pt idx="5">
                  <c:v>_x0005_42405</c:v>
                </c:pt>
                <c:pt idx="6">
                  <c:v>_x0005_42412</c:v>
                </c:pt>
                <c:pt idx="7">
                  <c:v>_x0005_42419</c:v>
                </c:pt>
                <c:pt idx="8">
                  <c:v>_x0005_42426</c:v>
                </c:pt>
                <c:pt idx="9">
                  <c:v>_x0005_42433</c:v>
                </c:pt>
                <c:pt idx="10">
                  <c:v>_x0005_42440</c:v>
                </c:pt>
                <c:pt idx="11">
                  <c:v>_x0005_42447</c:v>
                </c:pt>
                <c:pt idx="12">
                  <c:v>_x0005_42454</c:v>
                </c:pt>
              </c:strCache>
            </c:strRef>
          </c:cat>
          <c:val>
            <c:numRef>
              <c:f>'[3]Current Metrics'!$O$8:$AA$8</c:f>
              <c:numCache>
                <c:formatCode>General</c:formatCode>
                <c:ptCount val="13"/>
                <c:pt idx="0">
                  <c:v>218381.0</c:v>
                </c:pt>
                <c:pt idx="1">
                  <c:v>153986.0</c:v>
                </c:pt>
                <c:pt idx="2">
                  <c:v>130918.0</c:v>
                </c:pt>
                <c:pt idx="3">
                  <c:v>130879.0</c:v>
                </c:pt>
                <c:pt idx="4">
                  <c:v>211029.0</c:v>
                </c:pt>
                <c:pt idx="5">
                  <c:v>163584.0</c:v>
                </c:pt>
                <c:pt idx="6">
                  <c:v>115273.0</c:v>
                </c:pt>
                <c:pt idx="7">
                  <c:v>104470.0</c:v>
                </c:pt>
                <c:pt idx="8">
                  <c:v>145586.0</c:v>
                </c:pt>
                <c:pt idx="9">
                  <c:v>172868.0</c:v>
                </c:pt>
                <c:pt idx="10">
                  <c:v>98895.0</c:v>
                </c:pt>
                <c:pt idx="11">
                  <c:v>96253.0</c:v>
                </c:pt>
                <c:pt idx="12">
                  <c:v>108272.0</c:v>
                </c:pt>
              </c:numCache>
            </c:numRef>
          </c:val>
          <c:smooth val="0"/>
        </c:ser>
        <c:ser>
          <c:idx val="5"/>
          <c:order val="4"/>
          <c:tx>
            <c:strRef>
              <c:f>'[3]Current Metrics'!$A$10</c:f>
              <c:strCache>
                <c:ptCount val="1"/>
                <c:pt idx="0">
                  <c:v>Apply</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strRef>
              <c:f>'[3]Current Metrics'!$O$3:$AA$4</c:f>
              <c:strCache>
                <c:ptCount val="13"/>
                <c:pt idx="0">
                  <c:v>_x0005_42370</c:v>
                </c:pt>
                <c:pt idx="1">
                  <c:v>_x0005_42377</c:v>
                </c:pt>
                <c:pt idx="2">
                  <c:v>_x0005_42384</c:v>
                </c:pt>
                <c:pt idx="3">
                  <c:v>_x0005_42391</c:v>
                </c:pt>
                <c:pt idx="4">
                  <c:v>_x0005_42398</c:v>
                </c:pt>
                <c:pt idx="5">
                  <c:v>_x0005_42405</c:v>
                </c:pt>
                <c:pt idx="6">
                  <c:v>_x0005_42412</c:v>
                </c:pt>
                <c:pt idx="7">
                  <c:v>_x0005_42419</c:v>
                </c:pt>
                <c:pt idx="8">
                  <c:v>_x0005_42426</c:v>
                </c:pt>
                <c:pt idx="9">
                  <c:v>_x0005_42433</c:v>
                </c:pt>
                <c:pt idx="10">
                  <c:v>_x0005_42440</c:v>
                </c:pt>
                <c:pt idx="11">
                  <c:v>_x0005_42447</c:v>
                </c:pt>
                <c:pt idx="12">
                  <c:v>_x0005_42454</c:v>
                </c:pt>
              </c:strCache>
            </c:strRef>
          </c:cat>
          <c:val>
            <c:numRef>
              <c:f>'[3]Current Metrics'!$O$10:$AA$10</c:f>
              <c:numCache>
                <c:formatCode>General</c:formatCode>
                <c:ptCount val="13"/>
                <c:pt idx="0">
                  <c:v>67481.0</c:v>
                </c:pt>
                <c:pt idx="1">
                  <c:v>73006.0</c:v>
                </c:pt>
                <c:pt idx="2">
                  <c:v>94944.0</c:v>
                </c:pt>
                <c:pt idx="3">
                  <c:v>82408.0</c:v>
                </c:pt>
                <c:pt idx="4">
                  <c:v>92673.0</c:v>
                </c:pt>
                <c:pt idx="5">
                  <c:v>89111.0</c:v>
                </c:pt>
                <c:pt idx="6">
                  <c:v>82241.0</c:v>
                </c:pt>
                <c:pt idx="7">
                  <c:v>73255.0</c:v>
                </c:pt>
                <c:pt idx="8">
                  <c:v>82127.0</c:v>
                </c:pt>
                <c:pt idx="9">
                  <c:v>86802.0</c:v>
                </c:pt>
                <c:pt idx="10">
                  <c:v>80970.0</c:v>
                </c:pt>
                <c:pt idx="11">
                  <c:v>78658.0</c:v>
                </c:pt>
                <c:pt idx="12">
                  <c:v>75936.0</c:v>
                </c:pt>
              </c:numCache>
            </c:numRef>
          </c:val>
          <c:smooth val="0"/>
        </c:ser>
        <c:ser>
          <c:idx val="6"/>
          <c:order val="5"/>
          <c:tx>
            <c:strRef>
              <c:f>'[3]Current Metrics'!$A$11</c:f>
              <c:strCache>
                <c:ptCount val="1"/>
                <c:pt idx="0">
                  <c:v>Benefits By State</c:v>
                </c:pt>
              </c:strCache>
            </c:strRef>
          </c:tx>
          <c:spPr>
            <a:ln w="12700">
              <a:solidFill>
                <a:srgbClr val="008080"/>
              </a:solidFill>
              <a:prstDash val="solid"/>
            </a:ln>
          </c:spPr>
          <c:marker>
            <c:symbol val="plus"/>
            <c:size val="5"/>
            <c:spPr>
              <a:noFill/>
              <a:ln>
                <a:solidFill>
                  <a:srgbClr val="008080"/>
                </a:solidFill>
                <a:prstDash val="solid"/>
              </a:ln>
            </c:spPr>
          </c:marker>
          <c:cat>
            <c:strRef>
              <c:f>'[3]Current Metrics'!$O$3:$AA$4</c:f>
              <c:strCache>
                <c:ptCount val="13"/>
                <c:pt idx="0">
                  <c:v>_x0005_42370</c:v>
                </c:pt>
                <c:pt idx="1">
                  <c:v>_x0005_42377</c:v>
                </c:pt>
                <c:pt idx="2">
                  <c:v>_x0005_42384</c:v>
                </c:pt>
                <c:pt idx="3">
                  <c:v>_x0005_42391</c:v>
                </c:pt>
                <c:pt idx="4">
                  <c:v>_x0005_42398</c:v>
                </c:pt>
                <c:pt idx="5">
                  <c:v>_x0005_42405</c:v>
                </c:pt>
                <c:pt idx="6">
                  <c:v>_x0005_42412</c:v>
                </c:pt>
                <c:pt idx="7">
                  <c:v>_x0005_42419</c:v>
                </c:pt>
                <c:pt idx="8">
                  <c:v>_x0005_42426</c:v>
                </c:pt>
                <c:pt idx="9">
                  <c:v>_x0005_42433</c:v>
                </c:pt>
                <c:pt idx="10">
                  <c:v>_x0005_42440</c:v>
                </c:pt>
                <c:pt idx="11">
                  <c:v>_x0005_42447</c:v>
                </c:pt>
                <c:pt idx="12">
                  <c:v>_x0005_42454</c:v>
                </c:pt>
              </c:strCache>
            </c:strRef>
          </c:cat>
          <c:val>
            <c:numRef>
              <c:f>'[3]Current Metrics'!$P$11:$AA$11</c:f>
              <c:numCache>
                <c:formatCode>General</c:formatCode>
                <c:ptCount val="12"/>
                <c:pt idx="0">
                  <c:v>1633.0</c:v>
                </c:pt>
                <c:pt idx="1">
                  <c:v>1372.0</c:v>
                </c:pt>
                <c:pt idx="2">
                  <c:v>1250.0</c:v>
                </c:pt>
                <c:pt idx="3">
                  <c:v>1373.0</c:v>
                </c:pt>
                <c:pt idx="4">
                  <c:v>1409.0</c:v>
                </c:pt>
                <c:pt idx="5">
                  <c:v>1366.0</c:v>
                </c:pt>
                <c:pt idx="6">
                  <c:v>1090.0</c:v>
                </c:pt>
                <c:pt idx="7">
                  <c:v>1355.0</c:v>
                </c:pt>
                <c:pt idx="8">
                  <c:v>1404.0</c:v>
                </c:pt>
                <c:pt idx="9">
                  <c:v>1418.0</c:v>
                </c:pt>
                <c:pt idx="10">
                  <c:v>1283.0</c:v>
                </c:pt>
                <c:pt idx="11">
                  <c:v>1167.0</c:v>
                </c:pt>
              </c:numCache>
            </c:numRef>
          </c:val>
          <c:smooth val="0"/>
        </c:ser>
        <c:ser>
          <c:idx val="7"/>
          <c:order val="6"/>
          <c:tx>
            <c:strRef>
              <c:f>'[3]Current Metrics'!$A$12</c:f>
              <c:strCache>
                <c:ptCount val="1"/>
                <c:pt idx="0">
                  <c:v>Update Contact Info</c:v>
                </c:pt>
              </c:strCache>
            </c:strRef>
          </c:tx>
          <c:spPr>
            <a:ln w="12700">
              <a:solidFill>
                <a:srgbClr val="0000FF"/>
              </a:solidFill>
              <a:prstDash val="solid"/>
            </a:ln>
          </c:spPr>
          <c:marker>
            <c:symbol val="dot"/>
            <c:size val="5"/>
            <c:spPr>
              <a:noFill/>
              <a:ln>
                <a:solidFill>
                  <a:srgbClr val="0000FF"/>
                </a:solidFill>
                <a:prstDash val="solid"/>
              </a:ln>
            </c:spPr>
          </c:marker>
          <c:cat>
            <c:strRef>
              <c:f>'[3]Current Metrics'!$O$3:$AA$4</c:f>
              <c:strCache>
                <c:ptCount val="13"/>
                <c:pt idx="0">
                  <c:v>_x0005_42370</c:v>
                </c:pt>
                <c:pt idx="1">
                  <c:v>_x0005_42377</c:v>
                </c:pt>
                <c:pt idx="2">
                  <c:v>_x0005_42384</c:v>
                </c:pt>
                <c:pt idx="3">
                  <c:v>_x0005_42391</c:v>
                </c:pt>
                <c:pt idx="4">
                  <c:v>_x0005_42398</c:v>
                </c:pt>
                <c:pt idx="5">
                  <c:v>_x0005_42405</c:v>
                </c:pt>
                <c:pt idx="6">
                  <c:v>_x0005_42412</c:v>
                </c:pt>
                <c:pt idx="7">
                  <c:v>_x0005_42419</c:v>
                </c:pt>
                <c:pt idx="8">
                  <c:v>_x0005_42426</c:v>
                </c:pt>
                <c:pt idx="9">
                  <c:v>_x0005_42433</c:v>
                </c:pt>
                <c:pt idx="10">
                  <c:v>_x0005_42440</c:v>
                </c:pt>
                <c:pt idx="11">
                  <c:v>_x0005_42447</c:v>
                </c:pt>
                <c:pt idx="12">
                  <c:v>_x0005_42454</c:v>
                </c:pt>
              </c:strCache>
            </c:strRef>
          </c:cat>
          <c:val>
            <c:numRef>
              <c:f>'[3]Current Metrics'!$O$12:$AA$12</c:f>
              <c:numCache>
                <c:formatCode>General</c:formatCode>
                <c:ptCount val="13"/>
                <c:pt idx="0">
                  <c:v>14063.0</c:v>
                </c:pt>
                <c:pt idx="1">
                  <c:v>18244.0</c:v>
                </c:pt>
                <c:pt idx="2">
                  <c:v>15632.0</c:v>
                </c:pt>
                <c:pt idx="3">
                  <c:v>14489.0</c:v>
                </c:pt>
                <c:pt idx="4">
                  <c:v>16897.0</c:v>
                </c:pt>
                <c:pt idx="5">
                  <c:v>17353.0</c:v>
                </c:pt>
                <c:pt idx="6">
                  <c:v>14006.0</c:v>
                </c:pt>
                <c:pt idx="7">
                  <c:v>12327.0</c:v>
                </c:pt>
                <c:pt idx="8">
                  <c:v>14238.0</c:v>
                </c:pt>
                <c:pt idx="9">
                  <c:v>17491.0</c:v>
                </c:pt>
                <c:pt idx="10">
                  <c:v>13274.0</c:v>
                </c:pt>
                <c:pt idx="11">
                  <c:v>12587.0</c:v>
                </c:pt>
                <c:pt idx="12">
                  <c:v>11833.0</c:v>
                </c:pt>
              </c:numCache>
            </c:numRef>
          </c:val>
          <c:smooth val="0"/>
        </c:ser>
        <c:ser>
          <c:idx val="8"/>
          <c:order val="7"/>
          <c:tx>
            <c:strRef>
              <c:f>'[3]Current Metrics'!$A$13</c:f>
              <c:strCache>
                <c:ptCount val="1"/>
                <c:pt idx="0">
                  <c:v>Request OMPF</c:v>
                </c:pt>
              </c:strCache>
            </c:strRef>
          </c:tx>
          <c:spPr>
            <a:ln w="12700">
              <a:solidFill>
                <a:srgbClr val="00CCFF"/>
              </a:solidFill>
              <a:prstDash val="solid"/>
            </a:ln>
          </c:spPr>
          <c:marker>
            <c:symbol val="dash"/>
            <c:size val="5"/>
            <c:spPr>
              <a:noFill/>
              <a:ln>
                <a:solidFill>
                  <a:srgbClr val="00CCFF"/>
                </a:solidFill>
                <a:prstDash val="solid"/>
              </a:ln>
            </c:spPr>
          </c:marker>
          <c:cat>
            <c:strRef>
              <c:f>'[3]Current Metrics'!$O$3:$AA$4</c:f>
              <c:strCache>
                <c:ptCount val="13"/>
                <c:pt idx="0">
                  <c:v>_x0005_42370</c:v>
                </c:pt>
                <c:pt idx="1">
                  <c:v>_x0005_42377</c:v>
                </c:pt>
                <c:pt idx="2">
                  <c:v>_x0005_42384</c:v>
                </c:pt>
                <c:pt idx="3">
                  <c:v>_x0005_42391</c:v>
                </c:pt>
                <c:pt idx="4">
                  <c:v>_x0005_42398</c:v>
                </c:pt>
                <c:pt idx="5">
                  <c:v>_x0005_42405</c:v>
                </c:pt>
                <c:pt idx="6">
                  <c:v>_x0005_42412</c:v>
                </c:pt>
                <c:pt idx="7">
                  <c:v>_x0005_42419</c:v>
                </c:pt>
                <c:pt idx="8">
                  <c:v>_x0005_42426</c:v>
                </c:pt>
                <c:pt idx="9">
                  <c:v>_x0005_42433</c:v>
                </c:pt>
                <c:pt idx="10">
                  <c:v>_x0005_42440</c:v>
                </c:pt>
                <c:pt idx="11">
                  <c:v>_x0005_42447</c:v>
                </c:pt>
                <c:pt idx="12">
                  <c:v>_x0005_42454</c:v>
                </c:pt>
              </c:strCache>
            </c:strRef>
          </c:cat>
          <c:val>
            <c:numRef>
              <c:f>'[3]Current Metrics'!$O$13:$AA$13</c:f>
              <c:numCache>
                <c:formatCode>General</c:formatCode>
                <c:ptCount val="13"/>
                <c:pt idx="0">
                  <c:v>0.0</c:v>
                </c:pt>
                <c:pt idx="1">
                  <c:v>0.0</c:v>
                </c:pt>
                <c:pt idx="2">
                  <c:v>0.0</c:v>
                </c:pt>
                <c:pt idx="3">
                  <c:v>0.0</c:v>
                </c:pt>
                <c:pt idx="4">
                  <c:v>0.0</c:v>
                </c:pt>
                <c:pt idx="5">
                  <c:v>0.0</c:v>
                </c:pt>
                <c:pt idx="6">
                  <c:v>0.0</c:v>
                </c:pt>
                <c:pt idx="7">
                  <c:v>0.0</c:v>
                </c:pt>
                <c:pt idx="8">
                  <c:v>0.0</c:v>
                </c:pt>
                <c:pt idx="9">
                  <c:v>0.0</c:v>
                </c:pt>
                <c:pt idx="10">
                  <c:v>0.0</c:v>
                </c:pt>
                <c:pt idx="11">
                  <c:v>0.0</c:v>
                </c:pt>
                <c:pt idx="12">
                  <c:v>0.0</c:v>
                </c:pt>
              </c:numCache>
            </c:numRef>
          </c:val>
          <c:smooth val="0"/>
        </c:ser>
        <c:ser>
          <c:idx val="10"/>
          <c:order val="8"/>
          <c:tx>
            <c:strRef>
              <c:f>'[3]Current Metrics'!$A$15</c:f>
              <c:strCache>
                <c:ptCount val="1"/>
                <c:pt idx="0">
                  <c:v>Letter Generator</c:v>
                </c:pt>
              </c:strCache>
            </c:strRef>
          </c:tx>
          <c:spPr>
            <a:ln w="12700">
              <a:solidFill>
                <a:srgbClr val="CCFFCC"/>
              </a:solidFill>
              <a:prstDash val="solid"/>
            </a:ln>
          </c:spPr>
          <c:marker>
            <c:symbol val="square"/>
            <c:size val="5"/>
            <c:spPr>
              <a:solidFill>
                <a:srgbClr val="CCFFCC"/>
              </a:solidFill>
              <a:ln>
                <a:solidFill>
                  <a:srgbClr val="CCFFCC"/>
                </a:solidFill>
                <a:prstDash val="solid"/>
              </a:ln>
            </c:spPr>
          </c:marker>
          <c:cat>
            <c:strRef>
              <c:f>'[3]Current Metrics'!$O$3:$AA$4</c:f>
              <c:strCache>
                <c:ptCount val="13"/>
                <c:pt idx="0">
                  <c:v>_x0005_42370</c:v>
                </c:pt>
                <c:pt idx="1">
                  <c:v>_x0005_42377</c:v>
                </c:pt>
                <c:pt idx="2">
                  <c:v>_x0005_42384</c:v>
                </c:pt>
                <c:pt idx="3">
                  <c:v>_x0005_42391</c:v>
                </c:pt>
                <c:pt idx="4">
                  <c:v>_x0005_42398</c:v>
                </c:pt>
                <c:pt idx="5">
                  <c:v>_x0005_42405</c:v>
                </c:pt>
                <c:pt idx="6">
                  <c:v>_x0005_42412</c:v>
                </c:pt>
                <c:pt idx="7">
                  <c:v>_x0005_42419</c:v>
                </c:pt>
                <c:pt idx="8">
                  <c:v>_x0005_42426</c:v>
                </c:pt>
                <c:pt idx="9">
                  <c:v>_x0005_42433</c:v>
                </c:pt>
                <c:pt idx="10">
                  <c:v>_x0005_42440</c:v>
                </c:pt>
                <c:pt idx="11">
                  <c:v>_x0005_42447</c:v>
                </c:pt>
                <c:pt idx="12">
                  <c:v>_x0005_42454</c:v>
                </c:pt>
              </c:strCache>
            </c:strRef>
          </c:cat>
          <c:val>
            <c:numRef>
              <c:f>'[3]Current Metrics'!$O$15:$AA$15</c:f>
              <c:numCache>
                <c:formatCode>General</c:formatCode>
                <c:ptCount val="13"/>
                <c:pt idx="0">
                  <c:v>39408.0</c:v>
                </c:pt>
                <c:pt idx="1">
                  <c:v>62619.0</c:v>
                </c:pt>
                <c:pt idx="2">
                  <c:v>50662.0</c:v>
                </c:pt>
                <c:pt idx="3">
                  <c:v>46705.0</c:v>
                </c:pt>
                <c:pt idx="4">
                  <c:v>50241.0</c:v>
                </c:pt>
                <c:pt idx="5">
                  <c:v>48969.0</c:v>
                </c:pt>
                <c:pt idx="6">
                  <c:v>45533.0</c:v>
                </c:pt>
                <c:pt idx="7">
                  <c:v>42603.0</c:v>
                </c:pt>
                <c:pt idx="8">
                  <c:v>48939.0</c:v>
                </c:pt>
                <c:pt idx="9">
                  <c:v>48767.0</c:v>
                </c:pt>
                <c:pt idx="10">
                  <c:v>45867.0</c:v>
                </c:pt>
                <c:pt idx="11">
                  <c:v>46422.0</c:v>
                </c:pt>
                <c:pt idx="12">
                  <c:v>45661.0</c:v>
                </c:pt>
              </c:numCache>
            </c:numRef>
          </c:val>
          <c:smooth val="0"/>
        </c:ser>
        <c:ser>
          <c:idx val="12"/>
          <c:order val="9"/>
          <c:tx>
            <c:strRef>
              <c:f>'[3]Current Metrics'!$A$17</c:f>
              <c:strCache>
                <c:ptCount val="1"/>
                <c:pt idx="0">
                  <c:v>Ch. 33 Enrollment</c:v>
                </c:pt>
              </c:strCache>
            </c:strRef>
          </c:tx>
          <c:spPr>
            <a:ln w="12700">
              <a:solidFill>
                <a:srgbClr val="99CCFF"/>
              </a:solidFill>
              <a:prstDash val="solid"/>
            </a:ln>
          </c:spPr>
          <c:marker>
            <c:symbol val="x"/>
            <c:size val="5"/>
            <c:spPr>
              <a:noFill/>
              <a:ln>
                <a:solidFill>
                  <a:srgbClr val="99CCFF"/>
                </a:solidFill>
                <a:prstDash val="solid"/>
              </a:ln>
            </c:spPr>
          </c:marker>
          <c:cat>
            <c:strRef>
              <c:f>'[3]Current Metrics'!$O$3:$AA$4</c:f>
              <c:strCache>
                <c:ptCount val="13"/>
                <c:pt idx="0">
                  <c:v>_x0005_42370</c:v>
                </c:pt>
                <c:pt idx="1">
                  <c:v>_x0005_42377</c:v>
                </c:pt>
                <c:pt idx="2">
                  <c:v>_x0005_42384</c:v>
                </c:pt>
                <c:pt idx="3">
                  <c:v>_x0005_42391</c:v>
                </c:pt>
                <c:pt idx="4">
                  <c:v>_x0005_42398</c:v>
                </c:pt>
                <c:pt idx="5">
                  <c:v>_x0005_42405</c:v>
                </c:pt>
                <c:pt idx="6">
                  <c:v>_x0005_42412</c:v>
                </c:pt>
                <c:pt idx="7">
                  <c:v>_x0005_42419</c:v>
                </c:pt>
                <c:pt idx="8">
                  <c:v>_x0005_42426</c:v>
                </c:pt>
                <c:pt idx="9">
                  <c:v>_x0005_42433</c:v>
                </c:pt>
                <c:pt idx="10">
                  <c:v>_x0005_42440</c:v>
                </c:pt>
                <c:pt idx="11">
                  <c:v>_x0005_42447</c:v>
                </c:pt>
                <c:pt idx="12">
                  <c:v>_x0005_42454</c:v>
                </c:pt>
              </c:strCache>
            </c:strRef>
          </c:cat>
          <c:val>
            <c:numRef>
              <c:f>'[3]Current Metrics'!$O$17:$AA$17</c:f>
              <c:numCache>
                <c:formatCode>General</c:formatCode>
                <c:ptCount val="13"/>
                <c:pt idx="0">
                  <c:v>26844.0</c:v>
                </c:pt>
                <c:pt idx="1">
                  <c:v>45320.0</c:v>
                </c:pt>
                <c:pt idx="2">
                  <c:v>42697.0</c:v>
                </c:pt>
                <c:pt idx="3">
                  <c:v>36987.0</c:v>
                </c:pt>
                <c:pt idx="4">
                  <c:v>40620.0</c:v>
                </c:pt>
                <c:pt idx="5">
                  <c:v>37723.0</c:v>
                </c:pt>
                <c:pt idx="6">
                  <c:v>29443.0</c:v>
                </c:pt>
                <c:pt idx="7">
                  <c:v>25697.0</c:v>
                </c:pt>
                <c:pt idx="8">
                  <c:v>28371.0</c:v>
                </c:pt>
                <c:pt idx="9">
                  <c:v>29250.0</c:v>
                </c:pt>
                <c:pt idx="10">
                  <c:v>23928.0</c:v>
                </c:pt>
                <c:pt idx="11">
                  <c:v>22911.0</c:v>
                </c:pt>
                <c:pt idx="12">
                  <c:v>25310.0</c:v>
                </c:pt>
              </c:numCache>
            </c:numRef>
          </c:val>
          <c:smooth val="0"/>
        </c:ser>
        <c:ser>
          <c:idx val="11"/>
          <c:order val="10"/>
          <c:tx>
            <c:strRef>
              <c:f>'[3]Current Metrics'!$A$18</c:f>
              <c:strCache>
                <c:ptCount val="1"/>
                <c:pt idx="0">
                  <c:v>VDC</c:v>
                </c:pt>
              </c:strCache>
            </c:strRef>
          </c:tx>
          <c:spPr>
            <a:ln w="12700">
              <a:solidFill>
                <a:srgbClr val="FFFF99"/>
              </a:solidFill>
              <a:prstDash val="solid"/>
            </a:ln>
          </c:spPr>
          <c:marker>
            <c:symbol val="triangle"/>
            <c:size val="5"/>
            <c:spPr>
              <a:solidFill>
                <a:srgbClr val="FFFF99"/>
              </a:solidFill>
              <a:ln>
                <a:solidFill>
                  <a:srgbClr val="FFFF99"/>
                </a:solidFill>
                <a:prstDash val="solid"/>
              </a:ln>
            </c:spPr>
          </c:marker>
          <c:cat>
            <c:strRef>
              <c:f>'[3]Current Metrics'!$O$3:$AA$4</c:f>
              <c:strCache>
                <c:ptCount val="13"/>
                <c:pt idx="0">
                  <c:v>_x0005_42370</c:v>
                </c:pt>
                <c:pt idx="1">
                  <c:v>_x0005_42377</c:v>
                </c:pt>
                <c:pt idx="2">
                  <c:v>_x0005_42384</c:v>
                </c:pt>
                <c:pt idx="3">
                  <c:v>_x0005_42391</c:v>
                </c:pt>
                <c:pt idx="4">
                  <c:v>_x0005_42398</c:v>
                </c:pt>
                <c:pt idx="5">
                  <c:v>_x0005_42405</c:v>
                </c:pt>
                <c:pt idx="6">
                  <c:v>_x0005_42412</c:v>
                </c:pt>
                <c:pt idx="7">
                  <c:v>_x0005_42419</c:v>
                </c:pt>
                <c:pt idx="8">
                  <c:v>_x0005_42426</c:v>
                </c:pt>
                <c:pt idx="9">
                  <c:v>_x0005_42433</c:v>
                </c:pt>
                <c:pt idx="10">
                  <c:v>_x0005_42440</c:v>
                </c:pt>
                <c:pt idx="11">
                  <c:v>_x0005_42447</c:v>
                </c:pt>
                <c:pt idx="12">
                  <c:v>_x0005_42454</c:v>
                </c:pt>
              </c:strCache>
            </c:strRef>
          </c:cat>
          <c:val>
            <c:numRef>
              <c:f>'[3]Current Metrics'!$O$18:$AA$18</c:f>
              <c:numCache>
                <c:formatCode>General</c:formatCode>
                <c:ptCount val="13"/>
                <c:pt idx="0">
                  <c:v>13833.0</c:v>
                </c:pt>
                <c:pt idx="1">
                  <c:v>18150.0</c:v>
                </c:pt>
                <c:pt idx="2">
                  <c:v>17131.0</c:v>
                </c:pt>
                <c:pt idx="3">
                  <c:v>16059.0</c:v>
                </c:pt>
                <c:pt idx="4">
                  <c:v>16260.0</c:v>
                </c:pt>
                <c:pt idx="5">
                  <c:v>17117.0</c:v>
                </c:pt>
                <c:pt idx="6">
                  <c:v>15533.0</c:v>
                </c:pt>
                <c:pt idx="7">
                  <c:v>14652.0</c:v>
                </c:pt>
                <c:pt idx="8">
                  <c:v>14704.0</c:v>
                </c:pt>
                <c:pt idx="9">
                  <c:v>15875.0</c:v>
                </c:pt>
                <c:pt idx="10">
                  <c:v>15055.0</c:v>
                </c:pt>
                <c:pt idx="11">
                  <c:v>14502.0</c:v>
                </c:pt>
                <c:pt idx="12">
                  <c:v>10198.0</c:v>
                </c:pt>
              </c:numCache>
            </c:numRef>
          </c:val>
          <c:smooth val="0"/>
        </c:ser>
        <c:ser>
          <c:idx val="4"/>
          <c:order val="11"/>
          <c:tx>
            <c:strRef>
              <c:f>'[3]Current Metrics'!$A$5</c:f>
              <c:strCache>
                <c:ptCount val="1"/>
                <c:pt idx="0">
                  <c:v>NCC Calls*</c:v>
                </c:pt>
              </c:strCache>
            </c:strRef>
          </c:tx>
          <c:spPr>
            <a:ln w="12700">
              <a:solidFill>
                <a:srgbClr val="800080"/>
              </a:solidFill>
              <a:prstDash val="solid"/>
            </a:ln>
          </c:spPr>
          <c:marker>
            <c:symbol val="star"/>
            <c:size val="5"/>
            <c:spPr>
              <a:noFill/>
              <a:ln>
                <a:solidFill>
                  <a:srgbClr val="800080"/>
                </a:solidFill>
                <a:prstDash val="solid"/>
              </a:ln>
            </c:spPr>
          </c:marker>
          <c:cat>
            <c:strRef>
              <c:f>'[3]Current Metrics'!$O$3:$AA$4</c:f>
              <c:strCache>
                <c:ptCount val="13"/>
                <c:pt idx="0">
                  <c:v>_x0005_42370</c:v>
                </c:pt>
                <c:pt idx="1">
                  <c:v>_x0005_42377</c:v>
                </c:pt>
                <c:pt idx="2">
                  <c:v>_x0005_42384</c:v>
                </c:pt>
                <c:pt idx="3">
                  <c:v>_x0005_42391</c:v>
                </c:pt>
                <c:pt idx="4">
                  <c:v>_x0005_42398</c:v>
                </c:pt>
                <c:pt idx="5">
                  <c:v>_x0005_42405</c:v>
                </c:pt>
                <c:pt idx="6">
                  <c:v>_x0005_42412</c:v>
                </c:pt>
                <c:pt idx="7">
                  <c:v>_x0005_42419</c:v>
                </c:pt>
                <c:pt idx="8">
                  <c:v>_x0005_42426</c:v>
                </c:pt>
                <c:pt idx="9">
                  <c:v>_x0005_42433</c:v>
                </c:pt>
                <c:pt idx="10">
                  <c:v>_x0005_42440</c:v>
                </c:pt>
                <c:pt idx="11">
                  <c:v>_x0005_42447</c:v>
                </c:pt>
                <c:pt idx="12">
                  <c:v>_x0005_42454</c:v>
                </c:pt>
              </c:strCache>
            </c:strRef>
          </c:cat>
          <c:val>
            <c:numRef>
              <c:f>'[3]Current Metrics'!$O$5:$AA$5</c:f>
              <c:numCache>
                <c:formatCode>General</c:formatCode>
                <c:ptCount val="13"/>
                <c:pt idx="0">
                  <c:v>69539.0</c:v>
                </c:pt>
                <c:pt idx="1">
                  <c:v>85543.0</c:v>
                </c:pt>
                <c:pt idx="2">
                  <c:v>90686.0</c:v>
                </c:pt>
                <c:pt idx="3">
                  <c:v>70751.0</c:v>
                </c:pt>
                <c:pt idx="4">
                  <c:v>87005.0</c:v>
                </c:pt>
                <c:pt idx="5">
                  <c:v>90559.0</c:v>
                </c:pt>
                <c:pt idx="6">
                  <c:v>85298.0</c:v>
                </c:pt>
                <c:pt idx="7">
                  <c:v>71879.0</c:v>
                </c:pt>
                <c:pt idx="8">
                  <c:v>92434.0</c:v>
                </c:pt>
                <c:pt idx="9">
                  <c:v>94843.0</c:v>
                </c:pt>
                <c:pt idx="10">
                  <c:v>92116.0</c:v>
                </c:pt>
                <c:pt idx="11">
                  <c:v>89462.0</c:v>
                </c:pt>
                <c:pt idx="12">
                  <c:v>91466.0</c:v>
                </c:pt>
              </c:numCache>
            </c:numRef>
          </c:val>
          <c:smooth val="0"/>
        </c:ser>
        <c:dLbls>
          <c:showLegendKey val="0"/>
          <c:showVal val="0"/>
          <c:showCatName val="0"/>
          <c:showSerName val="0"/>
          <c:showPercent val="0"/>
          <c:showBubbleSize val="0"/>
        </c:dLbls>
        <c:marker val="1"/>
        <c:smooth val="0"/>
        <c:axId val="-2013211768"/>
        <c:axId val="-2013215000"/>
      </c:lineChart>
      <c:catAx>
        <c:axId val="-20132117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Arial"/>
                <a:ea typeface="Arial"/>
                <a:cs typeface="Arial"/>
              </a:defRPr>
            </a:pPr>
            <a:endParaRPr lang="en-US"/>
          </a:p>
        </c:txPr>
        <c:crossAx val="-2013215000"/>
        <c:crosses val="autoZero"/>
        <c:auto val="1"/>
        <c:lblAlgn val="ctr"/>
        <c:lblOffset val="100"/>
        <c:tickLblSkip val="1"/>
        <c:tickMarkSkip val="1"/>
        <c:noMultiLvlLbl val="0"/>
      </c:catAx>
      <c:valAx>
        <c:axId val="-2013215000"/>
        <c:scaling>
          <c:orientation val="minMax"/>
          <c:max val="7.5E6"/>
        </c:scaling>
        <c:delete val="0"/>
        <c:axPos val="l"/>
        <c:majorGridlines>
          <c:spPr>
            <a:ln w="3175">
              <a:solidFill>
                <a:srgbClr val="000000"/>
              </a:solidFill>
              <a:prstDash val="solid"/>
            </a:ln>
          </c:spPr>
        </c:majorGridlines>
        <c:title>
          <c:tx>
            <c:rich>
              <a:bodyPr/>
              <a:lstStyle/>
              <a:p>
                <a:pPr>
                  <a:defRPr sz="2000" b="0" i="0" u="none" strike="noStrike" baseline="0">
                    <a:solidFill>
                      <a:srgbClr val="000000"/>
                    </a:solidFill>
                    <a:latin typeface="Arial"/>
                    <a:ea typeface="Arial"/>
                    <a:cs typeface="Arial"/>
                  </a:defRPr>
                </a:pPr>
                <a:r>
                  <a:rPr lang="en-US"/>
                  <a:t>eBenefits Visitors/Additonal Views/NCC Call Volume</a:t>
                </a:r>
              </a:p>
            </c:rich>
          </c:tx>
          <c:layout>
            <c:manualLayout>
              <c:xMode val="edge"/>
              <c:yMode val="edge"/>
              <c:x val="0.0168287423668001"/>
              <c:y val="0.2274928426588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25" b="0" i="0" u="none" strike="noStrike" baseline="0">
                <a:solidFill>
                  <a:srgbClr val="000000"/>
                </a:solidFill>
                <a:latin typeface="Arial"/>
                <a:ea typeface="Arial"/>
                <a:cs typeface="Arial"/>
              </a:defRPr>
            </a:pPr>
            <a:endParaRPr lang="en-US"/>
          </a:p>
        </c:txPr>
        <c:crossAx val="-2013211768"/>
        <c:crosses val="autoZero"/>
        <c:crossBetween val="between"/>
      </c:valAx>
      <c:spPr>
        <a:solidFill>
          <a:srgbClr val="C0C0C0"/>
        </a:solidFill>
        <a:ln w="12700">
          <a:solidFill>
            <a:srgbClr val="808080"/>
          </a:solidFill>
          <a:prstDash val="solid"/>
        </a:ln>
      </c:spPr>
    </c:plotArea>
    <c:legend>
      <c:legendPos val="r"/>
      <c:layout>
        <c:manualLayout>
          <c:xMode val="edge"/>
          <c:yMode val="edge"/>
          <c:x val="0.809343434343435"/>
          <c:y val="0.0148112756808409"/>
          <c:w val="0.102272727272727"/>
          <c:h val="0.0425226946966077"/>
        </c:manualLayout>
      </c:layout>
      <c:overlay val="0"/>
      <c:spPr>
        <a:solidFill>
          <a:srgbClr val="FFFFFF"/>
        </a:solidFill>
        <a:ln w="3175">
          <a:solidFill>
            <a:srgbClr val="000000"/>
          </a:solidFill>
          <a:prstDash val="solid"/>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00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Quarterly DS LOGON Registered Users</a:t>
            </a:r>
          </a:p>
        </c:rich>
      </c:tx>
      <c:layout>
        <c:manualLayout>
          <c:xMode val="edge"/>
          <c:yMode val="edge"/>
          <c:x val="0.269230769230769"/>
          <c:y val="0.0335195530726257"/>
        </c:manualLayout>
      </c:layout>
      <c:overlay val="0"/>
      <c:spPr>
        <a:noFill/>
        <a:ln w="25400">
          <a:noFill/>
        </a:ln>
      </c:spPr>
    </c:title>
    <c:autoTitleDeleted val="0"/>
    <c:plotArea>
      <c:layout>
        <c:manualLayout>
          <c:layoutTarget val="inner"/>
          <c:xMode val="edge"/>
          <c:yMode val="edge"/>
          <c:x val="0.14"/>
          <c:y val="0.17318459375081"/>
          <c:w val="0.838461538461539"/>
          <c:h val="0.544693480345289"/>
        </c:manualLayout>
      </c:layout>
      <c:barChart>
        <c:barDir val="col"/>
        <c:grouping val="clustered"/>
        <c:varyColors val="0"/>
        <c:ser>
          <c:idx val="0"/>
          <c:order val="0"/>
          <c:spPr>
            <a:solidFill>
              <a:srgbClr val="0066CC"/>
            </a:solidFill>
            <a:ln w="12700">
              <a:solidFill>
                <a:srgbClr val="000000"/>
              </a:solidFill>
              <a:prstDash val="solid"/>
            </a:ln>
          </c:spPr>
          <c:invertIfNegative val="0"/>
          <c:dLbls>
            <c:dLbl>
              <c:idx val="0"/>
              <c:layout>
                <c:manualLayout>
                  <c:x val="0.00285063597819502"/>
                  <c:y val="0.0157491552965024"/>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0.0015685039370079"/>
                  <c:y val="0.00324570424757339"/>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0.00894423581667676"/>
                  <c:y val="-0.011187397673450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0.00361978598828987"/>
                  <c:y val="0.015538198899755"/>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0.00281477892186554"/>
                  <c:y val="0.004714602450441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a:lstStyle/>
              <a:p>
                <a:pPr>
                  <a:defRPr sz="925" b="0"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'[2]DS Logon %'!$A$4:$A$9</c:f>
              <c:strCache>
                <c:ptCount val="6"/>
                <c:pt idx="0">
                  <c:v>	Q3 FY '10</c:v>
                </c:pt>
                <c:pt idx="1">
                  <c:v>	Q4 FY '10</c:v>
                </c:pt>
                <c:pt idx="2">
                  <c:v>	Q1 FY '11</c:v>
                </c:pt>
                <c:pt idx="3">
                  <c:v>	Q2 FY '11</c:v>
                </c:pt>
                <c:pt idx="4">
                  <c:v>	Q3 FY '11</c:v>
                </c:pt>
                <c:pt idx="5">
                  <c:v>	Q4 FY '11</c:v>
                </c:pt>
              </c:strCache>
            </c:strRef>
          </c:cat>
          <c:val>
            <c:numRef>
              <c:f>'[2]DS Logon %'!$B$4:$B$9</c:f>
              <c:numCache>
                <c:formatCode>General</c:formatCode>
                <c:ptCount val="6"/>
                <c:pt idx="0">
                  <c:v>126650.0</c:v>
                </c:pt>
                <c:pt idx="1">
                  <c:v>163451.0</c:v>
                </c:pt>
                <c:pt idx="2">
                  <c:v>201996.0</c:v>
                </c:pt>
                <c:pt idx="3">
                  <c:v>278532.0</c:v>
                </c:pt>
                <c:pt idx="4">
                  <c:v>368156.0</c:v>
                </c:pt>
                <c:pt idx="5">
                  <c:v>1.091545E6</c:v>
                </c:pt>
              </c:numCache>
            </c:numRef>
          </c:val>
        </c:ser>
        <c:ser>
          <c:idx val="1"/>
          <c:order val="1"/>
          <c:spPr>
            <a:solidFill>
              <a:srgbClr val="993366"/>
            </a:solidFill>
            <a:ln w="12700">
              <a:solidFill>
                <a:srgbClr val="000000"/>
              </a:solidFill>
              <a:prstDash val="solid"/>
            </a:ln>
          </c:spPr>
          <c:invertIfNegative val="0"/>
          <c:cat>
            <c:strRef>
              <c:f>'[2]DS Logon %'!$A$4:$A$9</c:f>
              <c:strCache>
                <c:ptCount val="6"/>
                <c:pt idx="0">
                  <c:v>	Q3 FY '10</c:v>
                </c:pt>
                <c:pt idx="1">
                  <c:v>	Q4 FY '10</c:v>
                </c:pt>
                <c:pt idx="2">
                  <c:v>	Q1 FY '11</c:v>
                </c:pt>
                <c:pt idx="3">
                  <c:v>	Q2 FY '11</c:v>
                </c:pt>
                <c:pt idx="4">
                  <c:v>	Q3 FY '11</c:v>
                </c:pt>
                <c:pt idx="5">
                  <c:v>	Q4 FY '11</c:v>
                </c:pt>
              </c:strCache>
            </c:strRef>
          </c:cat>
          <c:val>
            <c:numRef>
              <c:f>'[2]DS Logon %'!$C$4:$C$9</c:f>
              <c:numCache>
                <c:formatCode>General</c:formatCode>
                <c:ptCount val="6"/>
                <c:pt idx="1">
                  <c:v>0.290572443742598</c:v>
                </c:pt>
                <c:pt idx="2">
                  <c:v>0.235819909330625</c:v>
                </c:pt>
                <c:pt idx="3">
                  <c:v>0.378898592051328</c:v>
                </c:pt>
                <c:pt idx="4">
                  <c:v>0.321772722703316</c:v>
                </c:pt>
                <c:pt idx="5">
                  <c:v>4.403795124655934</c:v>
                </c:pt>
              </c:numCache>
            </c:numRef>
          </c:val>
        </c:ser>
        <c:dLbls>
          <c:showLegendKey val="0"/>
          <c:showVal val="0"/>
          <c:showCatName val="0"/>
          <c:showSerName val="0"/>
          <c:showPercent val="0"/>
          <c:showBubbleSize val="0"/>
        </c:dLbls>
        <c:gapWidth val="150"/>
        <c:axId val="-2011547800"/>
        <c:axId val="-2011544520"/>
      </c:barChart>
      <c:catAx>
        <c:axId val="-2011547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3780000" vert="horz"/>
          <a:lstStyle/>
          <a:p>
            <a:pPr>
              <a:defRPr sz="1100" b="1" i="0" u="none" strike="noStrike" baseline="0">
                <a:solidFill>
                  <a:srgbClr val="000000"/>
                </a:solidFill>
                <a:latin typeface="Arial"/>
                <a:ea typeface="Arial"/>
                <a:cs typeface="Arial"/>
              </a:defRPr>
            </a:pPr>
            <a:endParaRPr lang="en-US"/>
          </a:p>
        </c:txPr>
        <c:crossAx val="-2011544520"/>
        <c:crosses val="autoZero"/>
        <c:auto val="1"/>
        <c:lblAlgn val="ctr"/>
        <c:lblOffset val="100"/>
        <c:tickLblSkip val="1"/>
        <c:tickMarkSkip val="1"/>
        <c:noMultiLvlLbl val="0"/>
      </c:catAx>
      <c:valAx>
        <c:axId val="-2011544520"/>
        <c:scaling>
          <c:orientation val="minMax"/>
          <c:max val="1.1E6"/>
          <c:min val="0.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25" b="1" i="0" u="none" strike="noStrike" baseline="0">
                <a:solidFill>
                  <a:srgbClr val="000000"/>
                </a:solidFill>
                <a:latin typeface="Arial"/>
                <a:ea typeface="Arial"/>
                <a:cs typeface="Arial"/>
              </a:defRPr>
            </a:pPr>
            <a:endParaRPr lang="en-US"/>
          </a:p>
        </c:txPr>
        <c:crossAx val="-2011547800"/>
        <c:crosses val="autoZero"/>
        <c:crossBetween val="between"/>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rgbClr val="9999FF"/>
          </a:solidFill>
          <a:ln w="12700">
            <a:solidFill>
              <a:srgbClr val="000000"/>
            </a:solidFill>
            <a:prstDash val="solid"/>
          </a:ln>
        </c:spPr>
        <c:marker>
          <c:symbol val="none"/>
        </c:marker>
      </c:pivotFmt>
      <c:pivotFmt>
        <c:idx val="1"/>
        <c:spPr>
          <a:solidFill>
            <a:srgbClr val="993366"/>
          </a:solidFill>
          <a:ln w="12700">
            <a:solidFill>
              <a:srgbClr val="000000"/>
            </a:solidFill>
            <a:prstDash val="solid"/>
          </a:ln>
        </c:spPr>
        <c:marker>
          <c:symbol val="none"/>
        </c:marker>
      </c:pivotFmt>
      <c:pivotFmt>
        <c:idx val="2"/>
        <c:spPr>
          <a:solidFill>
            <a:srgbClr val="FFFFCC"/>
          </a:solidFill>
          <a:ln w="12700">
            <a:solidFill>
              <a:srgbClr val="000000"/>
            </a:solidFill>
            <a:prstDash val="solid"/>
          </a:ln>
        </c:spPr>
        <c:marker>
          <c:symbol val="none"/>
        </c:marker>
      </c:pivotFmt>
      <c:pivotFmt>
        <c:idx val="3"/>
        <c:spPr>
          <a:solidFill>
            <a:srgbClr val="9999FF"/>
          </a:solidFill>
          <a:ln w="12700">
            <a:solidFill>
              <a:srgbClr val="000000"/>
            </a:solidFill>
            <a:prstDash val="solid"/>
          </a:ln>
        </c:spPr>
        <c:marker>
          <c:symbol val="none"/>
        </c:marker>
      </c:pivotFmt>
      <c:pivotFmt>
        <c:idx val="4"/>
        <c:spPr>
          <a:solidFill>
            <a:srgbClr val="993366"/>
          </a:solidFill>
          <a:ln w="12700">
            <a:solidFill>
              <a:srgbClr val="000000"/>
            </a:solidFill>
            <a:prstDash val="solid"/>
          </a:ln>
        </c:spPr>
        <c:marker>
          <c:symbol val="none"/>
        </c:marker>
      </c:pivotFmt>
      <c:pivotFmt>
        <c:idx val="5"/>
        <c:spPr>
          <a:solidFill>
            <a:srgbClr val="FFFFCC"/>
          </a:solidFill>
          <a:ln w="12700">
            <a:solidFill>
              <a:srgbClr val="000000"/>
            </a:solidFill>
            <a:prstDash val="solid"/>
          </a:ln>
        </c:spPr>
        <c:marker>
          <c:symbol val="none"/>
        </c:marker>
      </c:pivotFmt>
    </c:pivotFmts>
    <c:plotArea>
      <c:layout/>
      <c:barChart>
        <c:barDir val="bar"/>
        <c:grouping val="clustered"/>
        <c:varyColors val="0"/>
        <c:ser>
          <c:idx val="0"/>
          <c:order val="0"/>
          <c:tx>
            <c:v>Total</c:v>
          </c:tx>
          <c:spPr>
            <a:solidFill>
              <a:srgbClr val="9999FF"/>
            </a:solidFill>
            <a:ln w="12700">
              <a:solidFill>
                <a:srgbClr val="000000"/>
              </a:solidFill>
              <a:prstDash val="solid"/>
            </a:ln>
          </c:spPr>
          <c:invertIfNegative val="0"/>
          <c:cat>
            <c:strLit>
              <c:ptCount val="23"/>
              <c:pt idx="0">
                <c:v>Dependents Air Force</c:v>
              </c:pt>
              <c:pt idx="1">
                <c:v>Dependents Army</c:v>
              </c:pt>
              <c:pt idx="2">
                <c:v>Dependents Coast Guard</c:v>
              </c:pt>
              <c:pt idx="3">
                <c:v>Dependents Marines</c:v>
              </c:pt>
              <c:pt idx="4">
                <c:v>Dependents Navy</c:v>
              </c:pt>
              <c:pt idx="5">
                <c:v>Dependents Other Uniformed Services</c:v>
              </c:pt>
              <c:pt idx="6">
                <c:v>Dependents Total</c:v>
              </c:pt>
              <c:pt idx="7">
                <c:v>Retired Air Force</c:v>
              </c:pt>
              <c:pt idx="8">
                <c:v>Retired Army</c:v>
              </c:pt>
              <c:pt idx="9">
                <c:v>Retired Coast Guard</c:v>
              </c:pt>
              <c:pt idx="10">
                <c:v>Retired Marines</c:v>
              </c:pt>
              <c:pt idx="11">
                <c:v>Retired Navy</c:v>
              </c:pt>
              <c:pt idx="12">
                <c:v>Retired Other Uniformed Services</c:v>
              </c:pt>
              <c:pt idx="13">
                <c:v>Retired Total</c:v>
              </c:pt>
              <c:pt idx="14">
                <c:v>Service Member Air Force</c:v>
              </c:pt>
              <c:pt idx="15">
                <c:v>Service Member Army</c:v>
              </c:pt>
              <c:pt idx="16">
                <c:v>Service Member Coast Guard</c:v>
              </c:pt>
              <c:pt idx="17">
                <c:v>Service Member Marines</c:v>
              </c:pt>
              <c:pt idx="18">
                <c:v>Service Member Navy</c:v>
              </c:pt>
              <c:pt idx="19">
                <c:v>Service Member Other Uniformed Services</c:v>
              </c:pt>
              <c:pt idx="20">
                <c:v>Service Member Total</c:v>
              </c:pt>
              <c:pt idx="21">
                <c:v>Veteran Veteran</c:v>
              </c:pt>
              <c:pt idx="22">
                <c:v>Veteran Total</c:v>
              </c:pt>
            </c:strLit>
          </c:cat>
          <c:val>
            <c:numLit>
              <c:formatCode>General</c:formatCode>
              <c:ptCount val="23"/>
              <c:pt idx="0">
                <c:v>10915.0</c:v>
              </c:pt>
              <c:pt idx="1">
                <c:v>25209.0</c:v>
              </c:pt>
              <c:pt idx="2">
                <c:v>731.0</c:v>
              </c:pt>
              <c:pt idx="3">
                <c:v>3532.0</c:v>
              </c:pt>
              <c:pt idx="4">
                <c:v>17125.0</c:v>
              </c:pt>
              <c:pt idx="5">
                <c:v>988.0</c:v>
              </c:pt>
              <c:pt idx="6">
                <c:v>0.0</c:v>
              </c:pt>
              <c:pt idx="7">
                <c:v>10146.0</c:v>
              </c:pt>
              <c:pt idx="8">
                <c:v>17805.0</c:v>
              </c:pt>
              <c:pt idx="9">
                <c:v>502.0</c:v>
              </c:pt>
              <c:pt idx="10">
                <c:v>2394.0</c:v>
              </c:pt>
              <c:pt idx="11">
                <c:v>18284.0</c:v>
              </c:pt>
              <c:pt idx="12">
                <c:v>137.0</c:v>
              </c:pt>
              <c:pt idx="13">
                <c:v>0.0</c:v>
              </c:pt>
              <c:pt idx="14">
                <c:v>7647.0</c:v>
              </c:pt>
              <c:pt idx="15">
                <c:v>20889.0</c:v>
              </c:pt>
              <c:pt idx="16">
                <c:v>661.0</c:v>
              </c:pt>
              <c:pt idx="17">
                <c:v>2274.0</c:v>
              </c:pt>
              <c:pt idx="18">
                <c:v>17078.0</c:v>
              </c:pt>
              <c:pt idx="19">
                <c:v>6191.0</c:v>
              </c:pt>
              <c:pt idx="20">
                <c:v>0.0</c:v>
              </c:pt>
              <c:pt idx="21">
                <c:v>4461.0</c:v>
              </c:pt>
              <c:pt idx="22">
                <c:v>0.0</c:v>
              </c:pt>
            </c:numLit>
          </c:val>
        </c:ser>
        <c:ser>
          <c:idx val="1"/>
          <c:order val="1"/>
          <c:tx>
            <c:v>Premium</c:v>
          </c:tx>
          <c:spPr>
            <a:solidFill>
              <a:srgbClr val="993366"/>
            </a:solidFill>
            <a:ln w="12700">
              <a:solidFill>
                <a:srgbClr val="000000"/>
              </a:solidFill>
              <a:prstDash val="solid"/>
            </a:ln>
          </c:spPr>
          <c:invertIfNegative val="0"/>
          <c:cat>
            <c:strLit>
              <c:ptCount val="23"/>
              <c:pt idx="0">
                <c:v>Dependents Air Force</c:v>
              </c:pt>
              <c:pt idx="1">
                <c:v>Dependents Army</c:v>
              </c:pt>
              <c:pt idx="2">
                <c:v>Dependents Coast Guard</c:v>
              </c:pt>
              <c:pt idx="3">
                <c:v>Dependents Marines</c:v>
              </c:pt>
              <c:pt idx="4">
                <c:v>Dependents Navy</c:v>
              </c:pt>
              <c:pt idx="5">
                <c:v>Dependents Other Uniformed Services</c:v>
              </c:pt>
              <c:pt idx="6">
                <c:v>Dependents Total</c:v>
              </c:pt>
              <c:pt idx="7">
                <c:v>Retired Air Force</c:v>
              </c:pt>
              <c:pt idx="8">
                <c:v>Retired Army</c:v>
              </c:pt>
              <c:pt idx="9">
                <c:v>Retired Coast Guard</c:v>
              </c:pt>
              <c:pt idx="10">
                <c:v>Retired Marines</c:v>
              </c:pt>
              <c:pt idx="11">
                <c:v>Retired Navy</c:v>
              </c:pt>
              <c:pt idx="12">
                <c:v>Retired Other Uniformed Services</c:v>
              </c:pt>
              <c:pt idx="13">
                <c:v>Retired Total</c:v>
              </c:pt>
              <c:pt idx="14">
                <c:v>Service Member Air Force</c:v>
              </c:pt>
              <c:pt idx="15">
                <c:v>Service Member Army</c:v>
              </c:pt>
              <c:pt idx="16">
                <c:v>Service Member Coast Guard</c:v>
              </c:pt>
              <c:pt idx="17">
                <c:v>Service Member Marines</c:v>
              </c:pt>
              <c:pt idx="18">
                <c:v>Service Member Navy</c:v>
              </c:pt>
              <c:pt idx="19">
                <c:v>Service Member Other Uniformed Services</c:v>
              </c:pt>
              <c:pt idx="20">
                <c:v>Service Member Total</c:v>
              </c:pt>
              <c:pt idx="21">
                <c:v>Veteran Veteran</c:v>
              </c:pt>
              <c:pt idx="22">
                <c:v>Veteran Total</c:v>
              </c:pt>
            </c:strLit>
          </c:cat>
          <c:val>
            <c:numLit>
              <c:formatCode>General</c:formatCode>
              <c:ptCount val="23"/>
              <c:pt idx="0">
                <c:v>0.0</c:v>
              </c:pt>
              <c:pt idx="1">
                <c:v>0.0</c:v>
              </c:pt>
              <c:pt idx="2">
                <c:v>0.0</c:v>
              </c:pt>
              <c:pt idx="3">
                <c:v>0.0</c:v>
              </c:pt>
              <c:pt idx="4">
                <c:v>0.0</c:v>
              </c:pt>
              <c:pt idx="5">
                <c:v>0.0</c:v>
              </c:pt>
              <c:pt idx="6">
                <c:v>0.0</c:v>
              </c:pt>
              <c:pt idx="7">
                <c:v>1034.0</c:v>
              </c:pt>
              <c:pt idx="8">
                <c:v>2024.0</c:v>
              </c:pt>
              <c:pt idx="9">
                <c:v>139.0</c:v>
              </c:pt>
              <c:pt idx="10">
                <c:v>424.0</c:v>
              </c:pt>
              <c:pt idx="11">
                <c:v>1243.0</c:v>
              </c:pt>
              <c:pt idx="12">
                <c:v>12.0</c:v>
              </c:pt>
              <c:pt idx="13">
                <c:v>0.0</c:v>
              </c:pt>
              <c:pt idx="14">
                <c:v>868.0</c:v>
              </c:pt>
              <c:pt idx="15">
                <c:v>3755.0</c:v>
              </c:pt>
              <c:pt idx="16">
                <c:v>101.0</c:v>
              </c:pt>
              <c:pt idx="17">
                <c:v>745.0</c:v>
              </c:pt>
              <c:pt idx="18">
                <c:v>1192.0</c:v>
              </c:pt>
              <c:pt idx="19">
                <c:v>2181.0</c:v>
              </c:pt>
              <c:pt idx="20">
                <c:v>0.0</c:v>
              </c:pt>
              <c:pt idx="21">
                <c:v>18247.0</c:v>
              </c:pt>
              <c:pt idx="22">
                <c:v>0.0</c:v>
              </c:pt>
            </c:numLit>
          </c:val>
        </c:ser>
        <c:ser>
          <c:idx val="2"/>
          <c:order val="2"/>
          <c:tx>
            <c:v>Basic</c:v>
          </c:tx>
          <c:spPr>
            <a:solidFill>
              <a:srgbClr val="FFFFCC"/>
            </a:solidFill>
            <a:ln w="12700">
              <a:solidFill>
                <a:srgbClr val="000000"/>
              </a:solidFill>
              <a:prstDash val="solid"/>
            </a:ln>
          </c:spPr>
          <c:invertIfNegative val="0"/>
          <c:cat>
            <c:strLit>
              <c:ptCount val="23"/>
              <c:pt idx="0">
                <c:v>Dependents Air Force</c:v>
              </c:pt>
              <c:pt idx="1">
                <c:v>Dependents Army</c:v>
              </c:pt>
              <c:pt idx="2">
                <c:v>Dependents Coast Guard</c:v>
              </c:pt>
              <c:pt idx="3">
                <c:v>Dependents Marines</c:v>
              </c:pt>
              <c:pt idx="4">
                <c:v>Dependents Navy</c:v>
              </c:pt>
              <c:pt idx="5">
                <c:v>Dependents Other Uniformed Services</c:v>
              </c:pt>
              <c:pt idx="6">
                <c:v>Dependents Total</c:v>
              </c:pt>
              <c:pt idx="7">
                <c:v>Retired Air Force</c:v>
              </c:pt>
              <c:pt idx="8">
                <c:v>Retired Army</c:v>
              </c:pt>
              <c:pt idx="9">
                <c:v>Retired Coast Guard</c:v>
              </c:pt>
              <c:pt idx="10">
                <c:v>Retired Marines</c:v>
              </c:pt>
              <c:pt idx="11">
                <c:v>Retired Navy</c:v>
              </c:pt>
              <c:pt idx="12">
                <c:v>Retired Other Uniformed Services</c:v>
              </c:pt>
              <c:pt idx="13">
                <c:v>Retired Total</c:v>
              </c:pt>
              <c:pt idx="14">
                <c:v>Service Member Air Force</c:v>
              </c:pt>
              <c:pt idx="15">
                <c:v>Service Member Army</c:v>
              </c:pt>
              <c:pt idx="16">
                <c:v>Service Member Coast Guard</c:v>
              </c:pt>
              <c:pt idx="17">
                <c:v>Service Member Marines</c:v>
              </c:pt>
              <c:pt idx="18">
                <c:v>Service Member Navy</c:v>
              </c:pt>
              <c:pt idx="19">
                <c:v>Service Member Other Uniformed Services</c:v>
              </c:pt>
              <c:pt idx="20">
                <c:v>Service Member Total</c:v>
              </c:pt>
              <c:pt idx="21">
                <c:v>Veteran Veteran</c:v>
              </c:pt>
              <c:pt idx="22">
                <c:v>Veteran Total</c:v>
              </c:pt>
            </c:strLit>
          </c:cat>
          <c:val>
            <c:numLit>
              <c:formatCode>General</c:formatCode>
              <c:ptCount val="23"/>
              <c:pt idx="0">
                <c:v>10915.0</c:v>
              </c:pt>
              <c:pt idx="1">
                <c:v>25209.0</c:v>
              </c:pt>
              <c:pt idx="2">
                <c:v>731.0</c:v>
              </c:pt>
              <c:pt idx="3">
                <c:v>3532.0</c:v>
              </c:pt>
              <c:pt idx="4">
                <c:v>17125.0</c:v>
              </c:pt>
              <c:pt idx="5">
                <c:v>988.0</c:v>
              </c:pt>
              <c:pt idx="6">
                <c:v>58500.0</c:v>
              </c:pt>
              <c:pt idx="7">
                <c:v>11180.0</c:v>
              </c:pt>
              <c:pt idx="8">
                <c:v>19829.0</c:v>
              </c:pt>
              <c:pt idx="9">
                <c:v>641.0</c:v>
              </c:pt>
              <c:pt idx="10">
                <c:v>2818.0</c:v>
              </c:pt>
              <c:pt idx="11">
                <c:v>19527.0</c:v>
              </c:pt>
              <c:pt idx="12">
                <c:v>149.0</c:v>
              </c:pt>
              <c:pt idx="13">
                <c:v>54144.0</c:v>
              </c:pt>
              <c:pt idx="14">
                <c:v>8515.0</c:v>
              </c:pt>
              <c:pt idx="15">
                <c:v>24644.0</c:v>
              </c:pt>
              <c:pt idx="16">
                <c:v>762.0</c:v>
              </c:pt>
              <c:pt idx="17">
                <c:v>3019.0</c:v>
              </c:pt>
              <c:pt idx="18">
                <c:v>18270.0</c:v>
              </c:pt>
              <c:pt idx="19">
                <c:v>8372.0</c:v>
              </c:pt>
              <c:pt idx="20">
                <c:v>63582.0</c:v>
              </c:pt>
              <c:pt idx="21">
                <c:v>22708.0</c:v>
              </c:pt>
              <c:pt idx="22">
                <c:v>22708.0</c:v>
              </c:pt>
            </c:numLit>
          </c:val>
        </c:ser>
        <c:dLbls>
          <c:showLegendKey val="0"/>
          <c:showVal val="0"/>
          <c:showCatName val="0"/>
          <c:showSerName val="0"/>
          <c:showPercent val="0"/>
          <c:showBubbleSize val="0"/>
        </c:dLbls>
        <c:gapWidth val="150"/>
        <c:axId val="-2115512264"/>
        <c:axId val="-2115508024"/>
      </c:barChart>
      <c:catAx>
        <c:axId val="-2115512264"/>
        <c:scaling>
          <c:orientation val="minMax"/>
        </c:scaling>
        <c:delete val="0"/>
        <c:axPos val="l"/>
        <c:numFmt formatCode="General" sourceLinked="1"/>
        <c:majorTickMark val="in"/>
        <c:minorTickMark val="none"/>
        <c:tickLblPos val="nextTo"/>
        <c:crossAx val="-2115508024"/>
        <c:crosses val="autoZero"/>
        <c:auto val="0"/>
        <c:lblAlgn val="ctr"/>
        <c:lblOffset val="100"/>
        <c:noMultiLvlLbl val="0"/>
      </c:catAx>
      <c:valAx>
        <c:axId val="-2115508024"/>
        <c:scaling>
          <c:orientation val="minMax"/>
        </c:scaling>
        <c:delete val="0"/>
        <c:axPos val="b"/>
        <c:numFmt formatCode="General" sourceLinked="1"/>
        <c:majorTickMark val="none"/>
        <c:minorTickMark val="none"/>
        <c:tickLblPos val="nextTo"/>
        <c:crossAx val="-2115512264"/>
        <c:crosses val="autoZero"/>
        <c:crossBetween val="between"/>
      </c:valAx>
    </c:plotArea>
    <c:legend>
      <c:legendPos val="r"/>
      <c:overlay val="0"/>
    </c:legend>
    <c:plotVisOnly val="1"/>
    <c:dispBlanksAs val="gap"/>
    <c:showDLblsOverMax val="0"/>
  </c:chart>
  <c:printSettings>
    <c:headerFooter/>
    <c:pageMargins b="0.750000000000003" l="0.700000000000001" r="0.700000000000001" t="0.750000000000003" header="0.3" footer="0.3"/>
    <c:pageSetup orientation="portrait"/>
  </c:printSettings>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548168249661"/>
          <c:y val="0.0738787231493279"/>
          <c:w val="0.872455902306649"/>
          <c:h val="0.67810113747776"/>
        </c:manualLayout>
      </c:layout>
      <c:barChart>
        <c:barDir val="col"/>
        <c:grouping val="clustered"/>
        <c:varyColors val="0"/>
        <c:ser>
          <c:idx val="1"/>
          <c:order val="0"/>
          <c:spPr>
            <a:solidFill>
              <a:srgbClr val="3366FF"/>
            </a:solidFill>
            <a:ln w="25400">
              <a:noFill/>
            </a:ln>
          </c:spPr>
          <c:invertIfNegative val="0"/>
          <c:dLbls>
            <c:dLbl>
              <c:idx val="0"/>
              <c:layout>
                <c:manualLayout>
                  <c:x val="0.0058638803121116"/>
                  <c:y val="0.0136133906744507"/>
                </c:manualLayout>
              </c:layout>
              <c:tx>
                <c:rich>
                  <a:bodyPr/>
                  <a:lstStyle/>
                  <a:p>
                    <a:r>
                      <a:rPr lang="en-US" sz="1100"/>
                      <a:t>26,237</a:t>
                    </a:r>
                    <a:endParaRPr lang="en-US"/>
                  </a:p>
                </c:rich>
              </c:tx>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0.00145414658988522"/>
                  <c:y val="0.0167513625440619"/>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0.0029241053145155"/>
                  <c:y val="0.0397210506997971"/>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0.00358436877886872"/>
                  <c:y val="0.019186559463708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4"/>
              <c:layout>
                <c:manualLayout>
                  <c:x val="0.00450702820899084"/>
                  <c:y val="0.0157006627469719"/>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0.00326328272737957"/>
                  <c:y val="0.0188788010997306"/>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6"/>
              <c:layout>
                <c:manualLayout>
                  <c:x val="0.00428095741763623"/>
                  <c:y val="0.0206497274911876"/>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7"/>
              <c:layout>
                <c:manualLayout>
                  <c:x val="0.00177523264137437"/>
                  <c:y val="0.019307889943836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8"/>
              <c:layout>
                <c:manualLayout>
                  <c:x val="-0.000920380203492203"/>
                  <c:y val="0.02213173221421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9"/>
              <c:layout>
                <c:manualLayout>
                  <c:x val="0.00200130343272898"/>
                  <c:y val="0.026222896280445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0"/>
              <c:layout>
                <c:manualLayout>
                  <c:x val="0.00428095741763623"/>
                  <c:y val="0.0307378859964404"/>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1"/>
              <c:layout>
                <c:manualLayout>
                  <c:x val="0.002584785449987"/>
                  <c:y val="0.0166250458798191"/>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2"/>
              <c:layout>
                <c:manualLayout>
                  <c:x val="0.0"/>
                  <c:y val="0.0281442392260334"/>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('[2]DD-214 (DPRIS)'!$D$2:$M$2,'[2]DD-214 (DPRIS)'!$B$3:$C$3)</c:f>
              <c:strCache>
                <c:ptCount val="12"/>
                <c:pt idx="0">
                  <c:v>_x0003_Mar</c:v>
                </c:pt>
                <c:pt idx="1">
                  <c:v>_x0003_Apr</c:v>
                </c:pt>
                <c:pt idx="2">
                  <c:v>_x0003_May</c:v>
                </c:pt>
                <c:pt idx="3">
                  <c:v>_x0003_Jun</c:v>
                </c:pt>
                <c:pt idx="4">
                  <c:v>_x0003_Jul</c:v>
                </c:pt>
                <c:pt idx="5">
                  <c:v>_x0003_Aug</c:v>
                </c:pt>
                <c:pt idx="6">
                  <c:v>_x0003_Sep</c:v>
                </c:pt>
                <c:pt idx="7">
                  <c:v>_x0008_Oct FY16</c:v>
                </c:pt>
                <c:pt idx="8">
                  <c:v>_x0003_Nov</c:v>
                </c:pt>
                <c:pt idx="9">
                  <c:v>_x0003_Dec</c:v>
                </c:pt>
                <c:pt idx="10">
                  <c:v>_x0003_Jan</c:v>
                </c:pt>
                <c:pt idx="11">
                  <c:v>_x0003_Feb</c:v>
                </c:pt>
              </c:strCache>
            </c:strRef>
          </c:cat>
          <c:val>
            <c:numRef>
              <c:f>('[2]DD-214 (DPRIS)'!$D$11:$M$11,'[2]DD-214 (DPRIS)'!$B$12:$C$12)</c:f>
              <c:numCache>
                <c:formatCode>General</c:formatCode>
                <c:ptCount val="12"/>
                <c:pt idx="0">
                  <c:v>26237.0</c:v>
                </c:pt>
                <c:pt idx="1">
                  <c:v>25122.0</c:v>
                </c:pt>
                <c:pt idx="2">
                  <c:v>24132.0</c:v>
                </c:pt>
                <c:pt idx="3">
                  <c:v>19841.0</c:v>
                </c:pt>
                <c:pt idx="4">
                  <c:v>21520.0</c:v>
                </c:pt>
                <c:pt idx="5">
                  <c:v>28082.0</c:v>
                </c:pt>
                <c:pt idx="6">
                  <c:v>27018.0</c:v>
                </c:pt>
                <c:pt idx="7">
                  <c:v>26982.0</c:v>
                </c:pt>
                <c:pt idx="8">
                  <c:v>23003.0</c:v>
                </c:pt>
                <c:pt idx="9">
                  <c:v>23581.0</c:v>
                </c:pt>
                <c:pt idx="10">
                  <c:v>28885.0</c:v>
                </c:pt>
                <c:pt idx="11">
                  <c:v>26677.0</c:v>
                </c:pt>
              </c:numCache>
            </c:numRef>
          </c:val>
        </c:ser>
        <c:dLbls>
          <c:showLegendKey val="0"/>
          <c:showVal val="0"/>
          <c:showCatName val="0"/>
          <c:showSerName val="0"/>
          <c:showPercent val="0"/>
          <c:showBubbleSize val="0"/>
        </c:dLbls>
        <c:gapWidth val="150"/>
        <c:axId val="-2010646168"/>
        <c:axId val="-2010639624"/>
      </c:barChart>
      <c:catAx>
        <c:axId val="-2010646168"/>
        <c:scaling>
          <c:orientation val="minMax"/>
        </c:scaling>
        <c:delete val="0"/>
        <c:axPos val="b"/>
        <c:title>
          <c:tx>
            <c:rich>
              <a:bodyPr/>
              <a:lstStyle/>
              <a:p>
                <a:pPr>
                  <a:defRPr sz="1200" b="0" i="0" u="none" strike="noStrike" baseline="0">
                    <a:solidFill>
                      <a:srgbClr val="000000"/>
                    </a:solidFill>
                    <a:latin typeface="Arial"/>
                    <a:ea typeface="Arial"/>
                    <a:cs typeface="Arial"/>
                  </a:defRPr>
                </a:pPr>
                <a:r>
                  <a:rPr lang="en-US"/>
                  <a:t>Total Number of OMPF (DD214) User Requests (Mar '15</a:t>
                </a:r>
                <a:r>
                  <a:rPr lang="en-US" baseline="0"/>
                  <a:t> - Feb </a:t>
                </a:r>
                <a:r>
                  <a:rPr lang="en-US"/>
                  <a:t>'16) = 323,948</a:t>
                </a:r>
              </a:p>
            </c:rich>
          </c:tx>
          <c:layout>
            <c:manualLayout>
              <c:xMode val="edge"/>
              <c:yMode val="edge"/>
              <c:x val="0.132519222071461"/>
              <c:y val="0.88830365861259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010639624"/>
        <c:crosses val="autoZero"/>
        <c:auto val="1"/>
        <c:lblAlgn val="ctr"/>
        <c:lblOffset val="100"/>
        <c:tickLblSkip val="1"/>
        <c:tickMarkSkip val="1"/>
        <c:noMultiLvlLbl val="0"/>
      </c:catAx>
      <c:valAx>
        <c:axId val="-2010639624"/>
        <c:scaling>
          <c:orientation val="minMax"/>
          <c:max val="35000.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010646168"/>
        <c:crosses val="autoZero"/>
        <c:crossBetween val="between"/>
        <c:majorUnit val="5000.0"/>
      </c:valAx>
      <c:spPr>
        <a:solidFill>
          <a:srgbClr val="FFFFFF"/>
        </a:solidFill>
        <a:ln w="12700">
          <a:solidFill>
            <a:srgbClr val="808080"/>
          </a:solidFill>
          <a:prstDash val="solid"/>
        </a:ln>
      </c:spPr>
    </c:plotArea>
    <c:plotVisOnly val="1"/>
    <c:dispBlanksAs val="gap"/>
    <c:showDLblsOverMax val="0"/>
  </c:chart>
  <c:spPr>
    <a:solidFill>
      <a:srgbClr val="FFFFFF"/>
    </a:solidFill>
    <a:ln w="12700">
      <a:solidFill>
        <a:srgbClr val="000000"/>
      </a:solidFill>
      <a:prstDash val="solid"/>
    </a:ln>
  </c:spPr>
  <c:txPr>
    <a:bodyPr/>
    <a:lstStyle/>
    <a:p>
      <a:pPr>
        <a:defRPr sz="1150" b="0" i="0" u="none" strike="noStrike" baseline="0">
          <a:solidFill>
            <a:srgbClr val="000000"/>
          </a:solidFill>
          <a:latin typeface="Arial"/>
          <a:ea typeface="Arial"/>
          <a:cs typeface="Arial"/>
        </a:defRPr>
      </a:pPr>
      <a:endParaRPr lang="en-US"/>
    </a:p>
  </c:txPr>
  <c:printSettings>
    <c:headerFooter/>
    <c:pageMargins b="0.750000000000003" l="0.700000000000001" r="0.700000000000001" t="0.750000000000003"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1282185880611"/>
          <c:y val="0.0560224089635854"/>
          <c:w val="0.852565169978428"/>
          <c:h val="0.69467977142357"/>
        </c:manualLayout>
      </c:layout>
      <c:barChart>
        <c:barDir val="col"/>
        <c:grouping val="clustered"/>
        <c:varyColors val="0"/>
        <c:ser>
          <c:idx val="0"/>
          <c:order val="0"/>
          <c:spPr>
            <a:solidFill>
              <a:srgbClr val="3366FF"/>
            </a:solidFill>
            <a:ln w="25400">
              <a:noFill/>
            </a:ln>
          </c:spPr>
          <c:invertIfNegative val="0"/>
          <c:dLbls>
            <c:dLbl>
              <c:idx val="0"/>
              <c:layout>
                <c:manualLayout>
                  <c:x val="1.49404401372905E-5"/>
                  <c:y val="0.0208397479726799"/>
                </c:manualLayout>
              </c:layout>
              <c:tx>
                <c:rich>
                  <a:bodyPr/>
                  <a:lstStyle/>
                  <a:p>
                    <a:r>
                      <a:rPr lang="en-US" sz="1100"/>
                      <a:t>26,494</a:t>
                    </a:r>
                    <a:endParaRPr lang="en-US"/>
                  </a:p>
                </c:rich>
              </c:tx>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0.00161747089306144"/>
                  <c:y val="0.0198951601638031"/>
                </c:manualLayout>
              </c:layout>
              <c:tx>
                <c:rich>
                  <a:bodyPr/>
                  <a:lstStyle/>
                  <a:p>
                    <a:r>
                      <a:rPr lang="en-US" sz="1100"/>
                      <a:t>20,530</a:t>
                    </a:r>
                    <a:endParaRPr lang="en-US"/>
                  </a:p>
                </c:rich>
              </c:tx>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0.00105350292751868"/>
                  <c:y val="0.0412818985862061"/>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0.000976512551315701"/>
                  <c:y val="0.0384578398288449"/>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4"/>
              <c:layout>
                <c:manualLayout>
                  <c:x val="-0.00126764923615317"/>
                  <c:y val="0.0350367968709794"/>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0.000519819637929874"/>
                  <c:y val="0.0253115419396105"/>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6"/>
              <c:layout>
                <c:manualLayout>
                  <c:x val="0.00193795006393432"/>
                  <c:y val="0.019809582625701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7"/>
              <c:layout>
                <c:manualLayout>
                  <c:x val="0.000549162123965274"/>
                  <c:y val="0.0213708580545079"/>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8"/>
              <c:layout>
                <c:manualLayout>
                  <c:x val="-0.00383121340601655"/>
                  <c:y val="0.0187211892631068"/>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9"/>
              <c:layout>
                <c:manualLayout>
                  <c:x val="-0.00137398209839155"/>
                  <c:y val="0.021600535227214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0"/>
              <c:layout>
                <c:manualLayout>
                  <c:x val="0.000227606164614039"/>
                  <c:y val="0.0176316195769646"/>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1"/>
              <c:layout>
                <c:manualLayout>
                  <c:x val="-0.00116037418399623"/>
                  <c:y val="0.0212229353683731"/>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2"/>
              <c:layout>
                <c:manualLayout>
                  <c:x val="-0.611585895713041"/>
                  <c:y val="0.121161651996041"/>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3"/>
              <c:layout>
                <c:manualLayout>
                  <c:x val="-0.643906783494996"/>
                  <c:y val="0.467788394466678"/>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([2]COE!$D$3:$M$3,[2]COE!$B$4:$C$4)</c:f>
              <c:strCache>
                <c:ptCount val="12"/>
                <c:pt idx="0">
                  <c:v>_x0003_Mar</c:v>
                </c:pt>
                <c:pt idx="1">
                  <c:v>_x0003_Apr</c:v>
                </c:pt>
                <c:pt idx="2">
                  <c:v>_x0003_May</c:v>
                </c:pt>
                <c:pt idx="3">
                  <c:v>_x0003_Jun</c:v>
                </c:pt>
                <c:pt idx="4">
                  <c:v>_x0003_Jul</c:v>
                </c:pt>
                <c:pt idx="5">
                  <c:v>_x0003_Aug</c:v>
                </c:pt>
                <c:pt idx="6">
                  <c:v>_x0003_Sep</c:v>
                </c:pt>
                <c:pt idx="7">
                  <c:v>_x0008_Oct FY16</c:v>
                </c:pt>
                <c:pt idx="8">
                  <c:v>_x0003_Nov</c:v>
                </c:pt>
                <c:pt idx="9">
                  <c:v>_x0003_Dec</c:v>
                </c:pt>
                <c:pt idx="10">
                  <c:v>_x0003_Jan</c:v>
                </c:pt>
                <c:pt idx="11">
                  <c:v>_x0003_Feb</c:v>
                </c:pt>
              </c:strCache>
            </c:strRef>
          </c:cat>
          <c:val>
            <c:numRef>
              <c:f>([2]COE!$D$11:$M$11,[2]COE!$B$12:$C$12)</c:f>
              <c:numCache>
                <c:formatCode>General</c:formatCode>
                <c:ptCount val="12"/>
                <c:pt idx="0">
                  <c:v>26494.0</c:v>
                </c:pt>
                <c:pt idx="1">
                  <c:v>20530.0</c:v>
                </c:pt>
                <c:pt idx="2">
                  <c:v>19208.0</c:v>
                </c:pt>
                <c:pt idx="3">
                  <c:v>18980.0</c:v>
                </c:pt>
                <c:pt idx="4">
                  <c:v>18826.0</c:v>
                </c:pt>
                <c:pt idx="5">
                  <c:v>20007.0</c:v>
                </c:pt>
                <c:pt idx="6">
                  <c:v>18143.0</c:v>
                </c:pt>
                <c:pt idx="7">
                  <c:v>16276.0</c:v>
                </c:pt>
                <c:pt idx="8">
                  <c:v>15166.0</c:v>
                </c:pt>
                <c:pt idx="9">
                  <c:v>15019.0</c:v>
                </c:pt>
                <c:pt idx="10">
                  <c:v>20499.0</c:v>
                </c:pt>
                <c:pt idx="11">
                  <c:v>20082.0</c:v>
                </c:pt>
              </c:numCache>
            </c:numRef>
          </c:val>
        </c:ser>
        <c:dLbls>
          <c:showLegendKey val="0"/>
          <c:showVal val="0"/>
          <c:showCatName val="0"/>
          <c:showSerName val="0"/>
          <c:showPercent val="0"/>
          <c:showBubbleSize val="0"/>
        </c:dLbls>
        <c:gapWidth val="150"/>
        <c:axId val="-2010576888"/>
        <c:axId val="-2010570056"/>
      </c:barChart>
      <c:catAx>
        <c:axId val="-2010576888"/>
        <c:scaling>
          <c:orientation val="minMax"/>
        </c:scaling>
        <c:delete val="0"/>
        <c:axPos val="b"/>
        <c:title>
          <c:tx>
            <c:rich>
              <a:bodyPr/>
              <a:lstStyle/>
              <a:p>
                <a:pPr>
                  <a:defRPr sz="1200" b="0" i="0" u="none" strike="noStrike" baseline="0">
                    <a:solidFill>
                      <a:srgbClr val="000000"/>
                    </a:solidFill>
                    <a:latin typeface="Arial"/>
                    <a:ea typeface="Arial"/>
                    <a:cs typeface="Arial"/>
                  </a:defRPr>
                </a:pPr>
                <a:r>
                  <a:rPr lang="en-US"/>
                  <a:t>Number of Certificate of Eligibility (COE) Inquiries (Mar </a:t>
                </a:r>
                <a:r>
                  <a:rPr lang="en-US" baseline="0"/>
                  <a:t>'15 </a:t>
                </a:r>
                <a:r>
                  <a:rPr lang="en-US"/>
                  <a:t>-</a:t>
                </a:r>
                <a:r>
                  <a:rPr lang="en-US" baseline="0"/>
                  <a:t> Feb</a:t>
                </a:r>
                <a:r>
                  <a:rPr lang="en-US"/>
                  <a:t> '16) = 229,230 </a:t>
                </a:r>
              </a:p>
            </c:rich>
          </c:tx>
          <c:layout>
            <c:manualLayout>
              <c:xMode val="edge"/>
              <c:yMode val="edge"/>
              <c:x val="0.158974628171479"/>
              <c:y val="0.899162016512642"/>
            </c:manualLayout>
          </c:layout>
          <c:overlay val="0"/>
          <c:spPr>
            <a:noFill/>
            <a:ln w="25400">
              <a:noFill/>
            </a:ln>
          </c:spPr>
        </c:title>
        <c:numFmt formatCode="mmm\-yy" sourceLinked="0"/>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010570056"/>
        <c:crosses val="autoZero"/>
        <c:auto val="1"/>
        <c:lblAlgn val="ctr"/>
        <c:lblOffset val="100"/>
        <c:noMultiLvlLbl val="0"/>
      </c:catAx>
      <c:valAx>
        <c:axId val="-2010570056"/>
        <c:scaling>
          <c:orientation val="minMax"/>
          <c:max val="35000.0"/>
          <c:min val="0.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010576888"/>
        <c:crosses val="autoZero"/>
        <c:crossBetween val="between"/>
        <c:majorUnit val="5000.0"/>
        <c:minorUnit val="1000.0"/>
      </c:valAx>
      <c:spPr>
        <a:solidFill>
          <a:srgbClr val="FFFFFF"/>
        </a:solidFill>
        <a:ln w="12700">
          <a:solidFill>
            <a:srgbClr val="808080"/>
          </a:solidFill>
          <a:prstDash val="solid"/>
        </a:ln>
      </c:spPr>
    </c:plotArea>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c:pageMargins b="0.750000000000003" l="0.700000000000001" r="0.700000000000001" t="0.750000000000003"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137438451593"/>
          <c:y val="0.0397435897435897"/>
          <c:w val="0.868995965947942"/>
          <c:h val="0.780769963914104"/>
        </c:manualLayout>
      </c:layout>
      <c:barChart>
        <c:barDir val="col"/>
        <c:grouping val="clustered"/>
        <c:varyColors val="0"/>
        <c:ser>
          <c:idx val="1"/>
          <c:order val="0"/>
          <c:spPr>
            <a:solidFill>
              <a:srgbClr val="3366FF"/>
            </a:solidFill>
            <a:ln w="25400">
              <a:noFill/>
            </a:ln>
          </c:spPr>
          <c:invertIfNegative val="0"/>
          <c:dLbls>
            <c:dLbl>
              <c:idx val="0"/>
              <c:layout>
                <c:manualLayout>
                  <c:x val="0.00370905855198134"/>
                  <c:y val="0.0127068443367656"/>
                </c:manualLayout>
              </c:layout>
              <c:tx>
                <c:rich>
                  <a:bodyPr/>
                  <a:lstStyle/>
                  <a:p>
                    <a:r>
                      <a:rPr lang="en-US" sz="1100" b="0"/>
                      <a:t>1,329,657</a:t>
                    </a:r>
                    <a:endParaRPr lang="en-US" b="0"/>
                  </a:p>
                </c:rich>
              </c:tx>
              <c:dLblPos val="outEnd"/>
              <c:showLegendKey val="0"/>
              <c:showVal val="0"/>
              <c:showCatName val="0"/>
              <c:showSerName val="0"/>
              <c:showPercent val="0"/>
              <c:showBubbleSize val="0"/>
              <c:extLst>
                <c:ext xmlns:c15="http://schemas.microsoft.com/office/drawing/2012/chart" uri="{CE6537A1-D6FC-4f65-9D91-7224C49458BB}"/>
              </c:extLst>
            </c:dLbl>
            <c:dLbl>
              <c:idx val="1"/>
              <c:layout>
                <c:manualLayout>
                  <c:x val="0.00296507305187534"/>
                  <c:y val="0.00997435897435897"/>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7.89491757216633E-5"/>
                  <c:y val="0.0102562083585706"/>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0.00159582441273339"/>
                  <c:y val="0.0358970321017565"/>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4"/>
              <c:layout>
                <c:manualLayout>
                  <c:x val="0.000263362984063852"/>
                  <c:y val="0.0128203109226731"/>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0.0223366447794708"/>
                  <c:y val="0.0114245911568746"/>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6"/>
              <c:layout>
                <c:manualLayout>
                  <c:x val="-0.0103811596929223"/>
                  <c:y val="0.0176668685645064"/>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7"/>
              <c:layout>
                <c:manualLayout>
                  <c:x val="0.00455062571103527"/>
                  <c:y val="0.0153844134867757"/>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8"/>
              <c:layout>
                <c:manualLayout>
                  <c:x val="-0.00290212870148911"/>
                  <c:y val="0.0153838077932567"/>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9"/>
              <c:layout>
                <c:manualLayout>
                  <c:x val="0.00600264557374014"/>
                  <c:y val="0.0089854633555421"/>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0"/>
              <c:layout>
                <c:manualLayout>
                  <c:x val="-0.0130857362966148"/>
                  <c:y val="0.0296052897234"/>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1"/>
              <c:layout>
                <c:manualLayout>
                  <c:x val="-0.0003032556084072"/>
                  <c:y val="0.0163987482333939"/>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('[2]C&amp;P (Google)'!$D$1:$M$1,'[2]C&amp;P (Google)'!$B$2:$M$2)</c:f>
              <c:strCache>
                <c:ptCount val="22"/>
                <c:pt idx="0">
                  <c:v>_x0003_Mar</c:v>
                </c:pt>
                <c:pt idx="1">
                  <c:v>_x0003_Apr</c:v>
                </c:pt>
                <c:pt idx="2">
                  <c:v>_x0003_May</c:v>
                </c:pt>
                <c:pt idx="3">
                  <c:v>_x0003_Jun</c:v>
                </c:pt>
                <c:pt idx="4">
                  <c:v>_x0003_Jul</c:v>
                </c:pt>
                <c:pt idx="5">
                  <c:v>_x0003_Aug</c:v>
                </c:pt>
                <c:pt idx="6">
                  <c:v>_x0003_Sep</c:v>
                </c:pt>
                <c:pt idx="7">
                  <c:v>_x0008_Oct FY16</c:v>
                </c:pt>
                <c:pt idx="8">
                  <c:v>_x0003_Nov</c:v>
                </c:pt>
                <c:pt idx="9">
                  <c:v>_x0003_Dec</c:v>
                </c:pt>
                <c:pt idx="10">
                  <c:v>_x0003_Jan</c:v>
                </c:pt>
                <c:pt idx="11">
                  <c:v>_x0003_Feb</c:v>
                </c:pt>
                <c:pt idx="12">
                  <c:v>_x0003_Mar</c:v>
                </c:pt>
                <c:pt idx="13">
                  <c:v>_x0003_Apr</c:v>
                </c:pt>
                <c:pt idx="14">
                  <c:v>_x0003_May</c:v>
                </c:pt>
                <c:pt idx="15">
                  <c:v>_x0003_Jun</c:v>
                </c:pt>
                <c:pt idx="16">
                  <c:v>_x0003_Jul</c:v>
                </c:pt>
                <c:pt idx="17">
                  <c:v>_x0003_Aug</c:v>
                </c:pt>
                <c:pt idx="18">
                  <c:v>_x0003_Sep</c:v>
                </c:pt>
                <c:pt idx="19">
                  <c:v>_x0003_Oct</c:v>
                </c:pt>
                <c:pt idx="20">
                  <c:v>_x0003_Nov</c:v>
                </c:pt>
                <c:pt idx="21">
                  <c:v>_x0003_Dec</c:v>
                </c:pt>
              </c:strCache>
            </c:strRef>
          </c:cat>
          <c:val>
            <c:numRef>
              <c:f>('[2]C&amp;P (Google)'!$D$8:$M$8,'[2]C&amp;P (Google)'!$B$9:$C$9)</c:f>
              <c:numCache>
                <c:formatCode>General</c:formatCode>
                <c:ptCount val="12"/>
                <c:pt idx="0">
                  <c:v>1.329657E6</c:v>
                </c:pt>
                <c:pt idx="1">
                  <c:v>850803.0</c:v>
                </c:pt>
                <c:pt idx="2">
                  <c:v>816358.0</c:v>
                </c:pt>
                <c:pt idx="3">
                  <c:v>792906.0</c:v>
                </c:pt>
                <c:pt idx="4">
                  <c:v>913051.0</c:v>
                </c:pt>
                <c:pt idx="5">
                  <c:v>1.092129E6</c:v>
                </c:pt>
                <c:pt idx="6">
                  <c:v>1.074085E6</c:v>
                </c:pt>
                <c:pt idx="7">
                  <c:v>1.103159E6</c:v>
                </c:pt>
                <c:pt idx="8">
                  <c:v>1.003362E6</c:v>
                </c:pt>
                <c:pt idx="9">
                  <c:v>1.017363E6</c:v>
                </c:pt>
                <c:pt idx="10">
                  <c:v>1.167932E6</c:v>
                </c:pt>
                <c:pt idx="11">
                  <c:v>1.121669E6</c:v>
                </c:pt>
              </c:numCache>
            </c:numRef>
          </c:val>
        </c:ser>
        <c:dLbls>
          <c:showLegendKey val="0"/>
          <c:showVal val="0"/>
          <c:showCatName val="0"/>
          <c:showSerName val="0"/>
          <c:showPercent val="0"/>
          <c:showBubbleSize val="0"/>
        </c:dLbls>
        <c:gapWidth val="150"/>
        <c:axId val="-2010514216"/>
        <c:axId val="-2010507848"/>
      </c:barChart>
      <c:catAx>
        <c:axId val="-2010514216"/>
        <c:scaling>
          <c:orientation val="minMax"/>
        </c:scaling>
        <c:delete val="0"/>
        <c:axPos val="b"/>
        <c:title>
          <c:tx>
            <c:rich>
              <a:bodyPr/>
              <a:lstStyle/>
              <a:p>
                <a:pPr>
                  <a:defRPr sz="1200" b="0" i="0" u="none" strike="noStrike" baseline="0">
                    <a:solidFill>
                      <a:srgbClr val="000000"/>
                    </a:solidFill>
                    <a:latin typeface="Arial"/>
                    <a:ea typeface="Arial"/>
                    <a:cs typeface="Arial"/>
                  </a:defRPr>
                </a:pPr>
                <a:r>
                  <a:rPr lang="en-US"/>
                  <a:t>Number of Compensation &amp; Pension (C&amp;P) Claim Views (Mar '15 - Feb '16) = 12,282,474</a:t>
                </a:r>
              </a:p>
            </c:rich>
          </c:tx>
          <c:layout>
            <c:manualLayout>
              <c:xMode val="edge"/>
              <c:yMode val="edge"/>
              <c:x val="0.136201063604251"/>
              <c:y val="0.91730849989905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010507848"/>
        <c:crossesAt val="0.0"/>
        <c:auto val="1"/>
        <c:lblAlgn val="ctr"/>
        <c:lblOffset val="100"/>
        <c:noMultiLvlLbl val="0"/>
      </c:catAx>
      <c:valAx>
        <c:axId val="-2010507848"/>
        <c:scaling>
          <c:orientation val="minMax"/>
          <c:max val="1.6E6"/>
          <c:min val="0.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010514216"/>
        <c:crosses val="autoZero"/>
        <c:crossBetween val="between"/>
        <c:majorUnit val="400000.0"/>
        <c:minorUnit val="50000.0"/>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printSettings>
    <c:headerFooter/>
    <c:pageMargins b="0.750000000000003" l="0.700000000000001" r="0.700000000000001" t="0.750000000000003"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Arial"/>
                <a:ea typeface="Arial"/>
                <a:cs typeface="Arial"/>
              </a:defRPr>
            </a:pPr>
            <a:r>
              <a:t>Number of Payment History Views (Jul '11 - Jun '12) = 3,001,399</a:t>
            </a:r>
          </a:p>
        </c:rich>
      </c:tx>
      <c:overlay val="0"/>
      <c:spPr>
        <a:noFill/>
        <a:ln w="25400">
          <a:noFill/>
        </a:ln>
      </c:spPr>
    </c:title>
    <c:autoTitleDeleted val="0"/>
    <c:plotArea>
      <c:layout/>
      <c:barChart>
        <c:barDir val="col"/>
        <c:grouping val="clustered"/>
        <c:varyColors val="0"/>
        <c:ser>
          <c:idx val="1"/>
          <c:order val="0"/>
          <c:spPr>
            <a:solidFill>
              <a:srgbClr val="3366FF"/>
            </a:solidFill>
            <a:ln w="25400">
              <a:noFill/>
            </a:ln>
          </c:spPr>
          <c:invertIfNegative val="0"/>
          <c:dLbls>
            <c:numFmt formatCode="#,##0" sourceLinked="0"/>
            <c:spPr>
              <a:noFill/>
              <a:ln w="25400">
                <a:noFill/>
              </a:ln>
            </c:spPr>
            <c:txPr>
              <a:bodyPr/>
              <a:lstStyle/>
              <a:p>
                <a:pPr>
                  <a:defRPr sz="1050" b="0"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'[2]Pay History (Google)'!$H$6:$M$6</c:f>
              <c:numCache>
                <c:formatCode>General</c:formatCode>
                <c:ptCount val="6"/>
                <c:pt idx="0">
                  <c:v>520788.0</c:v>
                </c:pt>
                <c:pt idx="1">
                  <c:v>599615.0</c:v>
                </c:pt>
                <c:pt idx="2">
                  <c:v>604291.0</c:v>
                </c:pt>
                <c:pt idx="3">
                  <c:v>629477.0</c:v>
                </c:pt>
                <c:pt idx="4">
                  <c:v>505853.0</c:v>
                </c:pt>
                <c:pt idx="5">
                  <c:v>623697.0</c:v>
                </c:pt>
              </c:numCache>
            </c:numRef>
          </c:val>
          <c:extLst>
            <c:ext xmlns:c15="http://schemas.microsoft.com/office/drawing/2012/chart" uri="{02D57815-91ED-43cb-92C2-25804820EDAC}">
              <c15:filteredCategoryTitle>
                <c15:cat>
                  <c:numRef>
                    <c:extLst>
                      <c:ext uri="{02D57815-91ED-43cb-92C2-25804820EDAC}">
                        <c15:formulaRef>
                          <c15:sqref>'Pay History (Google)'!#REF!</c15:sqref>
                        </c15:formulaRef>
                      </c:ext>
                    </c:extLst>
                    <c:numCache>
                      <c:formatCode>General</c:formatCode>
                      <c:ptCount val="1"/>
                      <c:pt idx="0">
                        <c:v>1.0</c:v>
                      </c:pt>
                    </c:numCache>
                  </c:numRef>
                </c15:cat>
              </c15:filteredCategoryTitle>
            </c:ext>
          </c:extLst>
        </c:ser>
        <c:dLbls>
          <c:showLegendKey val="0"/>
          <c:showVal val="0"/>
          <c:showCatName val="0"/>
          <c:showSerName val="0"/>
          <c:showPercent val="0"/>
          <c:showBubbleSize val="0"/>
        </c:dLbls>
        <c:gapWidth val="150"/>
        <c:axId val="-2010473032"/>
        <c:axId val="-2010469752"/>
      </c:barChart>
      <c:catAx>
        <c:axId val="-20104730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010469752"/>
        <c:crosses val="autoZero"/>
        <c:auto val="1"/>
        <c:lblAlgn val="ctr"/>
        <c:lblOffset val="90"/>
        <c:noMultiLvlLbl val="0"/>
      </c:catAx>
      <c:valAx>
        <c:axId val="-2010469752"/>
        <c:scaling>
          <c:orientation val="minMax"/>
          <c:max val="560000.0"/>
          <c:min val="0.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010473032"/>
        <c:crosses val="autoZero"/>
        <c:crossBetween val="between"/>
        <c:majorUnit val="70000.0"/>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printSettings>
    <c:headerFooter/>
    <c:pageMargins b="0.750000000000003" l="0.700000000000001" r="0.700000000000001" t="0.750000000000003"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4869041711827"/>
          <c:y val="0.169014471955857"/>
          <c:w val="0.877654003850173"/>
          <c:h val="0.629109423391247"/>
        </c:manualLayout>
      </c:layout>
      <c:barChart>
        <c:barDir val="col"/>
        <c:grouping val="clustered"/>
        <c:varyColors val="0"/>
        <c:ser>
          <c:idx val="0"/>
          <c:order val="0"/>
          <c:spPr>
            <a:solidFill>
              <a:srgbClr val="3366FF"/>
            </a:solidFill>
            <a:ln w="25400">
              <a:noFill/>
            </a:ln>
          </c:spPr>
          <c:invertIfNegative val="0"/>
          <c:dLbls>
            <c:dLbl>
              <c:idx val="0"/>
              <c:layout>
                <c:manualLayout>
                  <c:x val="0.000893862626146091"/>
                  <c:y val="0.0165785614826316"/>
                </c:manualLayout>
              </c:layout>
              <c:tx>
                <c:rich>
                  <a:bodyPr/>
                  <a:lstStyle/>
                  <a:p>
                    <a:r>
                      <a:rPr lang="en-US" sz="1100"/>
                      <a:t>620,479</a:t>
                    </a:r>
                    <a:endParaRPr lang="en-US"/>
                  </a:p>
                </c:rich>
              </c:tx>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0.00261480135495884"/>
                  <c:y val="0.018279546042660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0.00370966449706607"/>
                  <c:y val="0.0169901297549074"/>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0.000933473059457311"/>
                  <c:y val="0.0172851280913829"/>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4"/>
              <c:layout>
                <c:manualLayout>
                  <c:x val="5.74287188460417E-5"/>
                  <c:y val="0.030398629748746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0.00426587702178253"/>
                  <c:y val="0.0165090631276724"/>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6"/>
              <c:layout>
                <c:manualLayout>
                  <c:x val="-0.00121677098055051"/>
                  <c:y val="0.0214804135398568"/>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7"/>
              <c:layout>
                <c:manualLayout>
                  <c:x val="0.0010837106900099"/>
                  <c:y val="0.0160028587975799"/>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8"/>
              <c:layout>
                <c:manualLayout>
                  <c:x val="0.000593515554145475"/>
                  <c:y val="0.0186216159599768"/>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9"/>
              <c:layout>
                <c:manualLayout>
                  <c:x val="0.00248968878890139"/>
                  <c:y val="0.0154919719542099"/>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0"/>
              <c:layout>
                <c:manualLayout>
                  <c:x val="-0.000261249395107663"/>
                  <c:y val="0.0139045999531749"/>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1"/>
              <c:layout>
                <c:manualLayout>
                  <c:x val="0.00182156717589788"/>
                  <c:y val="0.0314038914149816"/>
                </c:manualLayout>
              </c:layout>
              <c:dLblPos val="outEnd"/>
              <c:showLegendKey val="0"/>
              <c:showVal val="1"/>
              <c:showCatName val="0"/>
              <c:showSerName val="0"/>
              <c:showPercent val="0"/>
              <c:showBubbleSize val="0"/>
              <c:extLst>
                <c:ext xmlns:c15="http://schemas.microsoft.com/office/drawing/2012/chart" uri="{CE6537A1-D6FC-4f65-9D91-7224C49458BB}"/>
              </c:extLst>
            </c:dLbl>
            <c:numFmt formatCode="#,##0" sourceLinked="0"/>
            <c:spPr>
              <a:noFill/>
              <a:ln w="25400">
                <a:noFill/>
              </a:ln>
            </c:spPr>
            <c:txPr>
              <a:bodyPr/>
              <a:lstStyle/>
              <a:p>
                <a:pPr>
                  <a:defRPr sz="1100"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('[2]Pay History (Google)'!$D$2:$M$2,'[2]Pay History (Google)'!$B$3:$M$3)</c:f>
              <c:strCache>
                <c:ptCount val="22"/>
                <c:pt idx="0">
                  <c:v>_x0003_Mar</c:v>
                </c:pt>
                <c:pt idx="1">
                  <c:v>_x0003_Apr</c:v>
                </c:pt>
                <c:pt idx="2">
                  <c:v>_x0003_May</c:v>
                </c:pt>
                <c:pt idx="3">
                  <c:v>_x0003_Jun</c:v>
                </c:pt>
                <c:pt idx="4">
                  <c:v>_x0003_Jul</c:v>
                </c:pt>
                <c:pt idx="5">
                  <c:v>_x0003_Aug</c:v>
                </c:pt>
                <c:pt idx="6">
                  <c:v>_x0003_Sep</c:v>
                </c:pt>
                <c:pt idx="7">
                  <c:v>_x0008_Oct FY16</c:v>
                </c:pt>
                <c:pt idx="8">
                  <c:v>_x0003_Nov</c:v>
                </c:pt>
                <c:pt idx="9">
                  <c:v>_x0003_Dec</c:v>
                </c:pt>
                <c:pt idx="10">
                  <c:v>_x0003_Jan</c:v>
                </c:pt>
                <c:pt idx="11">
                  <c:v>_x0003_Feb</c:v>
                </c:pt>
                <c:pt idx="12">
                  <c:v>_x0003_Mar</c:v>
                </c:pt>
                <c:pt idx="13">
                  <c:v>_x0003_Apr</c:v>
                </c:pt>
                <c:pt idx="14">
                  <c:v>_x0003_May</c:v>
                </c:pt>
                <c:pt idx="15">
                  <c:v>_x0003_Jun</c:v>
                </c:pt>
                <c:pt idx="16">
                  <c:v>_x0003_Jul</c:v>
                </c:pt>
                <c:pt idx="17">
                  <c:v>_x0003_Aug</c:v>
                </c:pt>
                <c:pt idx="18">
                  <c:v>_x0003_Sep</c:v>
                </c:pt>
                <c:pt idx="19">
                  <c:v>_x0004_Oct </c:v>
                </c:pt>
                <c:pt idx="20">
                  <c:v>_x0003_Nov</c:v>
                </c:pt>
                <c:pt idx="21">
                  <c:v>_x0003_Dec</c:v>
                </c:pt>
              </c:strCache>
            </c:strRef>
          </c:cat>
          <c:val>
            <c:numRef>
              <c:f>('[2]Pay History (Google)'!$D$9:$M$9,'[2]Pay History (Google)'!$B$10:$C$10)</c:f>
              <c:numCache>
                <c:formatCode>General</c:formatCode>
                <c:ptCount val="12"/>
                <c:pt idx="0">
                  <c:v>620479.0</c:v>
                </c:pt>
                <c:pt idx="1">
                  <c:v>457985.0</c:v>
                </c:pt>
                <c:pt idx="2">
                  <c:v>474798.0</c:v>
                </c:pt>
                <c:pt idx="3">
                  <c:v>475885.0</c:v>
                </c:pt>
                <c:pt idx="4">
                  <c:v>569373.0</c:v>
                </c:pt>
                <c:pt idx="5">
                  <c:v>752007.0</c:v>
                </c:pt>
                <c:pt idx="6">
                  <c:v>744378.0</c:v>
                </c:pt>
                <c:pt idx="7">
                  <c:v>657113.0</c:v>
                </c:pt>
                <c:pt idx="8">
                  <c:v>538626.0</c:v>
                </c:pt>
                <c:pt idx="9">
                  <c:v>630123.0</c:v>
                </c:pt>
                <c:pt idx="10">
                  <c:v>675675.0</c:v>
                </c:pt>
                <c:pt idx="11">
                  <c:v>574164.0</c:v>
                </c:pt>
              </c:numCache>
            </c:numRef>
          </c:val>
        </c:ser>
        <c:dLbls>
          <c:showLegendKey val="0"/>
          <c:showVal val="0"/>
          <c:showCatName val="0"/>
          <c:showSerName val="0"/>
          <c:showPercent val="0"/>
          <c:showBubbleSize val="0"/>
        </c:dLbls>
        <c:gapWidth val="150"/>
        <c:axId val="-2010410504"/>
        <c:axId val="-2010404200"/>
      </c:barChart>
      <c:catAx>
        <c:axId val="-2010410504"/>
        <c:scaling>
          <c:orientation val="minMax"/>
        </c:scaling>
        <c:delete val="0"/>
        <c:axPos val="b"/>
        <c:title>
          <c:tx>
            <c:rich>
              <a:bodyPr/>
              <a:lstStyle/>
              <a:p>
                <a:pPr>
                  <a:defRPr sz="1200" b="0" i="0" u="none" strike="noStrike" baseline="0">
                    <a:solidFill>
                      <a:srgbClr val="000000"/>
                    </a:solidFill>
                    <a:latin typeface="Arial"/>
                    <a:ea typeface="Arial"/>
                    <a:cs typeface="Arial"/>
                  </a:defRPr>
                </a:pPr>
                <a:r>
                  <a:rPr lang="en-US"/>
                  <a:t>Number of Payment History Views (Mar '15 - Feb '16) = 7,170,606</a:t>
                </a:r>
              </a:p>
            </c:rich>
          </c:tx>
          <c:layout>
            <c:manualLayout>
              <c:xMode val="edge"/>
              <c:yMode val="edge"/>
              <c:x val="0.23220994811546"/>
              <c:y val="0.9084526758098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010404200"/>
        <c:crosses val="autoZero"/>
        <c:auto val="1"/>
        <c:lblAlgn val="ctr"/>
        <c:lblOffset val="100"/>
        <c:tickLblSkip val="1"/>
        <c:tickMarkSkip val="1"/>
        <c:noMultiLvlLbl val="0"/>
      </c:catAx>
      <c:valAx>
        <c:axId val="-2010404200"/>
        <c:scaling>
          <c:orientation val="minMax"/>
          <c:max val="1.0E6"/>
          <c:min val="0.0"/>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010410504"/>
        <c:crosses val="autoZero"/>
        <c:crossBetween val="between"/>
        <c:majorUnit val="200000.0"/>
      </c:valAx>
      <c:spPr>
        <a:solidFill>
          <a:srgbClr val="FFFFFF"/>
        </a:solid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691944718847"/>
          <c:y val="0.0330882352941176"/>
          <c:w val="0.846038863976084"/>
          <c:h val="0.801470588235294"/>
        </c:manualLayout>
      </c:layout>
      <c:barChart>
        <c:barDir val="col"/>
        <c:grouping val="clustered"/>
        <c:varyColors val="0"/>
        <c:ser>
          <c:idx val="1"/>
          <c:order val="0"/>
          <c:spPr>
            <a:solidFill>
              <a:srgbClr val="3366FF"/>
            </a:solidFill>
            <a:ln w="25400">
              <a:noFill/>
            </a:ln>
          </c:spPr>
          <c:invertIfNegative val="0"/>
          <c:dLbls>
            <c:dLbl>
              <c:idx val="0"/>
              <c:layout>
                <c:manualLayout>
                  <c:x val="0.00285408294730516"/>
                  <c:y val="0.0412584915856106"/>
                </c:manualLayout>
              </c:layout>
              <c:tx>
                <c:rich>
                  <a:bodyPr/>
                  <a:lstStyle/>
                  <a:p>
                    <a:r>
                      <a:rPr lang="en-US" sz="1100"/>
                      <a:t>273,638</a:t>
                    </a:r>
                    <a:endParaRPr lang="en-US"/>
                  </a:p>
                </c:rich>
              </c:tx>
              <c:dLblPos val="outEnd"/>
              <c:showLegendKey val="0"/>
              <c:showVal val="0"/>
              <c:showCatName val="0"/>
              <c:showSerName val="0"/>
              <c:showPercent val="0"/>
              <c:showBubbleSize val="0"/>
              <c:extLst>
                <c:ext xmlns:c15="http://schemas.microsoft.com/office/drawing/2012/chart" uri="{CE6537A1-D6FC-4f65-9D91-7224C49458BB}"/>
              </c:extLst>
            </c:dLbl>
            <c:dLbl>
              <c:idx val="1"/>
              <c:layout>
                <c:manualLayout>
                  <c:x val="0.00105165904201074"/>
                  <c:y val="0.00563783387370696"/>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0.00744307083417253"/>
                  <c:y val="0.010596726879728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1.07416536392147E-5"/>
                  <c:y val="0.028883549482785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4"/>
              <c:layout>
                <c:manualLayout>
                  <c:x val="-0.0010836282492703"/>
                  <c:y val="0.0308151922186197"/>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0.000956390804377224"/>
                  <c:y val="0.034459047398487"/>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6"/>
              <c:layout>
                <c:manualLayout>
                  <c:x val="0.00162748840317007"/>
                  <c:y val="0.00389454994596264"/>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7"/>
              <c:layout>
                <c:manualLayout>
                  <c:x val="-0.0017017848408413"/>
                  <c:y val="0.0079294040450826"/>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8"/>
              <c:layout>
                <c:manualLayout>
                  <c:x val="-0.000614831794016004"/>
                  <c:y val="0.0198375019299058"/>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9"/>
              <c:layout>
                <c:manualLayout>
                  <c:x val="0.000808309436350907"/>
                  <c:y val="0.0186836112397715"/>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0"/>
              <c:layout>
                <c:manualLayout>
                  <c:x val="-0.000159973913126876"/>
                  <c:y val="0.028812335958005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1"/>
              <c:layout>
                <c:manualLayout>
                  <c:x val="-0.00473489534880004"/>
                  <c:y val="0.0167870927898719"/>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2"/>
              <c:layout>
                <c:manualLayout>
                  <c:x val="-0.371152953287496"/>
                  <c:y val="0.613971139320947"/>
                </c:manualLayout>
              </c:layout>
              <c:dLblPos val="outEnd"/>
              <c:showLegendKey val="0"/>
              <c:showVal val="1"/>
              <c:showCatName val="0"/>
              <c:showSerName val="0"/>
              <c:showPercent val="0"/>
              <c:showBubbleSize val="0"/>
              <c:extLst>
                <c:ext xmlns:c15="http://schemas.microsoft.com/office/drawing/2012/chart" uri="{CE6537A1-D6FC-4f65-9D91-7224C49458BB}"/>
              </c:extLst>
            </c:dLbl>
            <c:numFmt formatCode="#,##0" sourceLinked="0"/>
            <c:spPr>
              <a:noFill/>
              <a:ln w="25400">
                <a:noFill/>
              </a:ln>
            </c:spPr>
            <c:txPr>
              <a:bodyPr/>
              <a:lstStyle/>
              <a:p>
                <a:pPr algn="just">
                  <a:defRPr sz="1100" b="0" i="0" u="none" strike="noStrike" baseline="0">
                    <a:solidFill>
                      <a:srgbClr val="000000"/>
                    </a:solidFill>
                    <a:latin typeface="Arial"/>
                    <a:ea typeface="Arial"/>
                    <a:cs typeface="Aria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('[2]Appeals (Google)'!$D$2:$M$2,'[2]Appeals (Google)'!$B$3:$C$3)</c:f>
              <c:strCache>
                <c:ptCount val="12"/>
                <c:pt idx="0">
                  <c:v>_x0003_Mar</c:v>
                </c:pt>
                <c:pt idx="1">
                  <c:v>_x0003_Apr</c:v>
                </c:pt>
                <c:pt idx="2">
                  <c:v>_x0003_May</c:v>
                </c:pt>
                <c:pt idx="3">
                  <c:v>_x0003_Jun</c:v>
                </c:pt>
                <c:pt idx="4">
                  <c:v>_x0003_Jul</c:v>
                </c:pt>
                <c:pt idx="5">
                  <c:v>_x0003_Aug</c:v>
                </c:pt>
                <c:pt idx="6">
                  <c:v>_x0003_Sep</c:v>
                </c:pt>
                <c:pt idx="7">
                  <c:v>_x0008_Oct FY16</c:v>
                </c:pt>
                <c:pt idx="8">
                  <c:v>_x0003_Nov</c:v>
                </c:pt>
                <c:pt idx="9">
                  <c:v>_x0003_Dec</c:v>
                </c:pt>
                <c:pt idx="10">
                  <c:v>_x0003_Jan</c:v>
                </c:pt>
                <c:pt idx="11">
                  <c:v>_x0003_Feb</c:v>
                </c:pt>
              </c:strCache>
            </c:strRef>
          </c:cat>
          <c:val>
            <c:numRef>
              <c:f>('[2]Appeals (Google)'!$D$9:$M$9,'[2]Appeals (Google)'!$B$10:$C$10)</c:f>
              <c:numCache>
                <c:formatCode>General</c:formatCode>
                <c:ptCount val="12"/>
                <c:pt idx="0">
                  <c:v>300349.0</c:v>
                </c:pt>
                <c:pt idx="1">
                  <c:v>256324.0</c:v>
                </c:pt>
                <c:pt idx="2">
                  <c:v>252360.0</c:v>
                </c:pt>
                <c:pt idx="3">
                  <c:v>95918.0</c:v>
                </c:pt>
                <c:pt idx="4">
                  <c:v>0.0</c:v>
                </c:pt>
                <c:pt idx="5">
                  <c:v>0.0</c:v>
                </c:pt>
                <c:pt idx="6">
                  <c:v>75788.0</c:v>
                </c:pt>
                <c:pt idx="7">
                  <c:v>108967.0</c:v>
                </c:pt>
                <c:pt idx="8">
                  <c:v>87999.0</c:v>
                </c:pt>
                <c:pt idx="9">
                  <c:v>87817.0</c:v>
                </c:pt>
                <c:pt idx="10">
                  <c:v>95182.0</c:v>
                </c:pt>
                <c:pt idx="11">
                  <c:v>86499.0</c:v>
                </c:pt>
              </c:numCache>
            </c:numRef>
          </c:val>
        </c:ser>
        <c:dLbls>
          <c:showLegendKey val="0"/>
          <c:showVal val="0"/>
          <c:showCatName val="0"/>
          <c:showSerName val="0"/>
          <c:showPercent val="0"/>
          <c:showBubbleSize val="0"/>
        </c:dLbls>
        <c:gapWidth val="150"/>
        <c:axId val="-2010341944"/>
        <c:axId val="-2010334680"/>
      </c:barChart>
      <c:catAx>
        <c:axId val="-2010341944"/>
        <c:scaling>
          <c:orientation val="minMax"/>
        </c:scaling>
        <c:delete val="0"/>
        <c:axPos val="b"/>
        <c:title>
          <c:tx>
            <c:rich>
              <a:bodyPr/>
              <a:lstStyle/>
              <a:p>
                <a:pPr>
                  <a:defRPr sz="1200" b="0" i="0" u="none" strike="noStrike" baseline="0">
                    <a:solidFill>
                      <a:srgbClr val="000000"/>
                    </a:solidFill>
                    <a:latin typeface="Arial"/>
                    <a:ea typeface="Arial"/>
                    <a:cs typeface="Arial"/>
                  </a:defRPr>
                </a:pPr>
                <a:r>
                  <a:rPr lang="en-US"/>
                  <a:t>Number</a:t>
                </a:r>
                <a:r>
                  <a:rPr lang="en-US" baseline="0"/>
                  <a:t> </a:t>
                </a:r>
                <a:r>
                  <a:rPr lang="en-US"/>
                  <a:t>of VA</a:t>
                </a:r>
                <a:r>
                  <a:rPr lang="en-US" baseline="0"/>
                  <a:t>  </a:t>
                </a:r>
                <a:r>
                  <a:rPr lang="en-US"/>
                  <a:t>Appeals Views (Mar '15 - Feb '16) = 1,447,203</a:t>
                </a:r>
              </a:p>
              <a:p>
                <a:pPr>
                  <a:defRPr sz="1200" b="0" i="0" u="none" strike="noStrike" baseline="0">
                    <a:solidFill>
                      <a:srgbClr val="000000"/>
                    </a:solidFill>
                    <a:latin typeface="Arial"/>
                    <a:ea typeface="Arial"/>
                    <a:cs typeface="Arial"/>
                  </a:defRPr>
                </a:pPr>
                <a:r>
                  <a:rPr lang="en-US"/>
                  <a:t>Note:</a:t>
                </a:r>
                <a:r>
                  <a:rPr lang="en-US" baseline="0"/>
                  <a:t> July and August metrics currently unavailable</a:t>
                </a:r>
                <a:endParaRPr lang="en-US"/>
              </a:p>
            </c:rich>
          </c:tx>
          <c:layout>
            <c:manualLayout>
              <c:xMode val="edge"/>
              <c:yMode val="edge"/>
              <c:x val="0.223348262953124"/>
              <c:y val="0.91666743862899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010334680"/>
        <c:crosses val="autoZero"/>
        <c:auto val="1"/>
        <c:lblAlgn val="ctr"/>
        <c:lblOffset val="100"/>
        <c:noMultiLvlLbl val="0"/>
      </c:catAx>
      <c:valAx>
        <c:axId val="-2010334680"/>
        <c:scaling>
          <c:orientation val="minMax"/>
          <c:max val="350000.0"/>
          <c:min val="0.0"/>
        </c:scaling>
        <c:delete val="0"/>
        <c:axPos val="l"/>
        <c:majorGridlines/>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2010341944"/>
        <c:crosses val="autoZero"/>
        <c:crossBetween val="between"/>
        <c:majorUnit val="50000.0"/>
      </c:valAx>
      <c:spPr>
        <a:solidFill>
          <a:srgbClr val="FFFFFF"/>
        </a:solidFill>
        <a:ln w="12700">
          <a:solidFill>
            <a:srgbClr val="80808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c:pageMargins b="0.750000000000004" l="0.700000000000001" r="0.700000000000001" t="0.750000000000004" header="0.3" footer="0.3"/>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image" Target="../media/image1.tmp"/><Relationship Id="rId2" Type="http://schemas.openxmlformats.org/officeDocument/2006/relationships/image" Target="../media/image2.tmp"/></Relationships>
</file>

<file path=xl/drawings/_rels/drawing14.xml.rels><?xml version="1.0" encoding="UTF-8" standalone="yes"?>
<Relationships xmlns="http://schemas.openxmlformats.org/package/2006/relationships"><Relationship Id="rId1" Type="http://schemas.openxmlformats.org/officeDocument/2006/relationships/image" Target="../media/image3.tmp"/><Relationship Id="rId2" Type="http://schemas.openxmlformats.org/officeDocument/2006/relationships/image" Target="../media/image4.tmp"/></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11207</xdr:colOff>
      <xdr:row>77</xdr:row>
      <xdr:rowOff>22413</xdr:rowOff>
    </xdr:from>
    <xdr:to>
      <xdr:col>9</xdr:col>
      <xdr:colOff>811307</xdr:colOff>
      <xdr:row>105</xdr:row>
      <xdr:rowOff>64996</xdr:rowOff>
    </xdr:to>
    <xdr:graphicFrame macro="">
      <xdr:nvGraphicFramePr>
        <xdr:cNvPr id="2"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0.44664</cdr:x>
      <cdr:y>0.50784</cdr:y>
    </cdr:from>
    <cdr:to>
      <cdr:x>0.45603</cdr:x>
      <cdr:y>0.5838</cdr:y>
    </cdr:to>
    <cdr:sp macro="" textlink="">
      <cdr:nvSpPr>
        <cdr:cNvPr id="37889" name="Text Box 1"/>
        <cdr:cNvSpPr txBox="1">
          <a:spLocks xmlns:a="http://schemas.openxmlformats.org/drawingml/2006/main" noChangeArrowheads="1"/>
        </cdr:cNvSpPr>
      </cdr:nvSpPr>
      <cdr:spPr bwMode="auto">
        <a:xfrm xmlns:a="http://schemas.openxmlformats.org/drawingml/2006/main">
          <a:off x="3568268" y="2431440"/>
          <a:ext cx="74924" cy="36318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36576" tIns="32004" rIns="36576" bIns="32004" anchor="ctr" upright="1"/>
        <a:lstStyle xmlns:a="http://schemas.openxmlformats.org/drawingml/2006/main"/>
        <a:p xmlns:a="http://schemas.openxmlformats.org/drawingml/2006/main">
          <a:pPr algn="ctr" rtl="0">
            <a:defRPr sz="1000"/>
          </a:pPr>
          <a:r>
            <a:rPr lang="en-US" sz="1575" b="0" i="0" u="none" strike="noStrike" baseline="0">
              <a:solidFill>
                <a:srgbClr val="000000"/>
              </a:solidFill>
              <a:latin typeface="Arial"/>
              <a:cs typeface="Arial"/>
            </a:rPr>
            <a:t> </a:t>
          </a:r>
          <a:endParaRPr lang="en-US"/>
        </a:p>
      </cdr:txBody>
    </cdr:sp>
  </cdr:relSizeAnchor>
</c:userShapes>
</file>

<file path=xl/drawings/drawing11.xml><?xml version="1.0" encoding="utf-8"?>
<xdr:wsDr xmlns:xdr="http://schemas.openxmlformats.org/drawingml/2006/spreadsheetDrawing" xmlns:a="http://schemas.openxmlformats.org/drawingml/2006/main">
  <xdr:twoCellAnchor>
    <xdr:from>
      <xdr:col>67</xdr:col>
      <xdr:colOff>371475</xdr:colOff>
      <xdr:row>42</xdr:row>
      <xdr:rowOff>85725</xdr:rowOff>
    </xdr:from>
    <xdr:to>
      <xdr:col>162</xdr:col>
      <xdr:colOff>142875</xdr:colOff>
      <xdr:row>124</xdr:row>
      <xdr:rowOff>38100</xdr:rowOff>
    </xdr:to>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1200150</xdr:colOff>
      <xdr:row>78</xdr:row>
      <xdr:rowOff>123825</xdr:rowOff>
    </xdr:from>
    <xdr:to>
      <xdr:col>46</xdr:col>
      <xdr:colOff>495300</xdr:colOff>
      <xdr:row>287</xdr:row>
      <xdr:rowOff>180975</xdr:rowOff>
    </xdr:to>
    <xdr:graphicFrame macro="">
      <xdr:nvGraphicFramePr>
        <xdr:cNvPr id="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77913</xdr:colOff>
      <xdr:row>51</xdr:row>
      <xdr:rowOff>115673</xdr:rowOff>
    </xdr:to>
    <xdr:pic>
      <xdr:nvPicPr>
        <xdr:cNvPr id="2" name="Picture 1" descr="Combined Views.pdf - Adobe Reade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269913" cy="9831173"/>
        </a:xfrm>
        <a:prstGeom prst="rect">
          <a:avLst/>
        </a:prstGeom>
      </xdr:spPr>
    </xdr:pic>
    <xdr:clientData/>
  </xdr:twoCellAnchor>
  <xdr:twoCellAnchor editAs="oneCell">
    <xdr:from>
      <xdr:col>0</xdr:col>
      <xdr:colOff>0</xdr:colOff>
      <xdr:row>53</xdr:row>
      <xdr:rowOff>0</xdr:rowOff>
    </xdr:from>
    <xdr:to>
      <xdr:col>20</xdr:col>
      <xdr:colOff>77913</xdr:colOff>
      <xdr:row>104</xdr:row>
      <xdr:rowOff>115673</xdr:rowOff>
    </xdr:to>
    <xdr:pic>
      <xdr:nvPicPr>
        <xdr:cNvPr id="3" name="Picture 2" descr="Combined Views.pdf - Adobe Reade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0096500"/>
          <a:ext cx="12269913" cy="9831173"/>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6</xdr:col>
      <xdr:colOff>573213</xdr:colOff>
      <xdr:row>54</xdr:row>
      <xdr:rowOff>115673</xdr:rowOff>
    </xdr:to>
    <xdr:pic>
      <xdr:nvPicPr>
        <xdr:cNvPr id="2" name="Picture 1" descr="Combined View.pdf - Adobe Reade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2269913" cy="9831173"/>
        </a:xfrm>
        <a:prstGeom prst="rect">
          <a:avLst/>
        </a:prstGeom>
      </xdr:spPr>
    </xdr:pic>
    <xdr:clientData/>
  </xdr:twoCellAnchor>
  <xdr:twoCellAnchor editAs="oneCell">
    <xdr:from>
      <xdr:col>0</xdr:col>
      <xdr:colOff>0</xdr:colOff>
      <xdr:row>56</xdr:row>
      <xdr:rowOff>0</xdr:rowOff>
    </xdr:from>
    <xdr:to>
      <xdr:col>6</xdr:col>
      <xdr:colOff>573213</xdr:colOff>
      <xdr:row>107</xdr:row>
      <xdr:rowOff>115673</xdr:rowOff>
    </xdr:to>
    <xdr:pic>
      <xdr:nvPicPr>
        <xdr:cNvPr id="3" name="Picture 2" descr="Combined View.pdf - Adobe Reade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10096500"/>
          <a:ext cx="12269913" cy="983117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11</xdr:row>
      <xdr:rowOff>19050</xdr:rowOff>
    </xdr:from>
    <xdr:to>
      <xdr:col>10</xdr:col>
      <xdr:colOff>600075</xdr:colOff>
      <xdr:row>29</xdr:row>
      <xdr:rowOff>0</xdr:rowOff>
    </xdr:to>
    <xdr:graphicFrame macro="">
      <xdr:nvGraphicFramePr>
        <xdr:cNvPr id="2"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85725</xdr:colOff>
      <xdr:row>2</xdr:row>
      <xdr:rowOff>19050</xdr:rowOff>
    </xdr:from>
    <xdr:to>
      <xdr:col>16</xdr:col>
      <xdr:colOff>866775</xdr:colOff>
      <xdr:row>32</xdr:row>
      <xdr:rowOff>133350</xdr:rowOff>
    </xdr:to>
    <xdr:graphicFrame macro="">
      <xdr:nvGraphicFramePr>
        <xdr:cNvPr id="2"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438150</xdr:colOff>
      <xdr:row>16</xdr:row>
      <xdr:rowOff>85725</xdr:rowOff>
    </xdr:from>
    <xdr:to>
      <xdr:col>13</xdr:col>
      <xdr:colOff>485775</xdr:colOff>
      <xdr:row>35</xdr:row>
      <xdr:rowOff>76200</xdr:rowOff>
    </xdr:to>
    <xdr:graphicFrame macro="">
      <xdr:nvGraphicFramePr>
        <xdr:cNvPr id="2"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180975</xdr:colOff>
      <xdr:row>15</xdr:row>
      <xdr:rowOff>66675</xdr:rowOff>
    </xdr:from>
    <xdr:to>
      <xdr:col>15</xdr:col>
      <xdr:colOff>114300</xdr:colOff>
      <xdr:row>33</xdr:row>
      <xdr:rowOff>38100</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285750</xdr:colOff>
      <xdr:row>12</xdr:row>
      <xdr:rowOff>133350</xdr:rowOff>
    </xdr:from>
    <xdr:to>
      <xdr:col>13</xdr:col>
      <xdr:colOff>304800</xdr:colOff>
      <xdr:row>38</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0</xdr:colOff>
      <xdr:row>19</xdr:row>
      <xdr:rowOff>9525</xdr:rowOff>
    </xdr:from>
    <xdr:to>
      <xdr:col>13</xdr:col>
      <xdr:colOff>0</xdr:colOff>
      <xdr:row>38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133350</xdr:colOff>
      <xdr:row>12</xdr:row>
      <xdr:rowOff>171450</xdr:rowOff>
    </xdr:from>
    <xdr:to>
      <xdr:col>14</xdr:col>
      <xdr:colOff>342900</xdr:colOff>
      <xdr:row>34</xdr:row>
      <xdr:rowOff>38100</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180974</xdr:colOff>
      <xdr:row>13</xdr:row>
      <xdr:rowOff>9525</xdr:rowOff>
    </xdr:from>
    <xdr:to>
      <xdr:col>15</xdr:col>
      <xdr:colOff>228599</xdr:colOff>
      <xdr:row>40</xdr:row>
      <xdr:rowOff>47625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1079639</xdr:colOff>
      <xdr:row>17</xdr:row>
      <xdr:rowOff>173935</xdr:rowOff>
    </xdr:from>
    <xdr:to>
      <xdr:col>14</xdr:col>
      <xdr:colOff>41413</xdr:colOff>
      <xdr:row>45</xdr:row>
      <xdr:rowOff>91109</xdr:rowOff>
    </xdr:to>
    <xdr:graphicFrame macro="">
      <xdr:nvGraphicFramePr>
        <xdr:cNvPr id="2"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Slogon_Credentials_07_31_2012v1.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Benefits_VBA_MonthlyReports_022016(a)%20(2).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eBenefits_VBA_SelfService_WE_03_25_16.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31-JUL-2012"/>
      <sheetName val="DS Logon Counts (History)"/>
      <sheetName val="actrpt"/>
      <sheetName val="html"/>
    </sheetNames>
    <sheetDataSet>
      <sheetData sheetId="0" refreshError="1"/>
      <sheetData sheetId="1" refreshError="1"/>
      <sheetData sheetId="2" refreshError="1">
        <row r="69">
          <cell r="B69">
            <v>2240</v>
          </cell>
        </row>
        <row r="75">
          <cell r="B75">
            <v>64</v>
          </cell>
        </row>
        <row r="76">
          <cell r="B76">
            <v>18</v>
          </cell>
        </row>
        <row r="77">
          <cell r="B77">
            <v>31</v>
          </cell>
        </row>
        <row r="78">
          <cell r="B78">
            <v>9</v>
          </cell>
        </row>
        <row r="79">
          <cell r="B79">
            <v>3</v>
          </cell>
        </row>
        <row r="80">
          <cell r="B80">
            <v>168</v>
          </cell>
        </row>
        <row r="84">
          <cell r="B84">
            <v>204</v>
          </cell>
        </row>
        <row r="85">
          <cell r="B85">
            <v>82</v>
          </cell>
        </row>
        <row r="86">
          <cell r="B86">
            <v>81</v>
          </cell>
        </row>
        <row r="87">
          <cell r="B87">
            <v>89</v>
          </cell>
        </row>
        <row r="88">
          <cell r="B88">
            <v>10</v>
          </cell>
        </row>
        <row r="92">
          <cell r="B92">
            <v>123</v>
          </cell>
        </row>
        <row r="93">
          <cell r="B93">
            <v>22</v>
          </cell>
        </row>
        <row r="101">
          <cell r="B101">
            <v>289</v>
          </cell>
        </row>
        <row r="102">
          <cell r="B102">
            <v>192</v>
          </cell>
        </row>
        <row r="103">
          <cell r="B103">
            <v>179</v>
          </cell>
        </row>
        <row r="104">
          <cell r="B104">
            <v>65</v>
          </cell>
        </row>
        <row r="105">
          <cell r="B105">
            <v>14</v>
          </cell>
        </row>
        <row r="106">
          <cell r="B106">
            <v>1</v>
          </cell>
        </row>
        <row r="111">
          <cell r="B111">
            <v>79494</v>
          </cell>
        </row>
        <row r="117">
          <cell r="B117">
            <v>18571</v>
          </cell>
        </row>
        <row r="118">
          <cell r="B118">
            <v>15658</v>
          </cell>
        </row>
        <row r="119">
          <cell r="B119">
            <v>10986</v>
          </cell>
        </row>
        <row r="120">
          <cell r="B120">
            <v>5773</v>
          </cell>
        </row>
        <row r="121">
          <cell r="B121">
            <v>1567</v>
          </cell>
        </row>
        <row r="122">
          <cell r="B122">
            <v>14273</v>
          </cell>
        </row>
        <row r="126">
          <cell r="B126">
            <v>14817</v>
          </cell>
        </row>
        <row r="127">
          <cell r="B127">
            <v>7467</v>
          </cell>
        </row>
        <row r="128">
          <cell r="B128">
            <v>6258</v>
          </cell>
        </row>
        <row r="129">
          <cell r="B129">
            <v>3846</v>
          </cell>
        </row>
        <row r="130">
          <cell r="B130">
            <v>555</v>
          </cell>
        </row>
        <row r="134">
          <cell r="B134">
            <v>13569</v>
          </cell>
        </row>
        <row r="135">
          <cell r="B135">
            <v>4795</v>
          </cell>
        </row>
        <row r="143">
          <cell r="B143">
            <v>31259</v>
          </cell>
        </row>
        <row r="144">
          <cell r="B144">
            <v>30661</v>
          </cell>
        </row>
        <row r="145">
          <cell r="B145">
            <v>19190</v>
          </cell>
        </row>
        <row r="146">
          <cell r="B146">
            <v>4778</v>
          </cell>
        </row>
        <row r="147">
          <cell r="B147">
            <v>1116</v>
          </cell>
        </row>
        <row r="148">
          <cell r="B148">
            <v>205</v>
          </cell>
        </row>
        <row r="153">
          <cell r="B153">
            <v>404108</v>
          </cell>
        </row>
        <row r="159">
          <cell r="B159">
            <v>14333</v>
          </cell>
        </row>
        <row r="160">
          <cell r="B160">
            <v>5830</v>
          </cell>
        </row>
        <row r="161">
          <cell r="B161">
            <v>6716</v>
          </cell>
        </row>
        <row r="162">
          <cell r="B162">
            <v>3457</v>
          </cell>
        </row>
        <row r="163">
          <cell r="B163">
            <v>1016</v>
          </cell>
        </row>
        <row r="164">
          <cell r="B164">
            <v>26184</v>
          </cell>
        </row>
        <row r="168">
          <cell r="B168">
            <v>35986</v>
          </cell>
        </row>
        <row r="170">
          <cell r="B170">
            <v>12377</v>
          </cell>
        </row>
        <row r="171">
          <cell r="B171">
            <v>16335</v>
          </cell>
        </row>
        <row r="172">
          <cell r="B172">
            <v>1070</v>
          </cell>
        </row>
        <row r="176">
          <cell r="B176">
            <v>34883</v>
          </cell>
        </row>
        <row r="177">
          <cell r="B177">
            <v>8655</v>
          </cell>
        </row>
        <row r="185">
          <cell r="B185">
            <v>38252</v>
          </cell>
        </row>
        <row r="186">
          <cell r="B186">
            <v>24178</v>
          </cell>
        </row>
        <row r="187">
          <cell r="B187">
            <v>24541</v>
          </cell>
        </row>
        <row r="188">
          <cell r="B188">
            <v>7571</v>
          </cell>
        </row>
        <row r="189">
          <cell r="B189">
            <v>2341</v>
          </cell>
        </row>
        <row r="190">
          <cell r="B190">
            <v>153</v>
          </cell>
        </row>
        <row r="196">
          <cell r="B196">
            <v>107163</v>
          </cell>
        </row>
        <row r="202">
          <cell r="B202">
            <v>3285</v>
          </cell>
        </row>
        <row r="203">
          <cell r="B203">
            <v>1113</v>
          </cell>
        </row>
        <row r="204">
          <cell r="B204">
            <v>1401</v>
          </cell>
        </row>
        <row r="205">
          <cell r="B205">
            <v>776</v>
          </cell>
        </row>
        <row r="206">
          <cell r="B206">
            <v>413</v>
          </cell>
        </row>
        <row r="207">
          <cell r="B207">
            <v>5632</v>
          </cell>
        </row>
        <row r="211">
          <cell r="B211">
            <v>6823</v>
          </cell>
        </row>
        <row r="212">
          <cell r="B212">
            <v>2903</v>
          </cell>
        </row>
        <row r="213">
          <cell r="B213">
            <v>2558</v>
          </cell>
        </row>
        <row r="214">
          <cell r="B214">
            <v>2842</v>
          </cell>
        </row>
        <row r="215">
          <cell r="B215">
            <v>357</v>
          </cell>
        </row>
        <row r="219">
          <cell r="B219">
            <v>3582</v>
          </cell>
        </row>
        <row r="220">
          <cell r="B220">
            <v>829</v>
          </cell>
        </row>
        <row r="235">
          <cell r="B235">
            <v>7360</v>
          </cell>
        </row>
        <row r="236">
          <cell r="B236">
            <v>4489</v>
          </cell>
        </row>
        <row r="237">
          <cell r="B237">
            <v>3888</v>
          </cell>
        </row>
        <row r="238">
          <cell r="B238">
            <v>1294</v>
          </cell>
        </row>
        <row r="239">
          <cell r="B239">
            <v>854</v>
          </cell>
        </row>
        <row r="240">
          <cell r="B240">
            <v>83</v>
          </cell>
        </row>
        <row r="245">
          <cell r="B245">
            <v>69916</v>
          </cell>
        </row>
        <row r="251">
          <cell r="B251">
            <v>42092</v>
          </cell>
        </row>
        <row r="252">
          <cell r="B252">
            <v>30964</v>
          </cell>
        </row>
        <row r="253">
          <cell r="B253">
            <v>36512</v>
          </cell>
        </row>
        <row r="254">
          <cell r="B254">
            <v>11069</v>
          </cell>
        </row>
        <row r="255">
          <cell r="B255">
            <v>2947</v>
          </cell>
        </row>
        <row r="256">
          <cell r="B256">
            <v>13335</v>
          </cell>
        </row>
        <row r="260">
          <cell r="B260">
            <v>21983</v>
          </cell>
        </row>
        <row r="261">
          <cell r="B261">
            <v>15458</v>
          </cell>
        </row>
        <row r="262">
          <cell r="B262">
            <v>11801</v>
          </cell>
        </row>
        <row r="263">
          <cell r="B263">
            <v>6088</v>
          </cell>
        </row>
        <row r="268">
          <cell r="B268">
            <v>28167</v>
          </cell>
        </row>
        <row r="269">
          <cell r="B269">
            <v>13940</v>
          </cell>
        </row>
        <row r="284">
          <cell r="B284">
            <v>37468</v>
          </cell>
        </row>
        <row r="285">
          <cell r="B285">
            <v>31963</v>
          </cell>
        </row>
        <row r="286">
          <cell r="B286">
            <v>21743</v>
          </cell>
        </row>
        <row r="287">
          <cell r="B287">
            <v>6142</v>
          </cell>
        </row>
        <row r="288">
          <cell r="B288">
            <v>1246</v>
          </cell>
        </row>
        <row r="289">
          <cell r="B289">
            <v>101</v>
          </cell>
        </row>
        <row r="294">
          <cell r="B294">
            <v>60212</v>
          </cell>
        </row>
        <row r="300">
          <cell r="B300">
            <v>4764</v>
          </cell>
        </row>
        <row r="301">
          <cell r="B301">
            <v>2255</v>
          </cell>
        </row>
        <row r="302">
          <cell r="B302">
            <v>2689</v>
          </cell>
        </row>
        <row r="303">
          <cell r="B303">
            <v>1170</v>
          </cell>
        </row>
        <row r="304">
          <cell r="B304">
            <v>437</v>
          </cell>
        </row>
        <row r="305">
          <cell r="B305">
            <v>3082</v>
          </cell>
        </row>
        <row r="309">
          <cell r="B309">
            <v>6746</v>
          </cell>
        </row>
        <row r="310">
          <cell r="B310">
            <v>4074</v>
          </cell>
        </row>
        <row r="311">
          <cell r="B311">
            <v>3333</v>
          </cell>
        </row>
        <row r="312">
          <cell r="B312">
            <v>2939</v>
          </cell>
        </row>
        <row r="313">
          <cell r="B313">
            <v>343</v>
          </cell>
        </row>
        <row r="317">
          <cell r="B317">
            <v>8873</v>
          </cell>
        </row>
        <row r="318">
          <cell r="B318">
            <v>4035</v>
          </cell>
        </row>
        <row r="333">
          <cell r="B333">
            <v>4431</v>
          </cell>
        </row>
        <row r="334">
          <cell r="B334">
            <v>2610</v>
          </cell>
        </row>
        <row r="335">
          <cell r="B335">
            <v>2735</v>
          </cell>
        </row>
        <row r="336">
          <cell r="B336">
            <v>744</v>
          </cell>
        </row>
        <row r="337">
          <cell r="B337">
            <v>322</v>
          </cell>
        </row>
        <row r="338">
          <cell r="B338">
            <v>28</v>
          </cell>
        </row>
      </sheetData>
      <sheetData sheetId="3" refreshError="1">
        <row r="10">
          <cell r="N10">
            <v>707055</v>
          </cell>
        </row>
        <row r="11">
          <cell r="N11">
            <v>342914</v>
          </cell>
        </row>
        <row r="12">
          <cell r="N12">
            <v>208303</v>
          </cell>
        </row>
        <row r="13">
          <cell r="N13">
            <v>379654</v>
          </cell>
        </row>
        <row r="14">
          <cell r="N14">
            <v>44715</v>
          </cell>
        </row>
        <row r="24">
          <cell r="B24">
            <v>265454</v>
          </cell>
          <cell r="E24">
            <v>161537</v>
          </cell>
        </row>
        <row r="25">
          <cell r="E25">
            <v>47450</v>
          </cell>
        </row>
        <row r="26">
          <cell r="E26">
            <v>32128</v>
          </cell>
        </row>
        <row r="27">
          <cell r="B27">
            <v>76191</v>
          </cell>
          <cell r="E27">
            <v>57168</v>
          </cell>
        </row>
        <row r="28">
          <cell r="E28">
            <v>6489</v>
          </cell>
        </row>
        <row r="37">
          <cell r="B37">
            <v>768557</v>
          </cell>
          <cell r="E37">
            <v>91400</v>
          </cell>
          <cell r="H37">
            <v>32037</v>
          </cell>
        </row>
        <row r="38">
          <cell r="B38">
            <v>506051</v>
          </cell>
          <cell r="E38">
            <v>55348</v>
          </cell>
          <cell r="H38">
            <v>9070</v>
          </cell>
        </row>
        <row r="39">
          <cell r="B39">
            <v>121328</v>
          </cell>
          <cell r="E39">
            <v>60618</v>
          </cell>
          <cell r="H39">
            <v>152</v>
          </cell>
        </row>
        <row r="40">
          <cell r="B40">
            <v>687716</v>
          </cell>
          <cell r="E40">
            <v>51922</v>
          </cell>
          <cell r="H40">
            <v>11584</v>
          </cell>
        </row>
        <row r="41">
          <cell r="B41">
            <v>40744</v>
          </cell>
          <cell r="E41">
            <v>2194</v>
          </cell>
          <cell r="H41">
            <v>259</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eporting Notes"/>
      <sheetName val="DS Logon Data"/>
      <sheetName val="DS Logon Bar Graph"/>
      <sheetName val="DS Logon %"/>
      <sheetName val="DS Logon Data (v2)"/>
      <sheetName val="DS Logon Pivot Table"/>
      <sheetName val="DD-214 (DPRIS)"/>
      <sheetName val="COE"/>
      <sheetName val="C&amp;P (Google)"/>
      <sheetName val="Pay History (Google)"/>
      <sheetName val="Appeals (Google)"/>
      <sheetName val="Letters by Type"/>
      <sheetName val="States"/>
    </sheetNames>
    <sheetDataSet>
      <sheetData sheetId="0" refreshError="1"/>
      <sheetData sheetId="1" refreshError="1"/>
      <sheetData sheetId="2">
        <row r="2">
          <cell r="B2" t="str">
            <v>Active Duty</v>
          </cell>
          <cell r="C2" t="str">
            <v>Reserve</v>
          </cell>
          <cell r="D2" t="str">
            <v>Guard</v>
          </cell>
          <cell r="E2" t="str">
            <v>Retiree</v>
          </cell>
          <cell r="F2" t="str">
            <v>Dependant</v>
          </cell>
          <cell r="G2" t="str">
            <v>Veteran</v>
          </cell>
        </row>
        <row r="36">
          <cell r="A36" t="str">
            <v>Oct           FY14</v>
          </cell>
          <cell r="B36">
            <v>581716</v>
          </cell>
          <cell r="C36">
            <v>320525</v>
          </cell>
          <cell r="D36">
            <v>177096</v>
          </cell>
          <cell r="E36">
            <v>527209</v>
          </cell>
          <cell r="F36">
            <v>275894</v>
          </cell>
          <cell r="G36">
            <v>1288607</v>
          </cell>
        </row>
        <row r="37">
          <cell r="A37" t="str">
            <v>Nov</v>
          </cell>
          <cell r="B37">
            <v>599309</v>
          </cell>
          <cell r="C37">
            <v>327790</v>
          </cell>
          <cell r="D37">
            <v>179752</v>
          </cell>
          <cell r="E37">
            <v>542200</v>
          </cell>
          <cell r="F37">
            <v>287518</v>
          </cell>
          <cell r="G37">
            <v>1319414</v>
          </cell>
        </row>
        <row r="38">
          <cell r="A38" t="str">
            <v>Dec</v>
          </cell>
          <cell r="B38">
            <v>608320</v>
          </cell>
          <cell r="C38">
            <v>335006</v>
          </cell>
          <cell r="D38">
            <v>182607</v>
          </cell>
          <cell r="E38">
            <v>556245</v>
          </cell>
          <cell r="F38">
            <v>300227</v>
          </cell>
          <cell r="G38">
            <v>1349458</v>
          </cell>
        </row>
        <row r="39">
          <cell r="A39" t="str">
            <v>Jan</v>
          </cell>
          <cell r="B39">
            <v>623088</v>
          </cell>
          <cell r="C39">
            <v>342557</v>
          </cell>
          <cell r="D39">
            <v>186024</v>
          </cell>
          <cell r="E39">
            <v>571178</v>
          </cell>
          <cell r="F39">
            <v>316164</v>
          </cell>
          <cell r="G39">
            <v>1386745</v>
          </cell>
        </row>
        <row r="40">
          <cell r="A40" t="str">
            <v>Feb</v>
          </cell>
          <cell r="B40">
            <v>636224</v>
          </cell>
          <cell r="C40">
            <v>348747</v>
          </cell>
          <cell r="D40">
            <v>188863</v>
          </cell>
          <cell r="E40">
            <v>583867</v>
          </cell>
          <cell r="F40">
            <v>326745</v>
          </cell>
          <cell r="G40">
            <v>1420422</v>
          </cell>
        </row>
        <row r="41">
          <cell r="A41" t="str">
            <v>Mar</v>
          </cell>
          <cell r="B41">
            <v>653012</v>
          </cell>
          <cell r="C41">
            <v>355726</v>
          </cell>
          <cell r="D41">
            <v>191352</v>
          </cell>
          <cell r="E41">
            <v>598643</v>
          </cell>
          <cell r="F41">
            <v>343144</v>
          </cell>
          <cell r="G41">
            <v>1461949</v>
          </cell>
        </row>
        <row r="42">
          <cell r="A42" t="str">
            <v>Apr</v>
          </cell>
          <cell r="B42">
            <v>669399</v>
          </cell>
          <cell r="C42">
            <v>361482</v>
          </cell>
          <cell r="D42">
            <v>193409</v>
          </cell>
          <cell r="E42">
            <v>612251</v>
          </cell>
          <cell r="F42">
            <v>354319</v>
          </cell>
          <cell r="G42">
            <v>1506425</v>
          </cell>
        </row>
        <row r="43">
          <cell r="A43" t="str">
            <v>May</v>
          </cell>
          <cell r="B43">
            <v>681040</v>
          </cell>
          <cell r="C43">
            <v>366943</v>
          </cell>
          <cell r="D43">
            <v>195812</v>
          </cell>
          <cell r="E43">
            <v>624840</v>
          </cell>
          <cell r="F43">
            <v>370829</v>
          </cell>
          <cell r="G43">
            <v>1549861</v>
          </cell>
        </row>
        <row r="44">
          <cell r="A44" t="str">
            <v>June</v>
          </cell>
          <cell r="B44">
            <v>690617</v>
          </cell>
          <cell r="C44">
            <v>373845</v>
          </cell>
          <cell r="D44">
            <v>198134</v>
          </cell>
          <cell r="E44">
            <v>638003</v>
          </cell>
          <cell r="F44">
            <v>382112</v>
          </cell>
          <cell r="G44">
            <v>1589461</v>
          </cell>
        </row>
        <row r="45">
          <cell r="A45" t="str">
            <v>July</v>
          </cell>
          <cell r="B45">
            <v>697715</v>
          </cell>
          <cell r="C45">
            <v>382974</v>
          </cell>
          <cell r="D45">
            <v>201305</v>
          </cell>
          <cell r="E45">
            <v>654779</v>
          </cell>
          <cell r="F45">
            <v>397254</v>
          </cell>
          <cell r="G45">
            <v>1632673</v>
          </cell>
        </row>
        <row r="46">
          <cell r="A46" t="str">
            <v>Aug</v>
          </cell>
          <cell r="B46">
            <v>703484</v>
          </cell>
          <cell r="C46">
            <v>391693</v>
          </cell>
          <cell r="D46">
            <v>204058</v>
          </cell>
          <cell r="E46">
            <v>671026</v>
          </cell>
          <cell r="F46">
            <v>415618</v>
          </cell>
          <cell r="G46">
            <v>1678160</v>
          </cell>
        </row>
        <row r="47">
          <cell r="A47" t="str">
            <v>Sept</v>
          </cell>
          <cell r="B47">
            <v>706995</v>
          </cell>
          <cell r="C47">
            <v>400166</v>
          </cell>
          <cell r="D47">
            <v>206875</v>
          </cell>
          <cell r="E47">
            <v>688509</v>
          </cell>
          <cell r="F47">
            <v>415618</v>
          </cell>
          <cell r="G47">
            <v>1720867</v>
          </cell>
        </row>
      </sheetData>
      <sheetData sheetId="3">
        <row r="4">
          <cell r="A4" t="str">
            <v>Q3 FY '10</v>
          </cell>
          <cell r="B4">
            <v>126650</v>
          </cell>
        </row>
        <row r="5">
          <cell r="A5" t="str">
            <v>Q4 FY '10</v>
          </cell>
          <cell r="B5">
            <v>163451</v>
          </cell>
          <cell r="C5">
            <v>0.29057244374259772</v>
          </cell>
        </row>
        <row r="6">
          <cell r="A6" t="str">
            <v>Q1 FY '11</v>
          </cell>
          <cell r="B6">
            <v>201996</v>
          </cell>
          <cell r="C6">
            <v>0.23581990933062508</v>
          </cell>
        </row>
        <row r="7">
          <cell r="A7" t="str">
            <v>Q2 FY '11</v>
          </cell>
          <cell r="B7">
            <v>278532</v>
          </cell>
          <cell r="C7">
            <v>0.37889859205132775</v>
          </cell>
        </row>
        <row r="8">
          <cell r="A8" t="str">
            <v>Q3 FY '11</v>
          </cell>
          <cell r="B8">
            <v>368156</v>
          </cell>
          <cell r="C8">
            <v>0.32177272270331597</v>
          </cell>
        </row>
        <row r="9">
          <cell r="A9" t="str">
            <v>Q4 FY '11</v>
          </cell>
          <cell r="B9">
            <v>1091545</v>
          </cell>
          <cell r="C9">
            <v>4.4037951246559341</v>
          </cell>
        </row>
      </sheetData>
      <sheetData sheetId="4" refreshError="1"/>
      <sheetData sheetId="5" refreshError="1"/>
      <sheetData sheetId="6">
        <row r="2">
          <cell r="D2" t="str">
            <v>Mar</v>
          </cell>
          <cell r="E2" t="str">
            <v>Apr</v>
          </cell>
          <cell r="F2" t="str">
            <v>May</v>
          </cell>
          <cell r="G2" t="str">
            <v>Jun</v>
          </cell>
          <cell r="H2" t="str">
            <v>Jul</v>
          </cell>
          <cell r="I2" t="str">
            <v>Aug</v>
          </cell>
          <cell r="J2" t="str">
            <v>Sep</v>
          </cell>
          <cell r="K2" t="str">
            <v>Oct FY16</v>
          </cell>
          <cell r="L2" t="str">
            <v>Nov</v>
          </cell>
          <cell r="M2" t="str">
            <v>Dec</v>
          </cell>
        </row>
        <row r="3">
          <cell r="B3" t="str">
            <v>Jan</v>
          </cell>
          <cell r="C3" t="str">
            <v>Feb</v>
          </cell>
        </row>
        <row r="11">
          <cell r="D11">
            <v>26237</v>
          </cell>
          <cell r="E11">
            <v>25122</v>
          </cell>
          <cell r="F11">
            <v>24132</v>
          </cell>
          <cell r="G11">
            <v>19841</v>
          </cell>
          <cell r="H11">
            <v>21520</v>
          </cell>
          <cell r="I11">
            <v>28082</v>
          </cell>
          <cell r="J11">
            <v>27018</v>
          </cell>
          <cell r="K11">
            <v>26982</v>
          </cell>
          <cell r="L11">
            <v>23003</v>
          </cell>
          <cell r="M11">
            <v>23581</v>
          </cell>
        </row>
        <row r="12">
          <cell r="B12">
            <v>28885</v>
          </cell>
          <cell r="C12">
            <v>26677</v>
          </cell>
        </row>
      </sheetData>
      <sheetData sheetId="7">
        <row r="3">
          <cell r="D3" t="str">
            <v>Mar</v>
          </cell>
          <cell r="E3" t="str">
            <v>Apr</v>
          </cell>
          <cell r="F3" t="str">
            <v>May</v>
          </cell>
          <cell r="G3" t="str">
            <v>Jun</v>
          </cell>
          <cell r="H3" t="str">
            <v>Jul</v>
          </cell>
          <cell r="I3" t="str">
            <v>Aug</v>
          </cell>
          <cell r="J3" t="str">
            <v>Sep</v>
          </cell>
          <cell r="K3" t="str">
            <v>Oct FY16</v>
          </cell>
          <cell r="L3" t="str">
            <v>Nov</v>
          </cell>
          <cell r="M3" t="str">
            <v>Dec</v>
          </cell>
        </row>
        <row r="4">
          <cell r="B4" t="str">
            <v>Jan</v>
          </cell>
          <cell r="C4" t="str">
            <v>Feb</v>
          </cell>
        </row>
        <row r="11">
          <cell r="D11">
            <v>26494</v>
          </cell>
          <cell r="E11">
            <v>20530</v>
          </cell>
          <cell r="F11">
            <v>19208</v>
          </cell>
          <cell r="G11">
            <v>18980</v>
          </cell>
          <cell r="H11">
            <v>18826</v>
          </cell>
          <cell r="I11">
            <v>20007</v>
          </cell>
          <cell r="J11">
            <v>18143</v>
          </cell>
          <cell r="K11">
            <v>16276</v>
          </cell>
          <cell r="L11">
            <v>15166</v>
          </cell>
          <cell r="M11">
            <v>15019</v>
          </cell>
        </row>
        <row r="12">
          <cell r="B12">
            <v>20499</v>
          </cell>
          <cell r="C12">
            <v>20082</v>
          </cell>
        </row>
      </sheetData>
      <sheetData sheetId="8">
        <row r="1">
          <cell r="D1" t="str">
            <v>Mar</v>
          </cell>
          <cell r="E1" t="str">
            <v>Apr</v>
          </cell>
          <cell r="F1" t="str">
            <v>May</v>
          </cell>
          <cell r="G1" t="str">
            <v>Jun</v>
          </cell>
          <cell r="H1" t="str">
            <v>Jul</v>
          </cell>
          <cell r="I1" t="str">
            <v>Aug</v>
          </cell>
          <cell r="J1" t="str">
            <v>Sep</v>
          </cell>
          <cell r="K1" t="str">
            <v>Oct FY16</v>
          </cell>
          <cell r="L1" t="str">
            <v>Nov</v>
          </cell>
          <cell r="M1" t="str">
            <v>Dec</v>
          </cell>
        </row>
        <row r="2">
          <cell r="B2" t="str">
            <v>Jan</v>
          </cell>
          <cell r="C2" t="str">
            <v>Feb</v>
          </cell>
          <cell r="D2" t="str">
            <v>Mar</v>
          </cell>
          <cell r="E2" t="str">
            <v>Apr</v>
          </cell>
          <cell r="F2" t="str">
            <v>May</v>
          </cell>
          <cell r="G2" t="str">
            <v>Jun</v>
          </cell>
          <cell r="H2" t="str">
            <v>Jul</v>
          </cell>
          <cell r="I2" t="str">
            <v>Aug</v>
          </cell>
          <cell r="J2" t="str">
            <v>Sep</v>
          </cell>
          <cell r="K2" t="str">
            <v>Oct</v>
          </cell>
          <cell r="L2" t="str">
            <v>Nov</v>
          </cell>
          <cell r="M2" t="str">
            <v>Dec</v>
          </cell>
        </row>
        <row r="8">
          <cell r="D8">
            <v>1329657</v>
          </cell>
          <cell r="E8">
            <v>850803</v>
          </cell>
          <cell r="F8">
            <v>816358</v>
          </cell>
          <cell r="G8">
            <v>792906</v>
          </cell>
          <cell r="H8">
            <v>913051</v>
          </cell>
          <cell r="I8">
            <v>1092129</v>
          </cell>
          <cell r="J8">
            <v>1074085</v>
          </cell>
          <cell r="K8">
            <v>1103159</v>
          </cell>
          <cell r="L8">
            <v>1003362</v>
          </cell>
          <cell r="M8">
            <v>1017363</v>
          </cell>
        </row>
        <row r="9">
          <cell r="B9">
            <v>1167932</v>
          </cell>
          <cell r="C9">
            <v>1121669</v>
          </cell>
        </row>
      </sheetData>
      <sheetData sheetId="9">
        <row r="2">
          <cell r="D2" t="str">
            <v>Mar</v>
          </cell>
          <cell r="E2" t="str">
            <v>Apr</v>
          </cell>
          <cell r="F2" t="str">
            <v>May</v>
          </cell>
          <cell r="G2" t="str">
            <v>Jun</v>
          </cell>
          <cell r="H2" t="str">
            <v>Jul</v>
          </cell>
          <cell r="I2" t="str">
            <v>Aug</v>
          </cell>
          <cell r="J2" t="str">
            <v>Sep</v>
          </cell>
          <cell r="K2" t="str">
            <v>Oct FY16</v>
          </cell>
          <cell r="L2" t="str">
            <v>Nov</v>
          </cell>
          <cell r="M2" t="str">
            <v>Dec</v>
          </cell>
        </row>
        <row r="3">
          <cell r="B3" t="str">
            <v>Jan</v>
          </cell>
          <cell r="C3" t="str">
            <v>Feb</v>
          </cell>
          <cell r="D3" t="str">
            <v>Mar</v>
          </cell>
          <cell r="E3" t="str">
            <v>Apr</v>
          </cell>
          <cell r="F3" t="str">
            <v>May</v>
          </cell>
          <cell r="G3" t="str">
            <v>Jun</v>
          </cell>
          <cell r="H3" t="str">
            <v>Jul</v>
          </cell>
          <cell r="I3" t="str">
            <v>Aug</v>
          </cell>
          <cell r="J3" t="str">
            <v>Sep</v>
          </cell>
          <cell r="K3" t="str">
            <v xml:space="preserve">Oct </v>
          </cell>
          <cell r="L3" t="str">
            <v>Nov</v>
          </cell>
          <cell r="M3" t="str">
            <v>Dec</v>
          </cell>
        </row>
        <row r="6">
          <cell r="H6">
            <v>520788</v>
          </cell>
          <cell r="I6">
            <v>599615</v>
          </cell>
          <cell r="J6">
            <v>604291</v>
          </cell>
          <cell r="K6">
            <v>629477</v>
          </cell>
          <cell r="L6">
            <v>505853</v>
          </cell>
          <cell r="M6">
            <v>623697</v>
          </cell>
        </row>
        <row r="9">
          <cell r="D9">
            <v>620479</v>
          </cell>
          <cell r="E9">
            <v>457985</v>
          </cell>
          <cell r="F9">
            <v>474798</v>
          </cell>
          <cell r="G9">
            <v>475885</v>
          </cell>
          <cell r="H9">
            <v>569373</v>
          </cell>
          <cell r="I9">
            <v>752007</v>
          </cell>
          <cell r="J9">
            <v>744378</v>
          </cell>
          <cell r="K9">
            <v>657113</v>
          </cell>
          <cell r="L9">
            <v>538626</v>
          </cell>
          <cell r="M9">
            <v>630123</v>
          </cell>
        </row>
        <row r="10">
          <cell r="B10">
            <v>675675</v>
          </cell>
          <cell r="C10">
            <v>574164</v>
          </cell>
        </row>
      </sheetData>
      <sheetData sheetId="10">
        <row r="2">
          <cell r="D2" t="str">
            <v>Mar</v>
          </cell>
          <cell r="E2" t="str">
            <v>Apr</v>
          </cell>
          <cell r="F2" t="str">
            <v>May</v>
          </cell>
          <cell r="G2" t="str">
            <v>Jun</v>
          </cell>
          <cell r="H2" t="str">
            <v>Jul</v>
          </cell>
          <cell r="I2" t="str">
            <v>Aug</v>
          </cell>
          <cell r="J2" t="str">
            <v>Sep</v>
          </cell>
          <cell r="K2" t="str">
            <v>Oct FY16</v>
          </cell>
          <cell r="L2" t="str">
            <v>Nov</v>
          </cell>
          <cell r="M2" t="str">
            <v>Dec</v>
          </cell>
        </row>
        <row r="3">
          <cell r="B3" t="str">
            <v>Jan</v>
          </cell>
          <cell r="C3" t="str">
            <v>Feb</v>
          </cell>
        </row>
        <row r="9">
          <cell r="D9">
            <v>300349</v>
          </cell>
          <cell r="E9">
            <v>256324</v>
          </cell>
          <cell r="F9">
            <v>252360</v>
          </cell>
          <cell r="G9">
            <v>95918</v>
          </cell>
          <cell r="H9">
            <v>0</v>
          </cell>
          <cell r="I9">
            <v>0</v>
          </cell>
          <cell r="J9">
            <v>75788</v>
          </cell>
          <cell r="K9">
            <v>108967</v>
          </cell>
          <cell r="L9">
            <v>87999</v>
          </cell>
          <cell r="M9">
            <v>87817</v>
          </cell>
        </row>
        <row r="10">
          <cell r="B10">
            <v>95182</v>
          </cell>
          <cell r="C10">
            <v>86499</v>
          </cell>
        </row>
      </sheetData>
      <sheetData sheetId="11">
        <row r="2">
          <cell r="U2" t="str">
            <v>Jan</v>
          </cell>
          <cell r="V2" t="str">
            <v>Feb</v>
          </cell>
          <cell r="W2" t="str">
            <v>Mar</v>
          </cell>
          <cell r="X2" t="str">
            <v>Apr</v>
          </cell>
          <cell r="Y2" t="str">
            <v>May</v>
          </cell>
          <cell r="Z2" t="str">
            <v>June</v>
          </cell>
          <cell r="AA2" t="str">
            <v>July</v>
          </cell>
          <cell r="AB2" t="str">
            <v>Aug</v>
          </cell>
          <cell r="AC2" t="str">
            <v>Sept</v>
          </cell>
          <cell r="AD2" t="str">
            <v>Oct FY 16</v>
          </cell>
          <cell r="AE2" t="str">
            <v>Nov</v>
          </cell>
          <cell r="AF2" t="str">
            <v>Dec</v>
          </cell>
        </row>
        <row r="4">
          <cell r="A4" t="str">
            <v>Civil Service Preference</v>
          </cell>
          <cell r="U4">
            <v>28932</v>
          </cell>
          <cell r="V4">
            <v>26484</v>
          </cell>
          <cell r="W4">
            <v>27976</v>
          </cell>
          <cell r="X4">
            <v>24868</v>
          </cell>
          <cell r="Y4">
            <v>21807</v>
          </cell>
          <cell r="Z4">
            <v>23482</v>
          </cell>
          <cell r="AA4">
            <v>25145</v>
          </cell>
          <cell r="AB4">
            <v>26941</v>
          </cell>
          <cell r="AC4">
            <v>27195</v>
          </cell>
          <cell r="AD4">
            <v>25723</v>
          </cell>
          <cell r="AE4">
            <v>21671</v>
          </cell>
          <cell r="AF4">
            <v>22191</v>
          </cell>
        </row>
        <row r="5">
          <cell r="A5" t="str">
            <v>Service Verification</v>
          </cell>
          <cell r="U5">
            <v>25904</v>
          </cell>
          <cell r="V5">
            <v>22283</v>
          </cell>
          <cell r="W5">
            <v>22583</v>
          </cell>
          <cell r="X5">
            <v>19566</v>
          </cell>
          <cell r="Y5">
            <v>18481</v>
          </cell>
          <cell r="Z5">
            <v>19060</v>
          </cell>
          <cell r="AA5">
            <v>21212</v>
          </cell>
          <cell r="AB5">
            <v>22026</v>
          </cell>
          <cell r="AC5">
            <v>21172</v>
          </cell>
          <cell r="AD5">
            <v>20887</v>
          </cell>
          <cell r="AE5">
            <v>17984</v>
          </cell>
          <cell r="AF5">
            <v>17899</v>
          </cell>
        </row>
        <row r="6">
          <cell r="A6" t="str">
            <v>Benefit Verification</v>
          </cell>
          <cell r="U6">
            <v>113589</v>
          </cell>
          <cell r="V6">
            <v>106964</v>
          </cell>
          <cell r="W6">
            <v>114168</v>
          </cell>
          <cell r="X6">
            <v>91388</v>
          </cell>
          <cell r="Y6">
            <v>88364</v>
          </cell>
          <cell r="Z6">
            <v>90895</v>
          </cell>
          <cell r="AA6">
            <v>94404</v>
          </cell>
          <cell r="AB6">
            <v>93747</v>
          </cell>
          <cell r="AC6">
            <v>98973</v>
          </cell>
          <cell r="AD6">
            <v>98209</v>
          </cell>
          <cell r="AE6">
            <v>83346</v>
          </cell>
          <cell r="AF6">
            <v>86570</v>
          </cell>
        </row>
        <row r="7">
          <cell r="A7" t="str">
            <v>Commissary</v>
          </cell>
          <cell r="U7">
            <v>4260</v>
          </cell>
          <cell r="V7">
            <v>3868</v>
          </cell>
          <cell r="W7">
            <v>4316</v>
          </cell>
          <cell r="X7">
            <v>3782</v>
          </cell>
          <cell r="Y7">
            <v>3708</v>
          </cell>
          <cell r="Z7">
            <v>3884</v>
          </cell>
          <cell r="AA7">
            <v>4000</v>
          </cell>
          <cell r="AB7">
            <v>3926</v>
          </cell>
          <cell r="AC7">
            <v>20518</v>
          </cell>
          <cell r="AD7">
            <v>18926</v>
          </cell>
          <cell r="AE7">
            <v>3570</v>
          </cell>
          <cell r="AF7">
            <v>3662</v>
          </cell>
        </row>
        <row r="8">
          <cell r="A8" t="str">
            <v>Benefit Summary Letter</v>
          </cell>
          <cell r="U8">
            <v>81182</v>
          </cell>
          <cell r="V8">
            <v>70128</v>
          </cell>
          <cell r="W8">
            <v>72655</v>
          </cell>
          <cell r="X8">
            <v>61820</v>
          </cell>
          <cell r="Y8">
            <v>58512</v>
          </cell>
          <cell r="Z8">
            <v>63010</v>
          </cell>
          <cell r="AA8">
            <v>66392</v>
          </cell>
          <cell r="AB8">
            <v>68670</v>
          </cell>
          <cell r="AC8">
            <v>77510</v>
          </cell>
          <cell r="AD8">
            <v>73961</v>
          </cell>
          <cell r="AE8">
            <v>60868</v>
          </cell>
          <cell r="AF8">
            <v>62822</v>
          </cell>
        </row>
        <row r="9">
          <cell r="A9" t="str">
            <v>Proof of Service</v>
          </cell>
          <cell r="U9">
            <v>24960</v>
          </cell>
          <cell r="V9">
            <v>20971</v>
          </cell>
          <cell r="W9">
            <v>21000</v>
          </cell>
          <cell r="X9">
            <v>18028</v>
          </cell>
          <cell r="Y9">
            <v>17178</v>
          </cell>
          <cell r="Z9">
            <v>17627</v>
          </cell>
          <cell r="AA9">
            <v>20091</v>
          </cell>
          <cell r="AB9">
            <v>21026</v>
          </cell>
          <cell r="AC9">
            <v>20384</v>
          </cell>
          <cell r="AD9">
            <v>19878</v>
          </cell>
          <cell r="AE9">
            <v>17609</v>
          </cell>
          <cell r="AF9">
            <v>17190</v>
          </cell>
        </row>
        <row r="10">
          <cell r="A10" t="str">
            <v>Affortable Care Act</v>
          </cell>
          <cell r="U10">
            <v>26547</v>
          </cell>
          <cell r="V10">
            <v>21803</v>
          </cell>
          <cell r="W10">
            <v>19736</v>
          </cell>
          <cell r="X10">
            <v>16157</v>
          </cell>
          <cell r="Y10">
            <v>15127</v>
          </cell>
          <cell r="Z10">
            <v>14617</v>
          </cell>
          <cell r="AA10">
            <v>17557</v>
          </cell>
          <cell r="AB10">
            <v>19235</v>
          </cell>
          <cell r="AC10">
            <v>18414</v>
          </cell>
          <cell r="AD10">
            <v>17178</v>
          </cell>
          <cell r="AE10">
            <v>15745</v>
          </cell>
          <cell r="AF10">
            <v>10696</v>
          </cell>
        </row>
      </sheetData>
      <sheetData sheetId="1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Oct 2011 - April 2012"/>
      <sheetName val="Monthly Account Data (2)"/>
      <sheetName val="Sheet1"/>
      <sheetName val="Current Metrics"/>
    </sheetNames>
    <sheetDataSet>
      <sheetData sheetId="0">
        <row r="4">
          <cell r="BV4">
            <v>40956</v>
          </cell>
          <cell r="BW4">
            <v>40963</v>
          </cell>
          <cell r="BX4">
            <v>40970</v>
          </cell>
          <cell r="BY4">
            <v>40977</v>
          </cell>
          <cell r="BZ4">
            <v>40984</v>
          </cell>
          <cell r="CA4">
            <v>40991</v>
          </cell>
          <cell r="CB4">
            <v>40998</v>
          </cell>
          <cell r="CC4">
            <v>41005</v>
          </cell>
          <cell r="CD4">
            <v>41012</v>
          </cell>
          <cell r="CE4">
            <v>41019</v>
          </cell>
          <cell r="CF4">
            <v>41026</v>
          </cell>
          <cell r="CG4">
            <v>41033</v>
          </cell>
          <cell r="CH4">
            <v>41040</v>
          </cell>
          <cell r="CI4">
            <v>41047</v>
          </cell>
        </row>
        <row r="5">
          <cell r="A5" t="str">
            <v>NCC Calls*</v>
          </cell>
          <cell r="BU5">
            <v>129355</v>
          </cell>
          <cell r="BV5">
            <v>135318</v>
          </cell>
          <cell r="BW5">
            <v>105618</v>
          </cell>
          <cell r="BX5">
            <v>126890</v>
          </cell>
          <cell r="BY5">
            <v>117337</v>
          </cell>
          <cell r="BZ5">
            <v>112306</v>
          </cell>
          <cell r="CA5">
            <v>111833</v>
          </cell>
          <cell r="CB5">
            <v>121539</v>
          </cell>
          <cell r="CC5">
            <v>107132</v>
          </cell>
          <cell r="CD5">
            <v>109125</v>
          </cell>
          <cell r="CE5">
            <v>114402</v>
          </cell>
          <cell r="CF5">
            <v>112220</v>
          </cell>
          <cell r="CG5">
            <v>107999</v>
          </cell>
          <cell r="CH5">
            <v>102146</v>
          </cell>
        </row>
        <row r="6">
          <cell r="A6" t="str">
            <v>eBenefits Visits</v>
          </cell>
          <cell r="BW6">
            <v>304364</v>
          </cell>
          <cell r="BX6">
            <v>341346</v>
          </cell>
          <cell r="BY6">
            <v>308803</v>
          </cell>
          <cell r="BZ6">
            <v>300721</v>
          </cell>
          <cell r="CA6">
            <v>303385</v>
          </cell>
          <cell r="CB6">
            <v>321199</v>
          </cell>
          <cell r="CC6">
            <v>315231</v>
          </cell>
          <cell r="CD6">
            <v>310963</v>
          </cell>
          <cell r="CE6">
            <v>334142</v>
          </cell>
          <cell r="CF6">
            <v>316352</v>
          </cell>
          <cell r="CG6">
            <v>316953</v>
          </cell>
          <cell r="CH6">
            <v>304934</v>
          </cell>
          <cell r="CI6">
            <v>306379</v>
          </cell>
        </row>
        <row r="7">
          <cell r="A7" t="str">
            <v>C&amp;P Claims Status</v>
          </cell>
          <cell r="BV7">
            <v>188030</v>
          </cell>
          <cell r="BW7">
            <v>172203</v>
          </cell>
          <cell r="BX7">
            <v>189585</v>
          </cell>
          <cell r="BY7">
            <v>183035</v>
          </cell>
          <cell r="BZ7">
            <v>178395</v>
          </cell>
          <cell r="CA7">
            <v>184402</v>
          </cell>
          <cell r="CB7">
            <v>191124</v>
          </cell>
          <cell r="CC7">
            <v>170151</v>
          </cell>
          <cell r="CD7">
            <v>170015</v>
          </cell>
          <cell r="CE7">
            <v>184719</v>
          </cell>
          <cell r="CF7">
            <v>212752</v>
          </cell>
          <cell r="CG7">
            <v>200199</v>
          </cell>
          <cell r="CH7">
            <v>198543</v>
          </cell>
          <cell r="CI7">
            <v>198926</v>
          </cell>
        </row>
        <row r="8">
          <cell r="A8" t="str">
            <v>Payment History</v>
          </cell>
          <cell r="BT8">
            <v>80083</v>
          </cell>
          <cell r="BU8">
            <v>50402</v>
          </cell>
          <cell r="BV8">
            <v>63640</v>
          </cell>
          <cell r="BW8">
            <v>73474</v>
          </cell>
          <cell r="BX8">
            <v>88164</v>
          </cell>
          <cell r="BY8">
            <v>58687</v>
          </cell>
          <cell r="BZ8">
            <v>57354</v>
          </cell>
          <cell r="CA8">
            <v>66961</v>
          </cell>
          <cell r="CB8">
            <v>90244</v>
          </cell>
          <cell r="CC8">
            <v>62849</v>
          </cell>
          <cell r="CD8">
            <v>58230</v>
          </cell>
          <cell r="CE8">
            <v>67469</v>
          </cell>
          <cell r="CF8">
            <v>55020</v>
          </cell>
          <cell r="CG8">
            <v>88091</v>
          </cell>
          <cell r="CH8">
            <v>68421</v>
          </cell>
          <cell r="CI8">
            <v>69479</v>
          </cell>
        </row>
        <row r="9">
          <cell r="A9" t="str">
            <v>Appeals Status</v>
          </cell>
          <cell r="B9">
            <v>2043</v>
          </cell>
          <cell r="C9">
            <v>1994</v>
          </cell>
          <cell r="D9">
            <v>1673</v>
          </cell>
          <cell r="E9">
            <v>1903</v>
          </cell>
          <cell r="F9">
            <v>2117</v>
          </cell>
          <cell r="G9">
            <v>2185</v>
          </cell>
          <cell r="H9">
            <v>2176</v>
          </cell>
          <cell r="I9">
            <v>2468</v>
          </cell>
          <cell r="J9">
            <v>1681</v>
          </cell>
          <cell r="K9">
            <v>2703</v>
          </cell>
          <cell r="L9">
            <v>4324</v>
          </cell>
          <cell r="M9">
            <v>4396</v>
          </cell>
          <cell r="N9">
            <v>3681</v>
          </cell>
          <cell r="O9">
            <v>4186</v>
          </cell>
          <cell r="P9">
            <v>5428</v>
          </cell>
          <cell r="Q9">
            <v>5358</v>
          </cell>
          <cell r="R9">
            <v>4852</v>
          </cell>
          <cell r="S9">
            <v>4839</v>
          </cell>
          <cell r="T9">
            <v>6036</v>
          </cell>
          <cell r="U9">
            <v>6238</v>
          </cell>
          <cell r="V9">
            <v>6521</v>
          </cell>
          <cell r="W9">
            <v>6971</v>
          </cell>
          <cell r="X9">
            <v>7103</v>
          </cell>
          <cell r="Y9">
            <v>8044</v>
          </cell>
          <cell r="Z9">
            <v>8293</v>
          </cell>
          <cell r="AA9">
            <v>9032</v>
          </cell>
          <cell r="AB9">
            <v>7938</v>
          </cell>
          <cell r="AC9">
            <v>8858</v>
          </cell>
          <cell r="AD9">
            <v>8861</v>
          </cell>
          <cell r="AE9">
            <v>9396</v>
          </cell>
          <cell r="AF9">
            <v>9249</v>
          </cell>
          <cell r="AG9">
            <v>9311</v>
          </cell>
          <cell r="AH9">
            <v>6729</v>
          </cell>
          <cell r="AI9">
            <v>7223</v>
          </cell>
          <cell r="AJ9">
            <v>8385</v>
          </cell>
          <cell r="AK9">
            <v>8164</v>
          </cell>
          <cell r="AL9">
            <v>8987</v>
          </cell>
          <cell r="AM9">
            <v>9260</v>
          </cell>
          <cell r="AN9">
            <v>9810</v>
          </cell>
          <cell r="AO9">
            <v>10004</v>
          </cell>
          <cell r="AP9">
            <v>9165</v>
          </cell>
          <cell r="AQ9">
            <v>10498</v>
          </cell>
          <cell r="AR9">
            <v>11604</v>
          </cell>
          <cell r="AS9">
            <v>11959</v>
          </cell>
          <cell r="AT9">
            <v>10272</v>
          </cell>
          <cell r="AU9">
            <v>11528</v>
          </cell>
          <cell r="AV9">
            <v>12337</v>
          </cell>
          <cell r="AW9">
            <v>8814</v>
          </cell>
          <cell r="AX9">
            <v>13511</v>
          </cell>
          <cell r="AY9">
            <v>11860</v>
          </cell>
          <cell r="AZ9">
            <v>13192</v>
          </cell>
          <cell r="BA9">
            <v>13735</v>
          </cell>
          <cell r="BB9">
            <v>14888</v>
          </cell>
          <cell r="BC9">
            <v>16760</v>
          </cell>
          <cell r="BD9">
            <v>14691</v>
          </cell>
          <cell r="BE9">
            <v>16504</v>
          </cell>
          <cell r="BF9">
            <v>16956</v>
          </cell>
          <cell r="BG9">
            <v>16325</v>
          </cell>
          <cell r="BH9">
            <v>15177</v>
          </cell>
          <cell r="BI9">
            <v>17716</v>
          </cell>
          <cell r="BJ9">
            <v>12809</v>
          </cell>
          <cell r="BK9">
            <v>18273</v>
          </cell>
          <cell r="BL9">
            <v>17450</v>
          </cell>
          <cell r="BM9">
            <v>24584</v>
          </cell>
          <cell r="BN9">
            <v>22544</v>
          </cell>
          <cell r="BO9">
            <v>20997</v>
          </cell>
          <cell r="BP9">
            <v>23823</v>
          </cell>
          <cell r="BQ9">
            <v>25638</v>
          </cell>
          <cell r="BR9">
            <v>24261</v>
          </cell>
          <cell r="BS9">
            <v>26156</v>
          </cell>
          <cell r="BT9">
            <v>25720</v>
          </cell>
          <cell r="BU9">
            <v>25823</v>
          </cell>
          <cell r="BV9">
            <v>31227</v>
          </cell>
          <cell r="BW9">
            <v>28999</v>
          </cell>
          <cell r="BX9">
            <v>32057</v>
          </cell>
          <cell r="BY9">
            <v>30820</v>
          </cell>
          <cell r="BZ9">
            <v>30320</v>
          </cell>
          <cell r="CA9">
            <v>31106</v>
          </cell>
          <cell r="CB9">
            <v>32738</v>
          </cell>
          <cell r="CC9">
            <v>28859</v>
          </cell>
          <cell r="CD9">
            <v>29340</v>
          </cell>
          <cell r="CE9">
            <v>30628</v>
          </cell>
          <cell r="CF9">
            <v>35636</v>
          </cell>
          <cell r="CG9">
            <v>33518</v>
          </cell>
          <cell r="CH9">
            <v>33523</v>
          </cell>
          <cell r="CI9">
            <v>33181</v>
          </cell>
        </row>
        <row r="10">
          <cell r="A10" t="str">
            <v>Apply</v>
          </cell>
          <cell r="BU10">
            <v>37875</v>
          </cell>
          <cell r="BV10">
            <v>39295</v>
          </cell>
          <cell r="BW10">
            <v>30308</v>
          </cell>
          <cell r="BX10">
            <v>28972</v>
          </cell>
          <cell r="BY10">
            <v>32872</v>
          </cell>
          <cell r="BZ10">
            <v>35804</v>
          </cell>
          <cell r="CA10">
            <v>35962</v>
          </cell>
          <cell r="CB10">
            <v>37865</v>
          </cell>
          <cell r="CC10">
            <v>34777</v>
          </cell>
          <cell r="CD10">
            <v>33083</v>
          </cell>
          <cell r="CE10">
            <v>34684</v>
          </cell>
          <cell r="CF10">
            <v>38952</v>
          </cell>
          <cell r="CG10">
            <v>38563</v>
          </cell>
          <cell r="CH10">
            <v>38289</v>
          </cell>
          <cell r="CI10">
            <v>43247</v>
          </cell>
        </row>
        <row r="11">
          <cell r="A11" t="str">
            <v>Benefits By State</v>
          </cell>
          <cell r="BV11">
            <v>3338</v>
          </cell>
          <cell r="BW11">
            <v>3124</v>
          </cell>
          <cell r="BX11">
            <v>1848</v>
          </cell>
          <cell r="BY11">
            <v>1723</v>
          </cell>
          <cell r="BZ11">
            <v>1834</v>
          </cell>
          <cell r="CA11">
            <v>1757</v>
          </cell>
          <cell r="CB11">
            <v>1952</v>
          </cell>
          <cell r="CC11">
            <v>1800</v>
          </cell>
          <cell r="CD11">
            <v>2565</v>
          </cell>
          <cell r="CE11">
            <v>2826</v>
          </cell>
          <cell r="CF11">
            <v>3265</v>
          </cell>
          <cell r="CG11">
            <v>3123</v>
          </cell>
          <cell r="CH11">
            <v>3010</v>
          </cell>
          <cell r="CI11">
            <v>3053</v>
          </cell>
        </row>
        <row r="12">
          <cell r="A12" t="str">
            <v>Update Contact Info</v>
          </cell>
          <cell r="BU12">
            <v>8928</v>
          </cell>
          <cell r="BV12">
            <v>9137</v>
          </cell>
          <cell r="BW12">
            <v>8804</v>
          </cell>
          <cell r="BX12">
            <v>9855</v>
          </cell>
          <cell r="BY12">
            <v>8709</v>
          </cell>
          <cell r="BZ12">
            <v>7924</v>
          </cell>
          <cell r="CA12">
            <v>7819</v>
          </cell>
          <cell r="CB12">
            <v>8527</v>
          </cell>
          <cell r="CC12">
            <v>7902</v>
          </cell>
          <cell r="CD12">
            <v>7633</v>
          </cell>
          <cell r="CE12">
            <v>8500</v>
          </cell>
          <cell r="CF12">
            <v>9104</v>
          </cell>
          <cell r="CG12">
            <v>11009</v>
          </cell>
          <cell r="CH12">
            <v>9440</v>
          </cell>
          <cell r="CI12">
            <v>9148</v>
          </cell>
        </row>
        <row r="13">
          <cell r="A13" t="str">
            <v>Request OMPF</v>
          </cell>
          <cell r="BU13">
            <v>7278</v>
          </cell>
          <cell r="BV13">
            <v>8452</v>
          </cell>
          <cell r="BW13">
            <v>7587</v>
          </cell>
          <cell r="BX13">
            <v>8963</v>
          </cell>
          <cell r="BY13">
            <v>7701</v>
          </cell>
          <cell r="BZ13">
            <v>6800</v>
          </cell>
          <cell r="CA13">
            <v>6731</v>
          </cell>
          <cell r="CB13">
            <v>7527</v>
          </cell>
          <cell r="CC13">
            <v>6824</v>
          </cell>
          <cell r="CD13">
            <v>7151</v>
          </cell>
          <cell r="CE13">
            <v>8340</v>
          </cell>
          <cell r="CF13">
            <v>9835</v>
          </cell>
          <cell r="CG13">
            <v>9505</v>
          </cell>
          <cell r="CH13">
            <v>9336</v>
          </cell>
          <cell r="CI13">
            <v>9010</v>
          </cell>
        </row>
        <row r="14">
          <cell r="A14" t="str">
            <v>Health Eligibility</v>
          </cell>
          <cell r="B14">
            <v>734</v>
          </cell>
          <cell r="C14">
            <v>741</v>
          </cell>
          <cell r="D14">
            <v>609</v>
          </cell>
          <cell r="E14">
            <v>636</v>
          </cell>
          <cell r="F14">
            <v>686</v>
          </cell>
          <cell r="G14">
            <v>655</v>
          </cell>
          <cell r="H14">
            <v>685</v>
          </cell>
          <cell r="I14">
            <v>590</v>
          </cell>
          <cell r="J14">
            <v>332</v>
          </cell>
          <cell r="K14">
            <v>974</v>
          </cell>
          <cell r="L14">
            <v>900</v>
          </cell>
          <cell r="M14">
            <v>1021</v>
          </cell>
          <cell r="N14">
            <v>839</v>
          </cell>
          <cell r="O14">
            <v>1149</v>
          </cell>
          <cell r="P14">
            <v>1402</v>
          </cell>
          <cell r="Q14">
            <v>1438</v>
          </cell>
          <cell r="R14">
            <v>1327</v>
          </cell>
          <cell r="S14">
            <v>1448</v>
          </cell>
          <cell r="T14">
            <v>2338</v>
          </cell>
          <cell r="U14">
            <v>2323</v>
          </cell>
          <cell r="V14">
            <v>2200</v>
          </cell>
          <cell r="W14">
            <v>2501</v>
          </cell>
          <cell r="X14">
            <v>2692</v>
          </cell>
          <cell r="Y14">
            <v>2861</v>
          </cell>
          <cell r="Z14">
            <v>2601</v>
          </cell>
          <cell r="AA14">
            <v>2905</v>
          </cell>
          <cell r="AB14">
            <v>2245</v>
          </cell>
          <cell r="AC14">
            <v>2725</v>
          </cell>
          <cell r="AD14">
            <v>2619</v>
          </cell>
          <cell r="AE14">
            <v>2477</v>
          </cell>
          <cell r="AF14">
            <v>2685</v>
          </cell>
          <cell r="AG14">
            <v>2530</v>
          </cell>
          <cell r="AH14">
            <v>1488</v>
          </cell>
          <cell r="AI14">
            <v>1505</v>
          </cell>
          <cell r="AJ14">
            <v>1693</v>
          </cell>
          <cell r="AK14">
            <v>1678</v>
          </cell>
          <cell r="AL14">
            <v>1661</v>
          </cell>
          <cell r="AM14">
            <v>1748</v>
          </cell>
          <cell r="AN14">
            <v>1901</v>
          </cell>
          <cell r="AO14">
            <v>1952</v>
          </cell>
          <cell r="AP14">
            <v>1814</v>
          </cell>
          <cell r="AQ14">
            <v>2000</v>
          </cell>
          <cell r="AR14">
            <v>2059</v>
          </cell>
          <cell r="AS14">
            <v>2057</v>
          </cell>
          <cell r="AT14">
            <v>1092</v>
          </cell>
          <cell r="AU14">
            <v>2119</v>
          </cell>
          <cell r="AV14">
            <v>2206</v>
          </cell>
          <cell r="AW14">
            <v>1255</v>
          </cell>
          <cell r="AX14">
            <v>2367</v>
          </cell>
          <cell r="AY14">
            <v>2084</v>
          </cell>
          <cell r="AZ14">
            <v>2260</v>
          </cell>
          <cell r="BA14">
            <v>2209</v>
          </cell>
          <cell r="BB14">
            <v>1862</v>
          </cell>
          <cell r="BC14">
            <v>3419</v>
          </cell>
          <cell r="BD14">
            <v>2629</v>
          </cell>
          <cell r="BE14">
            <v>2742</v>
          </cell>
          <cell r="BF14">
            <v>2384</v>
          </cell>
          <cell r="BG14">
            <v>2255</v>
          </cell>
          <cell r="BH14">
            <v>2421</v>
          </cell>
          <cell r="BI14">
            <v>2788</v>
          </cell>
          <cell r="BJ14">
            <v>1471</v>
          </cell>
          <cell r="BK14">
            <v>2349</v>
          </cell>
          <cell r="BL14">
            <v>2196</v>
          </cell>
          <cell r="BM14">
            <v>2948</v>
          </cell>
          <cell r="BN14">
            <v>2591</v>
          </cell>
          <cell r="BO14">
            <v>2712</v>
          </cell>
          <cell r="BU14">
            <v>2673</v>
          </cell>
          <cell r="BV14">
            <v>3269</v>
          </cell>
          <cell r="BW14">
            <v>3035</v>
          </cell>
          <cell r="BX14">
            <v>3214</v>
          </cell>
          <cell r="BY14">
            <v>2850</v>
          </cell>
          <cell r="BZ14">
            <v>2600</v>
          </cell>
          <cell r="CA14">
            <v>2627</v>
          </cell>
          <cell r="CB14">
            <v>2697</v>
          </cell>
          <cell r="CC14">
            <v>2426</v>
          </cell>
          <cell r="CD14">
            <v>2532</v>
          </cell>
          <cell r="CE14">
            <v>2671</v>
          </cell>
          <cell r="CF14">
            <v>3264</v>
          </cell>
          <cell r="CG14">
            <v>3037</v>
          </cell>
          <cell r="CH14">
            <v>2803</v>
          </cell>
          <cell r="CI14">
            <v>2924</v>
          </cell>
        </row>
        <row r="15">
          <cell r="A15" t="str">
            <v>Letter Generator</v>
          </cell>
          <cell r="BT15">
            <v>19023</v>
          </cell>
          <cell r="BU15">
            <v>19689</v>
          </cell>
          <cell r="BV15">
            <v>23854</v>
          </cell>
          <cell r="BW15">
            <v>22081</v>
          </cell>
          <cell r="BX15">
            <v>25206</v>
          </cell>
          <cell r="BY15">
            <v>23585</v>
          </cell>
          <cell r="BZ15">
            <v>23332</v>
          </cell>
          <cell r="CA15">
            <v>24554</v>
          </cell>
          <cell r="CB15">
            <v>26045</v>
          </cell>
          <cell r="CC15">
            <v>24001</v>
          </cell>
          <cell r="CD15">
            <v>24695</v>
          </cell>
          <cell r="CE15">
            <v>27391</v>
          </cell>
          <cell r="CF15">
            <v>30639</v>
          </cell>
          <cell r="CG15">
            <v>30943</v>
          </cell>
          <cell r="CH15">
            <v>29429</v>
          </cell>
          <cell r="CI15">
            <v>29053</v>
          </cell>
        </row>
        <row r="16">
          <cell r="A16" t="str">
            <v>VONAPP</v>
          </cell>
          <cell r="BV16">
            <v>126604</v>
          </cell>
          <cell r="BW16">
            <v>119963</v>
          </cell>
          <cell r="BX16">
            <v>133749</v>
          </cell>
          <cell r="BY16">
            <v>124781</v>
          </cell>
          <cell r="BZ16">
            <v>111602</v>
          </cell>
          <cell r="CA16">
            <v>110432</v>
          </cell>
          <cell r="CB16">
            <v>117666</v>
          </cell>
          <cell r="CC16">
            <v>118100</v>
          </cell>
          <cell r="CD16">
            <v>124949</v>
          </cell>
          <cell r="CE16">
            <v>130279</v>
          </cell>
          <cell r="CF16">
            <v>137135</v>
          </cell>
          <cell r="CG16">
            <v>138991</v>
          </cell>
          <cell r="CH16">
            <v>140253</v>
          </cell>
          <cell r="CI16">
            <v>181972</v>
          </cell>
        </row>
        <row r="17">
          <cell r="A17" t="str">
            <v>Ch. 33 Enrollment</v>
          </cell>
          <cell r="BT17">
            <v>29101</v>
          </cell>
          <cell r="BU17">
            <v>27570</v>
          </cell>
          <cell r="BV17">
            <v>30799</v>
          </cell>
          <cell r="BW17">
            <v>28555</v>
          </cell>
          <cell r="BX17">
            <v>30148</v>
          </cell>
          <cell r="BY17">
            <v>26730</v>
          </cell>
          <cell r="BZ17">
            <v>24451</v>
          </cell>
          <cell r="CA17">
            <v>22987</v>
          </cell>
          <cell r="CB17">
            <v>27215</v>
          </cell>
          <cell r="CC17">
            <v>22667</v>
          </cell>
          <cell r="CD17">
            <v>25033</v>
          </cell>
          <cell r="CE17">
            <v>24518</v>
          </cell>
          <cell r="CF17">
            <v>28793</v>
          </cell>
          <cell r="CG17">
            <v>29737</v>
          </cell>
          <cell r="CH17">
            <v>29429</v>
          </cell>
          <cell r="CI17">
            <v>29906</v>
          </cell>
        </row>
      </sheetData>
      <sheetData sheetId="1" refreshError="1"/>
      <sheetData sheetId="2" refreshError="1"/>
      <sheetData sheetId="3">
        <row r="4">
          <cell r="O4">
            <v>42370</v>
          </cell>
          <cell r="P4">
            <v>42377</v>
          </cell>
          <cell r="Q4">
            <v>42384</v>
          </cell>
          <cell r="R4">
            <v>42391</v>
          </cell>
          <cell r="S4">
            <v>42398</v>
          </cell>
          <cell r="T4">
            <v>42405</v>
          </cell>
          <cell r="U4">
            <v>42412</v>
          </cell>
          <cell r="V4">
            <v>42419</v>
          </cell>
          <cell r="W4">
            <v>42426</v>
          </cell>
          <cell r="X4">
            <v>42433</v>
          </cell>
          <cell r="Y4">
            <v>42440</v>
          </cell>
          <cell r="Z4">
            <v>42447</v>
          </cell>
          <cell r="AA4">
            <v>42454</v>
          </cell>
        </row>
        <row r="5">
          <cell r="A5" t="str">
            <v>NCC Calls*</v>
          </cell>
          <cell r="O5">
            <v>69539</v>
          </cell>
          <cell r="P5">
            <v>85543</v>
          </cell>
          <cell r="Q5">
            <v>90686</v>
          </cell>
          <cell r="R5">
            <v>70751</v>
          </cell>
          <cell r="S5">
            <v>87005</v>
          </cell>
          <cell r="T5">
            <v>90559</v>
          </cell>
          <cell r="U5">
            <v>85298</v>
          </cell>
          <cell r="V5">
            <v>71879</v>
          </cell>
          <cell r="W5">
            <v>92434</v>
          </cell>
          <cell r="X5">
            <v>94843</v>
          </cell>
          <cell r="Y5">
            <v>92116</v>
          </cell>
          <cell r="Z5">
            <v>89462</v>
          </cell>
          <cell r="AA5">
            <v>91466</v>
          </cell>
        </row>
        <row r="6">
          <cell r="A6" t="str">
            <v>eBenefits Visits</v>
          </cell>
          <cell r="O6">
            <v>5201035</v>
          </cell>
          <cell r="P6">
            <v>6484141</v>
          </cell>
          <cell r="Q6">
            <v>1127579</v>
          </cell>
          <cell r="R6">
            <v>1054529</v>
          </cell>
          <cell r="S6">
            <v>1263748</v>
          </cell>
          <cell r="T6">
            <v>1157488</v>
          </cell>
          <cell r="U6">
            <v>1046013</v>
          </cell>
          <cell r="V6">
            <v>959866</v>
          </cell>
          <cell r="W6">
            <v>1107805</v>
          </cell>
          <cell r="X6">
            <v>1144999</v>
          </cell>
          <cell r="Y6">
            <v>1019988</v>
          </cell>
          <cell r="Z6">
            <v>987466</v>
          </cell>
          <cell r="AA6">
            <v>1083048</v>
          </cell>
        </row>
        <row r="7">
          <cell r="A7" t="str">
            <v>C&amp;P Claims Status</v>
          </cell>
          <cell r="O7">
            <v>218748</v>
          </cell>
          <cell r="P7">
            <v>308278</v>
          </cell>
          <cell r="Q7">
            <v>278165</v>
          </cell>
          <cell r="R7">
            <v>251718</v>
          </cell>
          <cell r="S7">
            <v>273457</v>
          </cell>
          <cell r="T7">
            <v>266163</v>
          </cell>
          <cell r="U7">
            <v>261161</v>
          </cell>
          <cell r="V7">
            <v>241766</v>
          </cell>
          <cell r="W7">
            <v>287935</v>
          </cell>
          <cell r="X7">
            <v>299732</v>
          </cell>
          <cell r="Y7">
            <v>290079</v>
          </cell>
          <cell r="Z7">
            <v>287675</v>
          </cell>
          <cell r="AA7">
            <v>287014</v>
          </cell>
        </row>
        <row r="8">
          <cell r="A8" t="str">
            <v>Payment History</v>
          </cell>
          <cell r="O8">
            <v>218381</v>
          </cell>
          <cell r="P8">
            <v>153986</v>
          </cell>
          <cell r="Q8">
            <v>130918</v>
          </cell>
          <cell r="R8">
            <v>130879</v>
          </cell>
          <cell r="S8">
            <v>211029</v>
          </cell>
          <cell r="T8">
            <v>163584</v>
          </cell>
          <cell r="U8">
            <v>115273</v>
          </cell>
          <cell r="V8">
            <v>104470</v>
          </cell>
          <cell r="W8">
            <v>145586</v>
          </cell>
          <cell r="X8">
            <v>172868</v>
          </cell>
          <cell r="Y8">
            <v>98895</v>
          </cell>
          <cell r="Z8">
            <v>96253</v>
          </cell>
          <cell r="AA8">
            <v>108272</v>
          </cell>
        </row>
        <row r="10">
          <cell r="A10" t="str">
            <v>Apply</v>
          </cell>
          <cell r="O10">
            <v>67481</v>
          </cell>
          <cell r="P10">
            <v>73006</v>
          </cell>
          <cell r="Q10">
            <v>94944</v>
          </cell>
          <cell r="R10">
            <v>82408</v>
          </cell>
          <cell r="S10">
            <v>92673</v>
          </cell>
          <cell r="T10">
            <v>89111</v>
          </cell>
          <cell r="U10">
            <v>82241</v>
          </cell>
          <cell r="V10">
            <v>73255</v>
          </cell>
          <cell r="W10">
            <v>82127</v>
          </cell>
          <cell r="X10">
            <v>86802</v>
          </cell>
          <cell r="Y10">
            <v>80970</v>
          </cell>
          <cell r="Z10">
            <v>78658</v>
          </cell>
          <cell r="AA10">
            <v>75936</v>
          </cell>
        </row>
        <row r="11">
          <cell r="A11" t="str">
            <v>Benefits By State</v>
          </cell>
          <cell r="P11">
            <v>1633</v>
          </cell>
          <cell r="Q11">
            <v>1372</v>
          </cell>
          <cell r="R11">
            <v>1250</v>
          </cell>
          <cell r="S11">
            <v>1373</v>
          </cell>
          <cell r="T11">
            <v>1409</v>
          </cell>
          <cell r="U11">
            <v>1366</v>
          </cell>
          <cell r="V11">
            <v>1090</v>
          </cell>
          <cell r="W11">
            <v>1355</v>
          </cell>
          <cell r="X11">
            <v>1404</v>
          </cell>
          <cell r="Y11">
            <v>1418</v>
          </cell>
          <cell r="Z11">
            <v>1283</v>
          </cell>
          <cell r="AA11">
            <v>1167</v>
          </cell>
        </row>
        <row r="12">
          <cell r="A12" t="str">
            <v>Update Contact Info</v>
          </cell>
          <cell r="O12">
            <v>14063</v>
          </cell>
          <cell r="P12">
            <v>18244</v>
          </cell>
          <cell r="Q12">
            <v>15632</v>
          </cell>
          <cell r="R12">
            <v>14489</v>
          </cell>
          <cell r="S12">
            <v>16897</v>
          </cell>
          <cell r="T12">
            <v>17353</v>
          </cell>
          <cell r="U12">
            <v>14006</v>
          </cell>
          <cell r="V12">
            <v>12327</v>
          </cell>
          <cell r="W12">
            <v>14238</v>
          </cell>
          <cell r="X12">
            <v>17491</v>
          </cell>
          <cell r="Y12">
            <v>13274</v>
          </cell>
          <cell r="Z12">
            <v>12587</v>
          </cell>
          <cell r="AA12">
            <v>11833</v>
          </cell>
        </row>
        <row r="13">
          <cell r="A13" t="str">
            <v>Request OMPF</v>
          </cell>
          <cell r="O13" t="str">
            <v>N/A</v>
          </cell>
          <cell r="P13" t="str">
            <v>N/A</v>
          </cell>
          <cell r="Q13" t="str">
            <v>N/A</v>
          </cell>
          <cell r="R13" t="str">
            <v>N/A</v>
          </cell>
          <cell r="S13" t="str">
            <v>N/A</v>
          </cell>
          <cell r="T13" t="str">
            <v>N/A</v>
          </cell>
          <cell r="U13" t="str">
            <v>N/A</v>
          </cell>
          <cell r="V13" t="str">
            <v>N/A</v>
          </cell>
          <cell r="W13" t="str">
            <v>N/A</v>
          </cell>
          <cell r="X13" t="str">
            <v>N/A</v>
          </cell>
          <cell r="Y13" t="str">
            <v>N/A</v>
          </cell>
          <cell r="Z13" t="str">
            <v>N/A</v>
          </cell>
          <cell r="AA13" t="str">
            <v>N/A</v>
          </cell>
        </row>
        <row r="15">
          <cell r="A15" t="str">
            <v>Letter Generator</v>
          </cell>
          <cell r="O15">
            <v>39408</v>
          </cell>
          <cell r="P15">
            <v>62619</v>
          </cell>
          <cell r="Q15">
            <v>50662</v>
          </cell>
          <cell r="R15">
            <v>46705</v>
          </cell>
          <cell r="S15">
            <v>50241</v>
          </cell>
          <cell r="T15">
            <v>48969</v>
          </cell>
          <cell r="U15">
            <v>45533</v>
          </cell>
          <cell r="V15">
            <v>42603</v>
          </cell>
          <cell r="W15">
            <v>48939</v>
          </cell>
          <cell r="X15">
            <v>48767</v>
          </cell>
          <cell r="Y15">
            <v>45867</v>
          </cell>
          <cell r="Z15">
            <v>46422</v>
          </cell>
          <cell r="AA15">
            <v>45661</v>
          </cell>
        </row>
        <row r="16">
          <cell r="A16" t="str">
            <v>VONAPP</v>
          </cell>
          <cell r="O16">
            <v>28790</v>
          </cell>
          <cell r="P16">
            <v>54571</v>
          </cell>
          <cell r="Q16">
            <v>50883</v>
          </cell>
          <cell r="R16">
            <v>39596</v>
          </cell>
          <cell r="S16">
            <v>41604</v>
          </cell>
          <cell r="T16">
            <v>40441</v>
          </cell>
          <cell r="U16">
            <v>37327</v>
          </cell>
          <cell r="V16">
            <v>33588</v>
          </cell>
          <cell r="W16">
            <v>36713</v>
          </cell>
          <cell r="X16">
            <v>38355</v>
          </cell>
          <cell r="Y16">
            <v>37527</v>
          </cell>
          <cell r="Z16">
            <v>35263</v>
          </cell>
          <cell r="AA16">
            <v>34573</v>
          </cell>
        </row>
        <row r="17">
          <cell r="A17" t="str">
            <v>Ch. 33 Enrollment</v>
          </cell>
          <cell r="O17">
            <v>26844</v>
          </cell>
          <cell r="P17">
            <v>45320</v>
          </cell>
          <cell r="Q17">
            <v>42697</v>
          </cell>
          <cell r="R17">
            <v>36987</v>
          </cell>
          <cell r="S17">
            <v>40620</v>
          </cell>
          <cell r="T17">
            <v>37723</v>
          </cell>
          <cell r="U17">
            <v>29443</v>
          </cell>
          <cell r="V17">
            <v>25697</v>
          </cell>
          <cell r="W17">
            <v>28371</v>
          </cell>
          <cell r="X17">
            <v>29250</v>
          </cell>
          <cell r="Y17">
            <v>23928</v>
          </cell>
          <cell r="Z17">
            <v>22911</v>
          </cell>
          <cell r="AA17">
            <v>25310</v>
          </cell>
        </row>
        <row r="18">
          <cell r="A18" t="str">
            <v>VDC</v>
          </cell>
          <cell r="O18">
            <v>13833</v>
          </cell>
          <cell r="P18">
            <v>18150</v>
          </cell>
          <cell r="Q18">
            <v>17131</v>
          </cell>
          <cell r="R18">
            <v>16059</v>
          </cell>
          <cell r="S18">
            <v>16260</v>
          </cell>
          <cell r="T18">
            <v>17117</v>
          </cell>
          <cell r="U18">
            <v>15533</v>
          </cell>
          <cell r="V18">
            <v>14652</v>
          </cell>
          <cell r="W18">
            <v>14704</v>
          </cell>
          <cell r="X18">
            <v>15875</v>
          </cell>
          <cell r="Y18">
            <v>15055</v>
          </cell>
          <cell r="Z18">
            <v>14502</v>
          </cell>
          <cell r="AA18">
            <v>10198</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 Id="rId2" Type="http://schemas.microsoft.com/office/2006/relationships/xlExternalLinkPath/xlPathMissing" Target="Monthly_Reports_Data_112011v2%5b1%5d.xls" TargetMode="External"/></Relationships>
</file>

<file path=xl/pivotCache/pivotCacheDefinition1.xml><?xml version="1.0" encoding="utf-8"?>
<pivotCacheDefinition xmlns="http://schemas.openxmlformats.org/spreadsheetml/2006/main" xmlns:r="http://schemas.openxmlformats.org/officeDocument/2006/relationships" r:id="rId1" refreshedBy="Department of Veterans Affairs" refreshedDate="42460.548276504633" createdVersion="4" refreshedVersion="4" minRefreshableVersion="3" recordCount="69">
  <cacheSource type="worksheet">
    <worksheetSource ref="A1:AF80" sheet="Feature Landscape"/>
  </cacheSource>
  <cacheFields count="30">
    <cacheField name="Feature Title" numFmtId="0">
      <sharedItems count="62">
        <s v="Request a Representative"/>
        <s v="Manage Representation Requests"/>
        <s v="Release of Medical Information"/>
        <s v="Apply for Disability Compensation"/>
        <s v="Apply for or Modify Dependency Benefits"/>
        <s v="Vocational Rehabilitation Benefits &amp; Counseling"/>
        <s v="Download VA Letters"/>
        <s v="Benefits Explorer"/>
        <s v="Profile- Historical Appeals"/>
        <s v="Profile- Work In Progress- Open Appeals"/>
        <s v="Profile - Historical Claims"/>
        <s v="Profile - Work In Process- Claim Status"/>
        <s v="Profile - Work in Process- Claim Status - Upload Supporting Evidence"/>
        <s v="Profile - Personal Info"/>
        <s v="Recommend DBQs"/>
        <s v="Check Post 9/11 GI Bill Enrollment Status"/>
        <s v="MyPay"/>
        <s v="Update Personal Contact Information for DEERS and VA Outreach"/>
        <s v="eBenefits FAQs on IRIS"/>
        <s v="Employment Center"/>
        <s v="eLearning Center"/>
        <s v="Exam Appointments Calendar"/>
        <s v="Federal Individual Recovery Plan (FIRP) "/>
        <s v="VA Home Loan Certificate of Eligibility"/>
        <s v="Profile - Work in Progress - Intent to File"/>
        <s v="Move!11 Health Questionnaire"/>
        <s v="View VA Appointments using MyHealtheVet"/>
        <s v="Download Your Own VA Medical Records using VA Blue Button"/>
        <s v="Securely Communicate with Your VA Health Care Team Using My HealtheVet"/>
        <s v="Manage Prescription Refills using MyHealtheVet"/>
        <s v="National Resource Directory (NRD)"/>
        <s v="Open Burn Pit Registry"/>
        <s v="Order Hearing Aid Batteries and Prosthetic Socks"/>
        <s v="Profile - Payment History"/>
        <s v="Update Direct Deposit and Contact Information for Compensation &amp; Pension and Post 9/11 GI Bill Education"/>
        <s v="Profile - Dependents"/>
        <s v="Profile - My Documents"/>
        <s v="Profile - Rated Disabilities"/>
        <s v="Profile - Representative"/>
        <s v="Profile - Ancillary Benefits"/>
        <s v="Profile - Work In Process - Open Applications"/>
        <s v="Profile- Dashboard"/>
        <s v="Purchased Care Health Benefits Forms"/>
        <s v="Request Official Military Personnel File"/>
        <s v="Request State Benefits Information"/>
        <s v="Find or View Your Representative for VA Claims"/>
        <s v="Search for Veteran (SEP)"/>
        <s v="Service Member Out-of-Pocket Medical Expenses (CCD)"/>
        <s v="Service Member Civilian Employment Information"/>
        <s v="Service Member Personnel Information"/>
        <s v="Servicemembers' Group Life Insurance (SGLI)"/>
        <s v="Specially Adapted Housing Grant Application and Claim Status"/>
        <s v="Transfer Post-9/11 GI Bill Education Status"/>
        <s v="DoD TRICARE Health Insurance"/>
        <s v="VA GPS Training (Transition GPS)"/>
        <s v="Manage My Authorizations and Preferences (VLER)"/>
        <s v="Online Applications Dashboard"/>
        <s v="Veterans' Group Life Insurance"/>
        <s v="Apply for VA Health Care Using Form 10-10EZ"/>
        <s v="Apply for Veterans Benefits via VONAPP"/>
        <s v="VSO Work Queue (SEP)"/>
        <s v="Montgomery GI Bill Verify Enrollment (WAVE)"/>
      </sharedItems>
    </cacheField>
    <cacheField name="VA or DoD Product" numFmtId="0">
      <sharedItems containsBlank="1" count="44">
        <s v="Connection to Representative Support"/>
        <s v="Connection to Veterans, Servicemembers, and Family Members"/>
        <s v="VA Disability Compensation"/>
        <s v="VA Disability Compensation and Pension"/>
        <s v="Vocational Rehabilitation and Employment"/>
        <s v="Creditable Healthcare Coverage Verification"/>
        <s v="Almost all VA Benefits"/>
        <s v="All VBA, VHA, and NCA benefits "/>
        <s v="Disability Compensation, Pension, Survivor's Pension and DIC"/>
        <s v="N/A"/>
        <s v="Education Benefits"/>
        <s v="DoD Benefits"/>
        <s v="DoD Products, VA Access via DS Logon"/>
        <s v="VBA benefits"/>
        <s v="Employment Resources, and Connection to Employers"/>
        <s v="Healthcare"/>
        <s v="VHA Healthcare"/>
        <s v="Home Loans"/>
        <s v="Disability Compensation, Pension, Survivor's Pension, DIC"/>
        <s v="Benefits Verification"/>
        <s v="Employment Resources"/>
        <s v="Commissary Benefits"/>
        <s v="Service Verification"/>
        <m/>
        <s v="VHA Healthcare- Prescriptions"/>
        <s v="Multiple VA, DoD, and third party benefits"/>
        <s v="Public Health"/>
        <s v="Rehabilitation and Prosthetics Services"/>
        <s v="Disability Compensation"/>
        <s v="Compensation Benefits, Pension Benefits, Survivor's Benefits, DIC, VR&amp;E Benefits, Connection to Representative Support"/>
        <s v="Disability Compensation and Pension"/>
        <s v="Disability Compensation, Pension, Education, VR&amp;E"/>
        <s v="Disability Compensation, Connection to Representative Support"/>
        <s v="All Benefits"/>
        <s v="Additional VHA Healthcare such as CHAMPVA Benefits, Meds by Mail, Spina Bifida Claim, Foreign Medical Program Registration"/>
        <s v="Verification"/>
        <s v="General Information"/>
        <s v="Third Party Work Management Tools"/>
        <s v="Health Insurance"/>
        <s v="Life Insurance"/>
        <s v="Housing Compensation Based on Service-Connected Disability Rating"/>
        <s v="DoD Health Insurance"/>
        <s v="All "/>
        <s v="Education Benefits, Burial Benefits, Pension"/>
      </sharedItems>
    </cacheField>
    <cacheField name="Enabling Capability" numFmtId="0">
      <sharedItems containsBlank="1"/>
    </cacheField>
    <cacheField name="Feature Nickname" numFmtId="0">
      <sharedItems count="67">
        <s v="21-22/21-22a"/>
        <s v="Manage Representation Requests"/>
        <s v="21-4142"/>
        <s v="21-526EZ"/>
        <s v="21-686c/674"/>
        <s v="28-1900 and 28-8832"/>
        <s v="Access Creditable Coverage Letters (two letters)"/>
        <s v="Benefits Explorer"/>
        <s v="BVA Appeals"/>
        <s v="C&amp;P Claim Status"/>
        <s v="C&amp;P Claim Status - Doc Upload"/>
        <s v="eBenefits Profile"/>
        <s v="C&amp;P Claim Status - Recommend DBQs_x000a_526 - Recommend DBQs"/>
        <s v="Chapter 33 Enrollment"/>
        <s v="DFAS MyPay"/>
        <s v="DoD Personal Contact Info"/>
        <s v="eBenefits FAQs on IRIS"/>
        <s v="EC"/>
        <s v="eLearning/MHS Learn"/>
        <s v="Exam Appointment Calendar"/>
        <s v="FIRP"/>
        <s v="Home Loan COE"/>
        <s v="Intent to File"/>
        <s v="Letter Generator - Benefits Verification Letter"/>
        <s v="Letter Generator - Civil Service Preference Letter"/>
        <s v="Letter Generator - Commissary Letter"/>
        <s v="Letter Generator - NonVet Dependent Benefit Summary Letter"/>
        <s v="Letter Generator - Proof of Service Letter"/>
        <s v="Letter Generator - Service Verification Letter"/>
        <s v="Letter Generator - Vet Benefit Summary Letter"/>
        <s v="Move!11"/>
        <s v="MyHealtheVet - Appointments"/>
        <s v="MyHealtheVet - Bluebutton"/>
        <s v="MyHealtheVet - Communicate with Team"/>
        <s v="MyHealtheVet - Prescription Refill"/>
        <s v="NRD"/>
        <s v="Open Burn Pit Registry"/>
        <s v="Order Medical Equipment (ROES)"/>
        <s v="Payment History"/>
        <s v="PCIU"/>
        <s v="Profile - Dependents"/>
        <s v="Profile - My Documents"/>
        <s v="Profile - Rated Disabilities"/>
        <s v="Profile - Representative"/>
        <s v="Profile - Supplemental Benefits"/>
        <s v="Profile - Work In Process - Open Applications"/>
        <s v="Profile- Dashboard"/>
        <s v="Purchased Care Health Benefits Forms"/>
        <s v="Request DoD Documents"/>
        <s v="Request State Benefits"/>
        <s v="Search for Representative"/>
        <s v="Search for Veteran"/>
        <s v="Service Member CCD"/>
        <s v="Service Member Civilian Info"/>
        <s v="Service Member Personnel Info"/>
        <s v="SGLI"/>
        <s v="Specially Adapted Housing"/>
        <s v="Transfer Chapter 33 Entitlement (TEB)"/>
        <s v="TRICARE"/>
        <s v="VA GPS Training"/>
        <s v="VAPii"/>
        <s v="VDC dashboard"/>
        <s v="VGLI"/>
        <s v="VOA (or 10-10EZ)"/>
        <s v="VONAPP"/>
        <s v="VSO Work Queue"/>
        <s v="WAVE"/>
      </sharedItems>
    </cacheField>
    <cacheField name="Description" numFmtId="0">
      <sharedItems longText="1"/>
    </cacheField>
    <cacheField name="Universal Capabilities / Architectural Components" numFmtId="0">
      <sharedItems/>
    </cacheField>
    <cacheField name="Users Supported" numFmtId="0">
      <sharedItems/>
    </cacheField>
    <cacheField name="Business Line" numFmtId="0">
      <sharedItems/>
    </cacheField>
    <cacheField name="Feature Type" numFmtId="0">
      <sharedItems/>
    </cacheField>
    <cacheField name="Platform" numFmtId="0">
      <sharedItems/>
    </cacheField>
    <cacheField name="Min Access Level" numFmtId="0">
      <sharedItems/>
    </cacheField>
    <cacheField name="TYPE OF INTG" numFmtId="0">
      <sharedItems/>
    </cacheField>
    <cacheField name="Application Developer" numFmtId="0">
      <sharedItems containsBlank="1" count="18">
        <s v="EVSS"/>
        <s v="DFAS"/>
        <s v="DMDC"/>
        <s v="BAS"/>
        <s v="VA Digital Service"/>
        <s v="MHS Learn"/>
        <s v="LGY"/>
        <s v="Move! Develompent Team"/>
        <s v="MHV"/>
        <s v="AHOBP"/>
        <s v="ROES"/>
        <s v="DPRIS"/>
        <s v="TRICARE"/>
        <m/>
        <s v="VAPii"/>
        <s v="VHA"/>
        <s v="VONAPP"/>
        <s v="WAVE"/>
      </sharedItems>
    </cacheField>
    <cacheField name="Partner / Service Provider" numFmtId="0">
      <sharedItems count="35">
        <s v="BGS, MVI, OGC"/>
        <s v="BGS, VBMS"/>
        <s v="BGS"/>
        <s v="BGS, VIERS, VBMS, MVI"/>
        <s v="BGS, RBPS"/>
        <s v="BGS, MVI,_x000a_VIERS"/>
        <s v="EVSS, BVA"/>
        <s v="EVSS"/>
        <s v="Chapter 33, LTS, VAAFI"/>
        <s v="DFAS, VAAFI"/>
        <s v="DMDC, VAAFI"/>
        <s v="BAS"/>
        <s v="VA Digital Service, VAAFI"/>
        <s v="MHS Learn"/>
        <s v="Pathways"/>
        <s v="FIRP, EVSS"/>
        <s v="LGY, VAAFI"/>
        <s v="BGS, MVI"/>
        <s v="Move! Develompent Team"/>
        <s v="MHV, VAAFI"/>
        <s v="AHOBP, VAAFI"/>
        <s v="ROES, VAAFI"/>
        <s v="VBMS"/>
        <s v="EVSS, BGS"/>
        <s v="N/A"/>
        <s v="DPRIS, VAAFI"/>
        <s v="BGS, OGC"/>
        <s v="BGS, OGC, MVI, VADIR"/>
        <s v="TRICARE, VAAFI"/>
        <s v="SGLI, VAAFI"/>
        <s v="VAAFI"/>
        <s v="VGLI, VAAFI"/>
        <s v="VHA"/>
        <s v="VONAPP, VAAFI"/>
        <s v="WAVE, VAAFI"/>
      </sharedItems>
    </cacheField>
    <cacheField name="System of Record" numFmtId="0">
      <sharedItems/>
    </cacheField>
    <cacheField name="Document Repository" numFmtId="0">
      <sharedItems/>
    </cacheField>
    <cacheField name="Sensitive Data" numFmtId="0">
      <sharedItems/>
    </cacheField>
    <cacheField name="Other Data" numFmtId="0">
      <sharedItems containsBlank="1"/>
    </cacheField>
    <cacheField name="Direct Path" numFmtId="0">
      <sharedItems containsBlank="1"/>
    </cacheField>
    <cacheField name="references (Service/Operation)" numFmtId="0">
      <sharedItems containsBlank="1" longText="1"/>
    </cacheField>
    <cacheField name="EVSS REST Endpoints Supporting Feature" numFmtId="0">
      <sharedItems containsBlank="1" longText="1"/>
    </cacheField>
    <cacheField name="Usage Metrics" numFmtId="0">
      <sharedItems count="43">
        <s v="29440 avg monthly visits"/>
        <s v="93,029 avg monthly visits"/>
        <s v="5119 avg monthly visits (re-validate this metric)"/>
        <s v="146047 avg monthly visits"/>
        <s v="232,377 avg monthly visits"/>
        <s v="18,035 avg letters generated per month_x000a_263,198 avg monthly visits to Letter Generator_x000a_"/>
        <s v="14,747 avg monthly visits"/>
        <s v="37,079 avg monthly visits"/>
        <s v="130,079 avg monthly visits"/>
        <s v="318,748 avg monthly visits"/>
        <s v="1,426,010 avg monthly visits"/>
        <s v="N/A"/>
        <s v="140,047 avg monthly visits"/>
        <s v="10,556 avg monthly visits"/>
        <s v="100,812 avg monthly visits"/>
        <s v="7 avg monthly visits"/>
        <s v="66,103 avg monthly visits"/>
        <s v="96,608 avg letters generated per month_x000a_264,146 avg monthly visits to Letter Generator"/>
        <s v="25,307 avg letters generated per month_x000a_264,146 avg monthly visits to Letter Generator"/>
        <s v="6,197 avg letters generated per month_x000a_264,146 avg monthly visits to Letter Generator"/>
        <s v="72,675 avg letters generated per month (all users)_x000a_264,146 avg monthly visits to Letter Generator_x000a_"/>
        <s v="19,674 avg letters generated per month_x000a_264,146 avg monthly visits to Letter Generator_x000a_"/>
        <s v="20,720 avg letters generated per month_x000a_264,146 avg monthly visits to Letter Generator_x000a_"/>
        <s v="33,592 avg monthly visits"/>
        <s v="12,658 avg monthly visits"/>
        <s v="10,257 avg monthly visits"/>
        <s v="696,824 avg monthly visits"/>
        <s v="129,085 avg monthly visits"/>
        <s v="471,778 avg monthly visits"/>
        <s v="667,625 avg monthly visits"/>
        <s v="2,671,316 avg monthly visits"/>
        <s v="7,330 avg monthly visits"/>
        <s v="DPRIS has montly usage statistics. "/>
        <s v="6,913 avg monthly visits"/>
        <s v="13,055 avg monthly visits"/>
        <s v="0 avg monthly visits (is this metric correct?)"/>
        <s v="8,578 avg monthly visits"/>
        <s v="50,758 avg monthly visits"/>
        <s v="527,442 avg monthly visits"/>
        <s v="42,761 avg monthly visits"/>
        <s v="298,108 avg monthly visits"/>
        <s v="1,187 avg monthly visits"/>
        <s v="8,385 avg monthly visits"/>
      </sharedItems>
    </cacheField>
    <cacheField name="Notes" numFmtId="0">
      <sharedItems containsBlank="1" longText="1"/>
    </cacheField>
    <cacheField name="Candidate for Migration/Priority" numFmtId="0">
      <sharedItems containsBlank="1" count="27">
        <s v="Ripple 3"/>
        <m/>
        <s v=" Ripple 3"/>
        <s v="Ripple 1"/>
        <s v="Ripple 2"/>
        <s v="Duplicate by outside functionality, not necessary"/>
        <s v="RIPPLE 2 (10-14)"/>
        <s v="Yes because it is part of documentation needed for a claim, comes back to completeness of a fully developed claim to expedite processing"/>
        <s v="Ripple 1 *First Priority*"/>
        <s v="Duplicated functionality on myhealthevet , not to be migrated"/>
        <s v="Contact re-design team to understand inertia. They are in the process of rebuilding."/>
        <s v="Ripple 2 based on requirements for level 2 access"/>
        <s v="not migrating, we need to build consensus with BEC/JEC "/>
        <s v="Ripple 2 - dependent on the rest of the dependency process"/>
        <s v="Ripple 3 - Must have capability to uphold the digital claims process. We need to make a decision about the level of effort we are willing to put into it. *Have FROG team do a deep dive (look at combination w/Blue Button)"/>
        <s v="Ripple 1 - discussion should be initiated during the initial phase of IPT establishment"/>
        <s v="not a candidate for migration"/>
        <s v="Ripple 3+"/>
        <s v="Ripple 3 *likely candidate for no migration, we need to discern how this can be accessed (tricare website?)*"/>
        <s v="Ripple 3 - *likely candidate for no migration due to duplicative features*"/>
        <s v="vets.gov has to talk with LGY regarding this feature"/>
        <s v="Ripple 2 (@ best)"/>
        <s v="Not a candidate for migration, but still need to have this discussion as to how this page is utilized."/>
        <s v="already migrated"/>
        <s v="duplicative of VA.gov , not a candidate for migration."/>
        <s v="Ripple 3 + would have to be funded in order to make the extreme changes that it needs - tied to 526 (we need to know how vets.gov plans to incorporate 526)"/>
        <s v="education has to work with vets.gov to determine migration eligability"/>
      </sharedItems>
    </cacheField>
    <cacheField name="Current Research?" numFmtId="0">
      <sharedItems containsBlank="1"/>
    </cacheField>
    <cacheField name="Pain Points" numFmtId="0">
      <sharedItems containsBlank="1" count="32" longText="1">
        <s v="There are pain points where VSO is not able to come into the system through SEP . Data in BIRLS corp and DEERS have to match before the submission is allowed. OGC. Jurisdictions (allowing to search in a specific jurisdiction. Allowing to submit an org that does not have representation in SEP. Status. VSO wants to see status of claim. Still a manual work around in OGC to allow access for VSO acceptance of 21-22 and processing the claim without supervision"/>
        <m/>
        <s v="has to be united with the 526, difficult to convince that should be migrated with such low usage. Purely a paper process, does not have any systematic processing at this point. This is in the current state but we know that it can be so much more.  "/>
        <s v="1. MVI mismatch; 2. When veteran is getting a CAC, there is a registration delay (usually no more than 2 weeks) any DOD employee , contractor, active guard + reserve would experience this issue. 3. Experience of going through the application. 4. Workflow issue forcing people to go through extra forms, regardless of whether or not you claim it. "/>
        <s v="1. Follow rules based processing or it gets off-ramped. 2. Workflow and the way the questions are asked. 3. All services are expecting information from the veteran. 4. If there is no claim then cannot even access the 686.  "/>
        <s v="Email to mailboxes at RO's we are waiting for updated list from VR&amp;E have to keep doing that until case management system is  built an online."/>
        <s v="1. heading, name, suffix and gender must be correct in corporate database. 2.  "/>
        <s v="1. Difficult to discern what the status of the appeals. 2. Not attorneys agents and VSO's "/>
        <s v="1.Not all of the data is available in VACOLS. 2. User data weakness, they do not provide enough or accurate information."/>
        <s v="Minimal information provided, and no decision showed."/>
        <s v="Data issue, still relying on adjudication team"/>
        <s v="Veterans are not familiar with the feature and are not sure how to properly utilize it."/>
        <s v="Many physicians are not willing to fill out the DBQ"/>
        <s v="Limited paint point - not available at all times due to servers going down to do batch processing on the back end "/>
        <s v="Do not have a clear set of requirements for all set user types that should be able to access every letter. (27-33)"/>
        <s v="NRD has been vetted and is trusted by veterans. This is an extremely important resource for the veterans crisis line. If it does not migrate we will lose an important"/>
        <s v="Have had data mismatch issues"/>
        <s v="Data mismatches, possibility of fraud due to no centralized fraud detection. There is also no centralized contact information repository"/>
        <s v="Lack of records management plan. VBMS does not associate documents with a claim."/>
        <s v="1. Supplemental disabilities 2. Not all disabilities show up even when they are in corporate. 3. Having to backfill some of the ratings even though they are not in corporate so they have to go to RO to backfill. 4."/>
        <s v="No indicator for multiple POA's only displays one, potentially different POA's for appeals, only most recent POA is displayed. Acceptance of the POA request , must be able to be segmented through the system, must be considered through the enterprise. Potentially a policy change required to only accept a primary POA, multiple can be potentially  managed through paper. As more VSO's and attorneys get more known, could potentially cause exponential problems, OGC database"/>
        <s v="1. Not all ancillary benefits show up even when they are in corporate.2. SMC - special monthly compensation"/>
        <s v="Need to have a way to translate from VA speak to plain language that veterans can understand."/>
        <s v="Currently it displays information that might not be as useful to the veteran"/>
        <s v="No pain points"/>
        <s v="Need to search for EXACT spelling of the VSO, fundamentally this feature was built off the wrong requirements. "/>
        <s v="Records must be in VADIR for veteran's info to be pulled. 2. gaps in information due to duplicates, mismatches. "/>
        <s v="Occasionaly site goes down"/>
        <s v="Proper education, most do not know about the ability to transfer these benefits"/>
        <s v="Re-tool the training and rebrand to vets.gov"/>
        <s v="1. Clumsy, works on and off. 2. Form needs to be updated right now (want off-cycle release). 3. because we are using an old form we do not want to release the form publicly . 4. When they ask for updates from users, too many log on and it crashes the site"/>
        <s v="Some of the benefit forms do not have electronic versions"/>
      </sharedItems>
    </cacheField>
    <cacheField name="Opportunity" numFmtId="0">
      <sharedItems containsBlank="1" longText="1"/>
    </cacheField>
    <cacheField name="Complexity Usage" numFmtId="0">
      <sharedItems containsBlank="1" count="20">
        <s v="High Complexity/ Low Usage, "/>
        <m/>
        <s v="Low complexity/Low Usage?"/>
        <s v="High Complexity/High Usage"/>
        <s v="High Complexity / High Usage"/>
        <s v="High Complexity (due to account challenges) / High Usage "/>
        <s v="Medium Complexity/High Usage"/>
        <s v="low complexity / low usage"/>
        <s v="low complexity / high usage"/>
        <s v="High Complexity/ High Usage"/>
        <s v="High compexity/ high usage"/>
        <s v="Medium Complexity / High Usage"/>
        <s v="High Complexity / High Usage "/>
        <s v="low complexity low usage"/>
        <s v="low complexity/high usage"/>
        <s v="low complexity/ low usage"/>
        <s v="High Complexity/High Usage (statistically low usage, but potential user base will start to grow, feature is used 100% of the time by those who use it) Need a key to start the car"/>
        <s v="low complexity / "/>
        <s v="usage is low, but very specific group "/>
        <s v="low usage"/>
      </sharedItems>
    </cacheField>
    <cacheField name="Politically Sensative" numFmtId="0">
      <sharedItems containsBlank="1" count="21">
        <s v="Yes DOD"/>
        <m/>
        <s v="No"/>
        <s v="High sensativity VBA"/>
        <s v="High sensativity VA"/>
        <s v="no, internal vba sensativity"/>
        <s v="Yes, *ACA*"/>
        <s v="Highly Political - VA"/>
        <s v="no "/>
        <s v="Extremely Politically Sensative"/>
        <s v="Politically sensative "/>
        <s v="Yes, VA"/>
        <s v="yes, Internal VBA "/>
        <s v="Veterans really like this feature so removal would cause upheaval "/>
        <s v="taking care of the states."/>
        <s v="Yes"/>
        <s v="yes VSO issues"/>
        <s v="yes DOD,VBA "/>
        <s v="Yes, VSO's"/>
        <s v="High Political Sensitivity"/>
        <s v="EXTREME political sensitivity they will STOMP you "/>
      </sharedItems>
    </cacheField>
    <cacheField name="Group with Items" numFmtId="0">
      <sharedItems containsBlank="1" count="4">
        <s v="Search for representative, manage representative requests"/>
        <m/>
        <s v="21-526"/>
        <s v="education "/>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arrett Messina" refreshedDate="40549.442399652777" createdVersion="3" refreshedVersion="4" minRefreshableVersion="3" recordCount="42">
  <cacheSource type="worksheet">
    <worksheetSource ref="A1:K44" sheet="DS Logon Data (v2)" r:id="rId2"/>
  </cacheSource>
  <cacheFields count="11">
    <cacheField name="Branch of Service" numFmtId="0">
      <sharedItems count="8">
        <s v="Army"/>
        <s v="Navy"/>
        <s v="Air Force"/>
        <s v="Marines"/>
        <s v="Coast Guard"/>
        <s v="Other Uniformed Services"/>
        <s v="Total"/>
        <s v="Veteran"/>
      </sharedItems>
    </cacheField>
    <cacheField name="User Type" numFmtId="0">
      <sharedItems count="4">
        <s v="Service Member"/>
        <s v="Dependents"/>
        <s v="Retired"/>
        <s v="Veteran"/>
      </sharedItems>
    </cacheField>
    <cacheField name="Account Type" numFmtId="0">
      <sharedItems count="3">
        <s v="Basic"/>
        <s v="Premium"/>
        <s v="Total"/>
      </sharedItems>
    </cacheField>
    <cacheField name="User Count 6/11/2010" numFmtId="0">
      <sharedItems containsSemiMixedTypes="0" containsString="0" containsNumber="1" containsInteger="1" minValue="0" maxValue="51091"/>
    </cacheField>
    <cacheField name="User Count 6/30/2010" numFmtId="0">
      <sharedItems containsString="0" containsBlank="1" containsNumber="1" containsInteger="1" minValue="3" maxValue="51725"/>
    </cacheField>
    <cacheField name="User Count 7/25/2010" numFmtId="0">
      <sharedItems containsString="0" containsBlank="1" containsNumber="1" containsInteger="1" minValue="15" maxValue="53204"/>
    </cacheField>
    <cacheField name="User Count 8/25/2010" numFmtId="0">
      <sharedItems containsString="0" containsBlank="1" containsNumber="1" containsInteger="1" minValue="1" maxValue="55249"/>
    </cacheField>
    <cacheField name="User Count 10/1" numFmtId="0">
      <sharedItems containsSemiMixedTypes="0" containsString="0" containsNumber="1" containsInteger="1" minValue="0" maxValue="56596"/>
    </cacheField>
    <cacheField name="User Count 11/1" numFmtId="0">
      <sharedItems containsSemiMixedTypes="0" containsString="0" containsNumber="1" containsInteger="1" minValue="0" maxValue="56957"/>
    </cacheField>
    <cacheField name="User Count 12/1" numFmtId="0">
      <sharedItems containsSemiMixedTypes="0" containsString="0" containsNumber="1" containsInteger="1" minValue="0" maxValue="57709"/>
    </cacheField>
    <cacheField name="User Count 1/1" numFmtId="0">
      <sharedItems containsSemiMixedTypes="0" containsString="0" containsNumber="1" containsInteger="1" minValue="0" maxValue="6358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9">
  <r>
    <x v="0"/>
    <x v="0"/>
    <s v="Profile - Network, Manage Authorization"/>
    <x v="0"/>
    <s v="Users are able to complete and submit an electronic request (21-22) for VSO support granting the VSO power of attorney. If they select an attorney or agent representative they are instructed to print, sign, and mail in the 21-22a. "/>
    <s v="Email / SMTP_x000a_Message Center_x000a_PDF Generation_x000a_Account Activity History_x000a_Reporting_x000a_Service Orchestration_x000a_Message Encryption"/>
    <s v="Veterans, Servicemembers, and Family Members"/>
    <s v="VRM, OGC"/>
    <s v="Custom Built, EVSS-Hosted Capability"/>
    <s v="eBenefits"/>
    <s v="LOA 2 (eBenefits Premium)"/>
    <s v="SOAP-Based Web Services"/>
    <x v="0"/>
    <x v="0"/>
    <s v="VBA Corp, OGC"/>
    <s v="VVA"/>
    <s v="* Claimaint Name_x000a_* SSN (partially masked)_x000a_* Veteran Name_x000a_* Phone_x000a_* Veteran address_x000a_"/>
    <s v="* VSO"/>
    <s v="/ebenefits/vdc?target=%2Fwssweb%2FVDC2122%2Frepresentative.do"/>
    <s v="BGS Web Services:_x000a_CPPersonalInformationService.readPersonalRecord_x000a_VetRecordWebService.findVeteranByFileNumber_x000a_AwardWebService.findStationOfJurisdiction_x000a_RORoutingService.getRegionalOfficeByZipCode_x000a_VRMDraftFormPersistenceService.readForm_x000a_VnpPersonService.vnpPersonCreate_x000a_VnpProcService.vnpProcCreate_x000a_VnpAtchmsWebService.vnpAtchmsCreate_x000a_VeteranRepresentativeService.createVeteranRepresentative"/>
    <m/>
    <x v="0"/>
    <s v="Necessary Feature,  Users who are using this feature are the power users of SEP.  Must ask vets.gov what their solution is for SEP. There must be capability for the same functionality. "/>
    <x v="0"/>
    <s v="Need to add (how many veterans are using print+mail feature and how many are submitting online. And how many are accepted by VSOs (how many are off-ramped that require manual intervention) ) Veterans DO Trust VSO's to guide them through the process."/>
    <x v="0"/>
    <s v="Better keyword search, Eharmony analogy matching vets to VSOs. Trying to map against the veterans profile, although this may increase complexity with VSO's providing that information. Helping Veterans understand how to change their VSO, VSO matching status?"/>
    <x v="0"/>
    <x v="0"/>
    <x v="0"/>
  </r>
  <r>
    <x v="1"/>
    <x v="1"/>
    <s v="Manage Represenation Requests"/>
    <x v="1"/>
    <s v="VSOs are able to view pending requests for representation and either accept or reject that request. "/>
    <s v="Email / SMTP_x000a_Message Center_x000a_PDF Generation_x000a_Account Activity History_x000a_"/>
    <s v="VSOs"/>
    <s v="VRM, OGC"/>
    <s v="Custom Built, EVSS-Hosted Capability"/>
    <s v="SEP"/>
    <s v="LOA 3"/>
    <s v="SOAP-Based Web Services"/>
    <x v="0"/>
    <x v="1"/>
    <s v="VBA Corp, VBMS"/>
    <s v="VBMS"/>
    <s v="• Name_x000a_• Location (City, State, etc.)_x000a_• File Number_x000a_• SSN_x000a_• Email Address_x000a_• Phone Number"/>
    <s v="* None"/>
    <s v="https://www.ebenefits.va.gov/ebenefits/about/feature?feature=request-vso-representative"/>
    <s v="BGS Web Services:_x000a_ManageRepresentativeService.readPOARequest_x000a_ManageRepresentativeService.updatePOARelationship_x000a_ManageRepresentativeService.updatePOARequest"/>
    <m/>
    <x v="1"/>
    <m/>
    <x v="1"/>
    <m/>
    <x v="1"/>
    <m/>
    <x v="1"/>
    <x v="1"/>
    <x v="1"/>
  </r>
  <r>
    <x v="2"/>
    <x v="2"/>
    <s v="Apply for Benefits, Manage Authorization"/>
    <x v="2"/>
    <s v="Users are able to complete form 21-4142, granting release of medical information to the VA, via a guided interview. At the end they are instructed to print the form and upload it or mail it."/>
    <s v="PDF Generation_x000a_Account Activity History_x000a_Reporting_x000a_Service Orchestration_x000a_Message Encryption"/>
    <s v="Veterans and Servicemembers"/>
    <s v="Compensation"/>
    <s v="Custom Built, EVSS-Hosted Capability"/>
    <s v="eBenefits_x000a_SEP"/>
    <s v="LOA 2 (eBenefits Premium)"/>
    <s v="SOAP-Based Web Services"/>
    <x v="0"/>
    <x v="2"/>
    <s v="VBA Corp"/>
    <s v="N/A"/>
    <s v="* Veteran Name_x000a_* Veteran DOB_x000a_* SSN/FN (partially masked)_x000a_* Patient Name_x000a_* Patient DOB_x000a_* Patient Address_x000a_* Patient SSN (partially masked)_x000a_* Patient Phone"/>
    <s v="* None"/>
    <s v="/ebenefits/vdc?target=%2Fwssweb%2FVDC4142%2Fmedical.do"/>
    <m/>
    <m/>
    <x v="2"/>
    <s v="This is not a submission, at the end of the process you must print it out and mail it in. The other option is a scanned paper copy and then submit it with 526. Should be combined with the 526.  "/>
    <x v="2"/>
    <s v="user interaction models can be used to bolster the user experience"/>
    <x v="2"/>
    <s v="Combine with the 526 and integrate with PMR program. Addition of electronic signature. "/>
    <x v="2"/>
    <x v="2"/>
    <x v="2"/>
  </r>
  <r>
    <x v="3"/>
    <x v="2"/>
    <s v="Apply for Benefits"/>
    <x v="3"/>
    <s v="Veterans and Servicemembers are able to submit orginal or supplemental claims for Disability Compensation. "/>
    <s v="Document Virus Scanning_x000a_Email / SMTP_x000a_Message Center_x000a_PDF Generation_x000a_Account Activity History_x000a_Reporting_x000a_Service Orchestration_x000a_Transaction Management_x000a_Batch Processing &amp; Scheduling_x000a_Message Encryption_x000a_Document Upload_x000a_Document Download"/>
    <s v="Veterans and Servicemembers"/>
    <s v="Compensation"/>
    <s v="Custom Built, EVSS-Hosted Capability"/>
    <s v="eBenefits_x000a_SEP"/>
    <s v="LOA 2 (eBenefits Premium)"/>
    <s v="SOAP-Based Web Services"/>
    <x v="0"/>
    <x v="3"/>
    <s v="VBA Corp, VBMS"/>
    <s v="VBMS eFolder, NHI DB"/>
    <s v="* Name_x000a_* DOB_x000a_* Gender_x000a_* Address_x000a_* SSN (partially masked)_x000a_* Email address_x000a_* Disabilities_x000a_* Banking data (via PCIU)_x000a_* Doctor name_x000a_* Doctor address_x000a_* Hospitalization records"/>
    <s v="* Service history_x000a_* Education history_x000a_* Employment history"/>
    <s v="/ebenefits/vdc?target=%2Fwssweb%2FVDC526%2Fcompensation.do"/>
    <s v="BGS Web Services:_x000a_Interview:_x000a_IntentToFileWebService.insertIntentToFile_x000a_MilitaryHistoryService.getMilitaryServiceHistory_x000a_MilitaryHistoryService.addUnverifiedVeteranPeriodOfCaptivity_x000a_MilitaryHistoryService.manageUnverifiedVeteranPeriodOfService_x000a__x000a_Submission:_x000a_ClaimService.establshClaim_x000a_RORoutingService_x000a_ClaimService.createContentions"/>
    <m/>
    <x v="3"/>
    <s v="VDC 526 (but this will include others). Alternatively, /disabilities, but that will include visiters looking for information. FROG + CSRA have done work to enhance the user experience."/>
    <x v="3"/>
    <s v="Veterans do not like having multiple login accounts and passwords"/>
    <x v="3"/>
    <s v="Add usage of CIS + EMIS (Enterprise CDI services)"/>
    <x v="3"/>
    <x v="3"/>
    <x v="1"/>
  </r>
  <r>
    <x v="4"/>
    <x v="3"/>
    <s v="Apply for Benefits"/>
    <x v="4"/>
    <s v="Users with a &gt;30% service-connected ability rating are able to add and remove dependents from their award, or to submit additional information if their child is school-aged. "/>
    <s v="Document Virus Scanning_x000a_Email / SMTP_x000a_Message Center_x000a_PDF Generation_x000a_Account Activity History_x000a_Reporting_x000a_Message Encryption_x000a_Service Orchestration_x000a_Transaction Management"/>
    <s v="Veterans"/>
    <s v="Compensation"/>
    <s v="Custom Built, EVSS-Hosted Capability"/>
    <s v="eBenefits_x000a_SEP"/>
    <s v="LOA 2 (eBenefits Premium)"/>
    <s v="SOAP-Based Web Services"/>
    <x v="0"/>
    <x v="4"/>
    <s v="VBA Corp"/>
    <s v="VVA"/>
    <s v="* Dependent name_x000a_* DOB_x000a_* Gender_x000a_* SSN (partially masked)"/>
    <s v="* Relationship_x000a_* Dependent education information"/>
    <s v="/ebenefits/vdc?target=%2Fwssweb%2FVDC686%2Fdependent.do"/>
    <s v="BGS Web Services:_x000a_RatingWebService.findRatingData_x000a_VetRecordWebService.findVeteranByFileNumber_x000a_AwardWebService.findStationOfJurisdiction_x000a_RORoutingService.getRegionalOfficeByZipCode_x000a_VnpPersonService_x000a_ShareStandardDataWebService.findStationAddress_x000a_VnpPtcpntService.VnpPtcpntCreate_x000a_VnpProcFormService.VnpProcFormCreate_x000a_ClaimantWebService.findDependents_x000a_StandardDataWebService.findBenefitClaimTypeIncrement_x000a_"/>
    <m/>
    <x v="3"/>
    <s v="Also impacts eFolder and is also stored in virtual VA"/>
    <x v="4"/>
    <s v="General findings about logins (vets would like to have 1 all reaching login), improving a more turbo tax interview style form. Number of forms that are submitted need to be looked at."/>
    <x v="4"/>
    <s v="Received feedback from OBPI, need to look at it and consider it. This process should be derailed and disassociated with the 526. Should be able to identify dependants at any time, without the need for a claim to be submitted beforehand. The opportunity is to handle this without the use of the form all together."/>
    <x v="4"/>
    <x v="4"/>
    <x v="1"/>
  </r>
  <r>
    <x v="5"/>
    <x v="4"/>
    <s v="Apply for Benefits"/>
    <x v="5"/>
    <s v="Users can apply for VR&amp;E benefits including general benefits if they have a service-connected disability rating &gt; 10% or regular counseling whether or not they have a disability rating."/>
    <s v="PDF Generation_x000a_Account Activity History_x000a_Reporting"/>
    <s v="Veterans and Servicemembers"/>
    <s v="VR&amp;E"/>
    <s v="Custom Built, EVSS-Hosted Capability"/>
    <s v="eBenefits_x000a_SEP"/>
    <s v="LOA 2 (eBenefits Premium)"/>
    <s v="SOAP-Based Web Services"/>
    <x v="0"/>
    <x v="3"/>
    <s v="VBA Corp"/>
    <s v="VBMS eFolder"/>
    <s v="* Name_x000a_* DOB_x000a_* Gender_x000a_* Address_x000a_* SSN (partially masked)_x000a_* FN (partially masked)_x000a_* Email address_x000a_* Phone"/>
    <s v="* None"/>
    <s v="/ebenefits/vre"/>
    <m/>
    <m/>
    <x v="4"/>
    <s v="/benefits, but this will include all visitors to VRE page, those requesting counselling, and those applying for ch 31  *Consider splitting out each form "/>
    <x v="3"/>
    <s v="Current experience is very generic, looking for a more tailored experience"/>
    <x v="5"/>
    <s v="dependant submission and migration to VBMS"/>
    <x v="5"/>
    <x v="5"/>
    <x v="1"/>
  </r>
  <r>
    <x v="6"/>
    <x v="5"/>
    <s v="Profile- Documents"/>
    <x v="6"/>
    <s v="Users are able to download a letter informing they are enrolled in VA Healthcare as evidence they have the required coverage per the ACA."/>
    <s v="Account Activity History_x000a_PDF Generation_x000a_Account Activity History_x000a_Reporting_x000a_Service Orchestration"/>
    <s v="Veterans, Servicemembers, and Family Members"/>
    <s v="VHA"/>
    <s v="Custom Built, EVSS-Hosted Capability"/>
    <s v="eBenefits"/>
    <s v="LOA 2 (eBenefits Premium)"/>
    <s v="SOAP-Based Web Services"/>
    <x v="0"/>
    <x v="5"/>
    <s v="VBA Corp, BIRLS, VHA"/>
    <s v="N/A"/>
    <s v="* Name_x000a_* Address_x000a_* SSN (partially masked)"/>
    <s v="* None"/>
    <s v="/ebenefits/download-letters"/>
    <s v="BGS Web Services:_x000a_VetRecordService.findVeteranByPID_x000a__x000a_ACA Web Services:_x000a_AcaEnrollmentVerificationService.verifyACAEnrollmentPeriod"/>
    <s v="/letterGeneratorService/{version}//getLetterByType(&quot;Affordable Care Act Minimum Essential Coverage Letter&quot;)"/>
    <x v="5"/>
    <s v="/download-letters, but this will include all letters"/>
    <x v="3"/>
    <m/>
    <x v="6"/>
    <s v="Refresh the language, making the corrispondence consistant, coordination with call center letters"/>
    <x v="1"/>
    <x v="6"/>
    <x v="1"/>
  </r>
  <r>
    <x v="7"/>
    <x v="6"/>
    <s v="Learn"/>
    <x v="7"/>
    <s v="Users can view a personalized list of possible benefits based on their eBenefits profile. Users may modify attributes to see what benefits they may be eligible for under different scenarios."/>
    <s v="Account Activity History_x000a_Service Orchestration"/>
    <s v="Veterans, Servicemembers, and Family Members"/>
    <s v="BAS"/>
    <s v="Custom Built, EVSS-Hosted Capability"/>
    <s v="eBenefits"/>
    <s v="LOA 2 (eBenefits Premium)"/>
    <s v="SOAP-Based Web Services"/>
    <x v="0"/>
    <x v="2"/>
    <s v="BIRLS"/>
    <s v="N/A"/>
    <s v="• VA Disability Rating_x000a_• DoD Disability Rating_x000a_• Permanent &amp; Total"/>
    <s v="• Active Duty Status_x000a_• Military Component_x000a_• Marital Status_x000a_• Gender_x000a_• Age_x000a_• Ethnicity_x000a_"/>
    <s v="/ebenefits/benefits-explorer"/>
    <s v="BGS Web Services:_x000a_findVeteranByFileNumberService.findVeteranByFileNumber()_x000a_personContactService.getServicePeriod(servicePeriodRequest)_x000a_findRatingInfoService.findRatingData(findRatingInfoServiceRequest)"/>
    <s v="/benefitsExplorer/{version}/retrieveBenefits"/>
    <x v="6"/>
    <m/>
    <x v="5"/>
    <m/>
    <x v="1"/>
    <m/>
    <x v="1"/>
    <x v="1"/>
    <x v="1"/>
  </r>
  <r>
    <x v="8"/>
    <x v="7"/>
    <s v="Check Status"/>
    <x v="8"/>
    <s v="Users are able to view historical VA appeals. "/>
    <s v="Account Activity History_x000a_"/>
    <s v="Veterans, Servicemembers, and Family Members"/>
    <s v="All VBA, VHA, and NCA benefit providers plus BVA"/>
    <s v="Custom Built, EVSS-Hosted Capability"/>
    <s v="eBenefits"/>
    <s v="LOA 2 (eBenefits Premium)"/>
    <s v="JDBC"/>
    <x v="0"/>
    <x v="6"/>
    <s v="VACOLS"/>
    <s v="N/A"/>
    <s v="• None"/>
    <s v="• Current and historical appeals summary_x000a_• Appeal details and status_x000a_• SOJ_x000a_• POA_x000a_• Items received at BVA and when_x000a_• Progress History_x000a_"/>
    <s v="/ebenefits/historicalAppeals"/>
    <s v="JDBC Connection to VACOLS"/>
    <s v="/appealsStatusService/{version}/getAppeals"/>
    <x v="7"/>
    <s v="No documents currently displayed in appeals status. "/>
    <x v="1"/>
    <m/>
    <x v="7"/>
    <s v="to be able to flip the view, look at this as an opportunity to change how we look at this information. It is a cultural change for those who processes appeals. We can use this to track the claim status in connection to a specific diagnosis."/>
    <x v="1"/>
    <x v="1"/>
    <x v="1"/>
  </r>
  <r>
    <x v="9"/>
    <x v="7"/>
    <s v="Check Status"/>
    <x v="8"/>
    <s v="Users are able to check the status of their open VA appeals. They are not able to upload or download documents related to their appeal. "/>
    <s v="Account Activity History_x000a_"/>
    <s v="Veterans, Servicemembers, and Family Members"/>
    <s v="All VBA, VHA, and NCA benefit providers plus BVA"/>
    <s v="Custom Built, EVSS-Hosted Capability"/>
    <s v="eBenefits"/>
    <s v="LOA 2 (eBenefits Premium)"/>
    <s v="JDBC"/>
    <x v="0"/>
    <x v="7"/>
    <s v="VACOLS"/>
    <s v="N/A"/>
    <s v="• None"/>
    <s v="• Current and historical appeals summary_x000a_• Appeal details and status_x000a_• SOJ_x000a_• POA_x000a_• Items received at BVA and when_x000a_• Progress History_x000a_"/>
    <s v="/ebenefits/claims"/>
    <s v="JDBC Connection to VACOLS"/>
    <s v="/appealsStatusService/{version}/getAppeals"/>
    <x v="8"/>
    <s v="No documents currently displayed in appeals status. "/>
    <x v="1"/>
    <s v="Current research suggests this feature is not being actively utilized"/>
    <x v="8"/>
    <m/>
    <x v="1"/>
    <x v="1"/>
    <x v="1"/>
  </r>
  <r>
    <x v="10"/>
    <x v="8"/>
    <s v="Check Status"/>
    <x v="9"/>
    <s v="Users are able to view their historical Compensation and Pension claims, view details including required documents, upload evidence, and view the documents they have uploaded. They can also submit a 5103 notice to notify the VA that they have no further evidence to provide. "/>
    <s v="Account Activity History_x000a_Service Orchestration"/>
    <s v="Veterans, Servicemembers, Family Members, VSOs, attorneys, and agents"/>
    <s v="Compensation, Pension, and VBMS"/>
    <s v="Custom Built, EVSS-Hosted Capability"/>
    <s v="eBenefits,_x000a_SEP"/>
    <s v="LOA 2 (eBenefits Premium)"/>
    <s v="SOAP-Based Web Services"/>
    <x v="0"/>
    <x v="2"/>
    <s v="VBA Corp"/>
    <s v="VBMS eFolder"/>
    <s v="• Contentions for Open and Historic claims"/>
    <s v="• Claim Date_x000a_• Claim Status_x000a_• Claim Type_x000a_• Claim Updates_x000a_• Claim Actions_x000a_• List of uploaded documents_x000a_• Estimated Claim Completion Dates_x000a_• Tracked Items Due_x000a_• Tracked Items Received"/>
    <s v="/ebenefits/historicalClaims"/>
    <s v="EBenefitsBnftClaimStatusWebService.findBenefitClaimStatusBySSN_x000a_EBenefitsBnftClaimStatusWebService.findBenefitClaimDetailsByBnftClaimId_x000a_UploadedDocumentWebService.findUpldedDcmntByBnftClaimId_x000a_"/>
    <m/>
    <x v="9"/>
    <m/>
    <x v="1"/>
    <m/>
    <x v="9"/>
    <s v="Add NOD form if they are in the 1 year appeal period and we can be sure that they are not already appealing."/>
    <x v="1"/>
    <x v="1"/>
    <x v="1"/>
  </r>
  <r>
    <x v="11"/>
    <x v="8"/>
    <s v="Check Status"/>
    <x v="9"/>
    <s v="Users are able to check the status of their pending Compensation and Pension claims, view details including required documents, upload evidence, and view the documents they have uploaded. They can also submit a 5103 notice to notify the VA that they have no further evidence to provide. "/>
    <s v="Account Activity History_x000a_Service Orchestration"/>
    <s v="Veterans, Servicemembers, Family Members, VSOs, attorneys, and agents"/>
    <s v="Compensation, Pension, and VBMS"/>
    <s v="Custom Built, EVSS-Hosted Capability"/>
    <s v="eBenefits,_x000a_SEP"/>
    <s v="LOA 2 (eBenefits Premium)"/>
    <s v="SOAP-Based Web Services"/>
    <x v="0"/>
    <x v="2"/>
    <s v="VBA Corp"/>
    <s v="VBMS eFolder"/>
    <s v="• Contentions for Open and Historic claims"/>
    <s v="• Claim Date_x000a_• Claim Status_x000a_• Claim Type_x000a_• Claim Updates_x000a_• Claim Actions_x000a_• List of uploaded documents_x000a_• Estimated Claim Completion Dates_x000a_• Tracked Items Due_x000a_• Tracked Items Received"/>
    <s v="/ebenefits/claims"/>
    <s v="ClaimantWebService.findGeneralInformationByFileNumber_x000a_EBenefitsBnftClaimStatusWebService.findBenefitClaimStatusBySSN_x000a_EBenefitsBnftClaimStatusWebService.findBenefitClaimDetailsByBnftClaimId_x000a_UploadedDocumentWebService.findUpldedDcmntByBnftClaimId_x000a_DBQWebService.findDBQByBnftClaimId_x000a_TrackedItemService.findTrackedItem"/>
    <m/>
    <x v="10"/>
    <m/>
    <x v="6"/>
    <s v="Timeline for decisions is not explained, no high level process overview, veterans want to be able to click in to get more detail, give them explanations why claims are moving backward in the process, "/>
    <x v="10"/>
    <s v="Revisitting whether it is appropriate to project dates, or if we should just show average times for adjudication. Opportunity to add Mobile update notifications. Would help with transparency"/>
    <x v="6"/>
    <x v="7"/>
    <x v="1"/>
  </r>
  <r>
    <x v="12"/>
    <x v="8"/>
    <s v="N/A"/>
    <x v="10"/>
    <s v="While checking the status of their pending Compensation claims, users can upload documents in support of their claim or to answer specific requests for additioonal evidence."/>
    <s v="Document Virus Scanning_x000a_PDF Generation_x000a_Account Activity History_x000a_Service Orchestration_x000a_Transaction Management"/>
    <s v="Veterans, Servicemembers, Family Members, VSOs, attorneys, and agents"/>
    <s v="Compensation, Pension, and VBMS"/>
    <s v="Custom Built, EVSS-Hosted Capability"/>
    <s v="eBenefits,_x000a_SEP"/>
    <s v="LOA 2 (eBenefits Premium)"/>
    <s v="SOAP-Based Web Services"/>
    <x v="0"/>
    <x v="1"/>
    <s v="VBA Corp, VBMS"/>
    <s v="VBMS"/>
    <s v="Any / All"/>
    <s v="Any / All"/>
    <s v="/ebenefits/claims"/>
    <s v="VBMS Services:_x000a_eDocumentService…"/>
    <m/>
    <x v="11"/>
    <m/>
    <x v="1"/>
    <s v="Veterans are basically lost and unsure about if things are required , recommended to call out what specifically needs to be done"/>
    <x v="11"/>
    <s v="setting up a sort of &quot;to-do&quot; list and so that the veteran will know what still needs to be done. "/>
    <x v="1"/>
    <x v="1"/>
    <x v="1"/>
  </r>
  <r>
    <x v="13"/>
    <x v="9"/>
    <s v="Profile - Contact Info"/>
    <x v="11"/>
    <s v="Users are able to update the email address connected to their eBenefits profile. This is not the same as the DEERS or Corp DB address."/>
    <s v="Account Activity History_x000a_Reporting_x000a_Service Orchestration"/>
    <s v="All eBenefits users"/>
    <s v="VRM"/>
    <s v="Custom Built, EVSS-Hosted Capability"/>
    <s v="eBenefits"/>
    <s v="LOA 1 (eBenefits Basic)"/>
    <s v="INTERNAL"/>
    <x v="0"/>
    <x v="7"/>
    <s v="N/A"/>
    <s v="N/A"/>
    <s v="email address"/>
    <s v="* None"/>
    <s v="/ebenefits/EditProfile"/>
    <s v="N/A"/>
    <s v="/myDashboardService/{version}//updateMyDashboard"/>
    <x v="12"/>
    <m/>
    <x v="1"/>
    <m/>
    <x v="1"/>
    <m/>
    <x v="1"/>
    <x v="1"/>
    <x v="1"/>
  </r>
  <r>
    <x v="14"/>
    <x v="8"/>
    <s v="N/A"/>
    <x v="12"/>
    <s v="While applying for disability compensation benefits or viewing the status of an existing claim, the system will recommend specific disability questionnaires that are likely related to the claimed disabilities."/>
    <s v="N/A"/>
    <s v="Veterans, Servicemembers, Family Members, VSOs, attorneys, and agents"/>
    <s v="Compensation, Pension, and VBMS"/>
    <s v="Custom Built, EVSS-Hosted Capability"/>
    <s v="eBenefits,_x000a_SEP"/>
    <s v="LOA 2 (eBenefits Premium)"/>
    <s v="SOAP-Based Web Services"/>
    <x v="0"/>
    <x v="2"/>
    <s v="VBA Corp"/>
    <s v="N/A"/>
    <s v="• Contentions for Open and Historic claims"/>
    <s v="N/A"/>
    <s v="/ebenefits/claims"/>
    <s v="BGS Web Services:_x000a_DBQWebService.findDBQByBnftClaimId_x000a_"/>
    <m/>
    <x v="11"/>
    <m/>
    <x v="7"/>
    <m/>
    <x v="12"/>
    <m/>
    <x v="7"/>
    <x v="1"/>
    <x v="1"/>
  </r>
  <r>
    <x v="15"/>
    <x v="10"/>
    <s v="Check Status, Profile- Benefits"/>
    <x v="13"/>
    <s v="Users can view their Post-9/11 GI Bill education enrollment status and entitlement. "/>
    <s v="Account Activity History_x000a_"/>
    <s v="Veterans, Servicemembers, and Family Members"/>
    <s v="Education"/>
    <s v="Custom Built, EVSS-Hosted Capability"/>
    <s v="eBenefits"/>
    <s v="LOA 1 (eBenefits Basic)"/>
    <s v="SAML, SOAP-Based Web Services"/>
    <x v="0"/>
    <x v="8"/>
    <s v="Chapter 33, LTS"/>
    <s v="N/A"/>
    <s v="• Name_x000a_• DOB_x000a_• VA File Number (not masked)"/>
    <s v="• RO_x000a_• CH33 Benefits (Entitlement)_x000a_• School_x000a_• School Terms and Hours"/>
    <s v="/ebenefits/Chapter33Enrollment"/>
    <s v="LTS Web Services:_x000a_Chapter33GetClaimantService_x000a_Chapter33GetEnrollmentService"/>
    <s v="/chapter33/{version}//getChapter33Information"/>
    <x v="4"/>
    <s v="Additional Service Documentation:_x000a_https://icfironworks.atlassian.net/wiki/display/PTL/Chapter+33+Web+Services+Tips"/>
    <x v="8"/>
    <m/>
    <x v="13"/>
    <m/>
    <x v="8"/>
    <x v="8"/>
    <x v="3"/>
  </r>
  <r>
    <x v="16"/>
    <x v="11"/>
    <s v="Manage Benefits, Profile - Payment History"/>
    <x v="14"/>
    <s v="Change or review your current pay information, or check your pay statements for DoD payments. Receive tax statements and travel advice of payment in myPay."/>
    <s v="N/A"/>
    <s v="Servicemembers"/>
    <s v="DoD"/>
    <s v="SSO Link"/>
    <s v="eBenefits"/>
    <s v="LOA 2 (eBenefits Premium)"/>
    <s v="VAAFI SSO Junction"/>
    <x v="1"/>
    <x v="9"/>
    <s v="Multiple"/>
    <s v="N/A"/>
    <s v="* None"/>
    <s v="* None"/>
    <s v="https://webct2.dmdc.osd.mil/identitymanagement/sso/www.ebenefits.va.gov/mypay.dfas.mil/init.do"/>
    <s v="N/A"/>
    <s v="N/A"/>
    <x v="11"/>
    <m/>
    <x v="0"/>
    <m/>
    <x v="1"/>
    <m/>
    <x v="1"/>
    <x v="1"/>
    <x v="1"/>
  </r>
  <r>
    <x v="17"/>
    <x v="12"/>
    <s v="Profile - Contact Info"/>
    <x v="15"/>
    <s v="Users are able to update their contact information in DEERS. "/>
    <s v="N/A"/>
    <s v="Veterans, Servicemembers, and Family Members"/>
    <s v="DoD"/>
    <s v="SSO Link"/>
    <s v="eBenefits"/>
    <s v="LOA 2 (eBenefits Premium)"/>
    <s v="VAAFI SSO Junction (Milconnect)"/>
    <x v="2"/>
    <x v="10"/>
    <s v="DEERS"/>
    <s v="N/A"/>
    <s v="* None"/>
    <s v="* EDIPI"/>
    <s v="https://webct2.dmdc.osd.mil/milconnect/faces/pages/update_my_profile.jspx"/>
    <s v="N/A"/>
    <s v="N/A"/>
    <x v="11"/>
    <m/>
    <x v="1"/>
    <m/>
    <x v="1"/>
    <m/>
    <x v="1"/>
    <x v="1"/>
    <x v="1"/>
  </r>
  <r>
    <x v="18"/>
    <x v="13"/>
    <s v="Learn"/>
    <x v="16"/>
    <s v="Users can view a list of FAQs about VBA benefits and eBenefits."/>
    <s v="N/A"/>
    <s v="All eBenefits users"/>
    <s v="BAS"/>
    <s v="Static Link"/>
    <s v="eBenefits"/>
    <s v="Anonymous"/>
    <s v="Link"/>
    <x v="3"/>
    <x v="11"/>
    <s v="IRIS"/>
    <s v="N/A"/>
    <s v="* None"/>
    <s v="* None"/>
    <s v="https://iris.custhelp.com/app/answers/list"/>
    <s v="BGS Web Services:_x000a_ClaimantWebService.findGeneralInformationByFileNumber_x000a_EBenefitsBnftClaimStatusWebService.findBenefitClaimStatusBySSN_x000a_EBenefitsBnftClaimStatusWebService.findBenefitClaimDetailsByBnftClaimId_x000a_UploadedDocumentWebService.findUpldedDcmntByBnftClaimId_x000a_DBQWebService.findDBQByBnftClaimId_x000a_TrackedItemService.findTrackedItem"/>
    <m/>
    <x v="11"/>
    <s v="These FAQ's should be tied into vets.gov FAQ's"/>
    <x v="1"/>
    <m/>
    <x v="1"/>
    <m/>
    <x v="1"/>
    <x v="1"/>
    <x v="1"/>
  </r>
  <r>
    <x v="19"/>
    <x v="14"/>
    <s v="Learn, Tools to Connect with Employers, Profile - Contact Info, Profile - Education, Profile- Employment"/>
    <x v="17"/>
    <s v="Users can search for jobs, translate skills, and create resumes to share with employers. Employers can post jobs, search for resumes and make a hiring commitment. "/>
    <s v="N/A"/>
    <s v="Veterans, Servicemembers, Family Members, and Employers"/>
    <s v="VR&amp;E"/>
    <s v="Static Link"/>
    <s v="eBenefits"/>
    <s v="Anonymous"/>
    <s v="VAAFI SSO Junction"/>
    <x v="4"/>
    <x v="12"/>
    <s v="EC"/>
    <s v="N/A"/>
    <s v="* None"/>
    <s v="* None"/>
    <s v="https://www.vets.gov/veterans-employment-center"/>
    <s v="N/A"/>
    <s v="N/A"/>
    <x v="11"/>
    <m/>
    <x v="1"/>
    <m/>
    <x v="1"/>
    <m/>
    <x v="1"/>
    <x v="1"/>
    <x v="1"/>
  </r>
  <r>
    <x v="20"/>
    <x v="15"/>
    <s v="Learn"/>
    <x v="18"/>
    <s v="Users can take online courses designed to help you manage your health. They can choose from a variety of topics, such as managing stress and succeeding at work."/>
    <s v="Account Activity History"/>
    <s v="Veterans and Servicemembers"/>
    <s v="VHA"/>
    <s v="Integrated Portlet"/>
    <s v="eBenefits"/>
    <s v="LOA 1 (eBenefits Basic)"/>
    <s v="iFrame"/>
    <x v="5"/>
    <x v="13"/>
    <s v="DoD"/>
    <s v="N/A"/>
    <s v="TBD"/>
    <s v="* None"/>
    <m/>
    <s v="N/A"/>
    <s v="N/A"/>
    <x v="13"/>
    <m/>
    <x v="1"/>
    <m/>
    <x v="1"/>
    <m/>
    <x v="1"/>
    <x v="1"/>
    <x v="1"/>
  </r>
  <r>
    <x v="21"/>
    <x v="16"/>
    <s v="Manage Appointments"/>
    <x v="19"/>
    <s v="Users are able to view upcoming VHA medical appointments. (Note: VBA benefit exams are not yet included. They cannot schedule any type of appointment.)"/>
    <s v="Account Activity History_x000a_"/>
    <s v="Veterans, Servicemembers, and Family Members"/>
    <s v="VHA"/>
    <s v="Custom Built, EVSS-Hosted Capability"/>
    <s v="eBenefits"/>
    <s v="LOA 2 (eBenefits Premium)"/>
    <s v="SOAP-Based Web Services"/>
    <x v="0"/>
    <x v="14"/>
    <s v="HDR"/>
    <s v="N/A"/>
    <s v="• None"/>
    <s v="• Appointment Date/Time_x000a_• Appointment Location_x000a_• Appointment Status_x000a_• Exam Date/Time_x000a_• Requested Exam Info"/>
    <s v="/ebenefits/exam-appointments"/>
    <s v="MVI Web Services:_x000a_MviService.getIcn()_x000a__x000a_Pathways Web Services:_x000a_Pathways.findData(Icn, ResolvedIds, StartDate, EndDate)"/>
    <s v="/eacService/{version}/retrieveEAC"/>
    <x v="14"/>
    <m/>
    <x v="9"/>
    <m/>
    <x v="1"/>
    <m/>
    <x v="1"/>
    <x v="1"/>
    <x v="1"/>
  </r>
  <r>
    <x v="22"/>
    <x v="16"/>
    <m/>
    <x v="20"/>
    <s v="Users enrolled in FIRP can view their FIRP plan for improving their financial, education, employment and personal situation, developed with an assigned FIRP Coordinator."/>
    <s v="N/A"/>
    <s v="Veterans"/>
    <s v="VHA"/>
    <s v="Custom Built, EVSS-Hosted Web Service"/>
    <s v="eBenefits"/>
    <s v="LOA 2 (eBenefits Premium)"/>
    <s v="SOAP-based Web Service (Provider)"/>
    <x v="0"/>
    <x v="15"/>
    <s v="FRCP_x000a_FCMT"/>
    <s v="N/A"/>
    <s v="• FIRP Task Owner"/>
    <s v="• FIRP Category_x000a_• FIRP Topic_x000a_• FIRP Goal_x000a_• FIRP Task Info (status, dates, duration)_x000a_"/>
    <s v="N/A"/>
    <s v="EVSS Web Services:_x000a_EBenefits_Firp.getFirpData"/>
    <s v="/firpEBenefits/{version}/getFirpData"/>
    <x v="15"/>
    <m/>
    <x v="10"/>
    <m/>
    <x v="1"/>
    <m/>
    <x v="7"/>
    <x v="1"/>
    <x v="1"/>
  </r>
  <r>
    <x v="23"/>
    <x v="17"/>
    <s v="Profile- Documents"/>
    <x v="21"/>
    <s v="Users can calculate their VA Home Loan benefit and entitlement to get a Certificate of Eligibility."/>
    <s v="Account Activity History_x000a_"/>
    <s v="Veterans"/>
    <s v="Loan Guaranty"/>
    <s v="Integrated Portlet"/>
    <s v="eBenefits"/>
    <s v="LOA 2 (eBenefits Premium)"/>
    <s v="VAAFI SSO Junction"/>
    <x v="6"/>
    <x v="16"/>
    <s v="LGY"/>
    <s v="N/A"/>
    <s v="* None"/>
    <s v="* None"/>
    <s v="/ebenefits/coe"/>
    <s v="N/A"/>
    <s v="N/A"/>
    <x v="16"/>
    <m/>
    <x v="1"/>
    <m/>
    <x v="1"/>
    <m/>
    <x v="1"/>
    <x v="1"/>
    <x v="1"/>
  </r>
  <r>
    <x v="24"/>
    <x v="18"/>
    <s v="Apply for Benefits"/>
    <x v="22"/>
    <s v="Users are able to view Intents to File that they have submitted via any channel. This provides confirmation that the VA has preserved their effective date for claims."/>
    <s v="Account Activity History_x000a_"/>
    <s v="Veterans, Servicemembers, VSOs, attorneys, and agents"/>
    <s v="Compensation, Pension, and VBMS"/>
    <s v="Custom Built, EVSS-Hosted Capability"/>
    <s v="eBenefits_x000a_SEP"/>
    <s v="LOA 2 (eBenefits Premium)"/>
    <s v="SOAP-Based Web Services"/>
    <x v="0"/>
    <x v="2"/>
    <s v="VBA Corp"/>
    <s v="N/A"/>
    <s v="* None"/>
    <s v="Application initiation date"/>
    <s v="ebenefits/claims"/>
    <s v="BGS Web Services:_x000a_IntentToFileWebService.insertIntentToFile()_x000a_IntentToFileWebService.findIntentToFilleByPtcpantIdItfTypeCd()"/>
    <m/>
    <x v="10"/>
    <s v="/claims, but will show all claim status-- not just ITF"/>
    <x v="1"/>
    <m/>
    <x v="1"/>
    <m/>
    <x v="1"/>
    <x v="1"/>
    <x v="1"/>
  </r>
  <r>
    <x v="6"/>
    <x v="19"/>
    <s v="Generate Letters"/>
    <x v="23"/>
    <s v="Users are able to download a letter containing a summary of various benefits."/>
    <s v="PDF Generation_x000a_Reporting_x000a_Account Activity History_x000a_"/>
    <s v="Veterans, Servicemembers, and Family Members"/>
    <s v="BAS"/>
    <s v="Custom Built, EVSS-Hosted Capability"/>
    <s v="eBenefits"/>
    <s v="LOA 2 (eBenefits Premium)"/>
    <s v="SOAP-Based Web Services"/>
    <x v="0"/>
    <x v="17"/>
    <s v="VBA Corp, BIRLS"/>
    <s v="N/A"/>
    <s v="• Name_x000a_• Address_x000a_• SSN (partially masked)"/>
    <s v="• Benefit Amount_x000a_• Amount Paid_x000a_• Effective Date_x000a_• Combined Evaluation_x000a_"/>
    <s v="/ebenefits/download-letters"/>
    <s v="BGS Web Services:_x000a_VetRecordWebService:findVeteranByPID(PID)_x000a_ClaimantWebService:   findGeneralInformationByPID(PID)_x000a_ClaimantWebService:   findOtherAwardInformation(PID)_x000a_RatingService: findRatingDataByParticipant(PID)"/>
    <s v="/letterGeneratorService/{version}//getLetterByType(&quot;Benefit Verification Letter&quot;)"/>
    <x v="17"/>
    <s v="May be duplicative of the benefit summary letter"/>
    <x v="11"/>
    <m/>
    <x v="14"/>
    <m/>
    <x v="1"/>
    <x v="1"/>
    <x v="1"/>
  </r>
  <r>
    <x v="6"/>
    <x v="20"/>
    <s v="Generate Letters"/>
    <x v="24"/>
    <s v="Qualified users are able to download a letter informing they are eligible for civil service prefence when seeking employment."/>
    <s v="PDF Generation_x000a_Reporting_x000a_Account Activity History_x000a_"/>
    <s v="Veterans and Servicemembers"/>
    <s v="BAS"/>
    <s v="Custom Built, EVSS-Hosted Capability"/>
    <s v="eBenefits"/>
    <s v="LOA 2 (eBenefits Premium)"/>
    <s v="SOAP-Based Web Services"/>
    <x v="0"/>
    <x v="17"/>
    <s v="VBA Corp, BIRLS"/>
    <s v="N/A"/>
    <s v="• Name_x000a_• Address_x000a_• SSN (partially masked)_x000a_"/>
    <s v="• Character of Service_x000a_• Receiving pension or comp for sc-disabilities_x000a_"/>
    <s v="/ebenefits/download-letters"/>
    <s v="BGS Web Services:_x000a_VetRecordWebService:findVeteranByPID(PID)_x000a_ClaimantWebService:   findOtherAwardInformation(PID)_x000a_RatingService:findRatingDataByParticipant(PID)"/>
    <s v="/letterGeneratorService/{version}//getLetterByType(&quot;Civil Service Preference Letter&quot;)"/>
    <x v="18"/>
    <m/>
    <x v="1"/>
    <m/>
    <x v="1"/>
    <m/>
    <x v="1"/>
    <x v="1"/>
    <x v="1"/>
  </r>
  <r>
    <x v="6"/>
    <x v="21"/>
    <s v="Generate Letters"/>
    <x v="25"/>
    <s v="Qualified users are able to download a letter informing they are eligible for using the Commissary."/>
    <s v="PDF Generation_x000a_Reporting_x000a_Account Activity History_x000a_"/>
    <s v="Veterans and Servicemembers"/>
    <s v="BAS"/>
    <s v="Custom Built, EVSS-Hosted Capability"/>
    <s v="eBenefits"/>
    <s v="LOA 2 (eBenefits Premium)"/>
    <s v="SOAP-Based Web Services"/>
    <x v="0"/>
    <x v="17"/>
    <s v="VBA Corp, BIRLS"/>
    <s v="N/A"/>
    <s v="• Name_x000a_• Address_x000a_• SSN (partially masked)"/>
    <s v="• Character of Service_x000a_• Branch of Service_x000a_• 100% SC disability"/>
    <s v="/ebenefits/download-letters"/>
    <s v="BGS Web Services:_x000a_VetRecordWebService:findVeteranByPID(PID)_x000a_RatingService:findRatingDataByParticipant(PID)_x000a_RatingWebService:isEligibleChapter35ByParticipantId(PID)"/>
    <s v="/letterGeneratorService/{version}//getLetterByType(&quot;Commissary Letter&quot;)"/>
    <x v="19"/>
    <m/>
    <x v="1"/>
    <m/>
    <x v="1"/>
    <m/>
    <x v="1"/>
    <x v="1"/>
    <x v="1"/>
  </r>
  <r>
    <x v="6"/>
    <x v="19"/>
    <s v="Generate Letters"/>
    <x v="26"/>
    <s v="Users are able to download a letter containing a summary of various benefits. Users may also customize the letter by selecting which benefits to include in the generated letter.  This letter is effectively a combination of the Benefits Verification Letter and Service Verification Letter.This version of the letter is for Non-Veterans only."/>
    <s v="PDF Generation_x000a_Reporting_x000a_Account Activity History_x000a_"/>
    <s v="Family Members"/>
    <s v="BAS"/>
    <s v="Custom Built, EVSS-Hosted Capability"/>
    <s v="eBenefits"/>
    <s v="LOA 2 (eBenefits Premium)"/>
    <s v="SOAP-Based Web Services"/>
    <x v="0"/>
    <x v="17"/>
    <s v="VBA Corp, BIRLS"/>
    <s v="N/A"/>
    <s v="• Vet’s Info:_x000a_o Name_x000a_o SSN/Claim Number (partially masked)_x000a_o Service History_x000a__x000a_• NonVet’s Info:_x000a_o Name_x000a_o Address"/>
    <s v="• Vet’s Info:_x000a_o Veteran death info_x000a__x000a_• NonVet’s Info:_x000a_o Benefit Amount_x000a_o Amount Paid_x000a_o Effective Date_x000a_o Combined Evaluation"/>
    <s v="/ebenefits/download-letters"/>
    <s v="BGS Web Services:_x000a_VetRecordWebService:findVeteranByPID(PID)_x000a_ClaimantWebService:   findGeneralInformationByPID(PID)_x000a_ClaimantWebService:   findOtherAwardInformation(PID)_x000a_RatingService:findRatingDataByParticipant(PID)_x000a_RatingWebService:isEligibleChapter35ByParticipantId(PID)"/>
    <s v="/letterGeneratorService/{version}//getLetterByType(&quot;Benefit Summary Letter - dependent&quot;)_x000a_/letterGeneratorService/{version}//getBenefitsSummaryLetter"/>
    <x v="20"/>
    <m/>
    <x v="1"/>
    <m/>
    <x v="1"/>
    <m/>
    <x v="1"/>
    <x v="1"/>
    <x v="1"/>
  </r>
  <r>
    <x v="6"/>
    <x v="22"/>
    <s v="Generate Letters"/>
    <x v="27"/>
    <s v="Users are able to download a letter that contains a 'card' confirming the individual did serve."/>
    <s v="PDF Generation_x000a_Reporting_x000a_Account Activity History_x000a_"/>
    <s v="Veterans and Servicemembers"/>
    <s v="BAS"/>
    <s v="Custom Built, EVSS-Hosted Capability"/>
    <s v="eBenefits"/>
    <s v="LOA 2 (eBenefits Premium)"/>
    <s v="SOAP-Based Web Services"/>
    <x v="0"/>
    <x v="17"/>
    <s v="VBA Corp, BIRLS"/>
    <s v="N/A"/>
    <s v="• Name_x000a_• Address_x000a_• SSN (partially masked)_x000a_• VA File Number (not masked)"/>
    <s v="• None"/>
    <s v="/ebenefits/download-letters"/>
    <s v="BGS Web Services:_x000a_VetRecordService.findVeteranByPID"/>
    <s v="/letterGeneratorService/{version}//getLetterByType(&quot;Proof of Service Letter&quot;)"/>
    <x v="21"/>
    <m/>
    <x v="1"/>
    <m/>
    <x v="1"/>
    <m/>
    <x v="1"/>
    <x v="1"/>
    <x v="1"/>
  </r>
  <r>
    <x v="6"/>
    <x v="22"/>
    <s v="Generate Letters"/>
    <x v="28"/>
    <s v="Users are able to download a letter containing a summary of the user's service history."/>
    <s v="PDF Generation_x000a_Reporting_x000a_Account Activity History"/>
    <s v="Veterans and Servicemembers"/>
    <s v="BAS"/>
    <s v="Custom Built, EVSS-Hosted Capability"/>
    <s v="eBenefits"/>
    <s v="LOA 2 (eBenefits Premium)"/>
    <s v="SOAP-Based Web Services"/>
    <x v="0"/>
    <x v="17"/>
    <s v="VBA Corp, BIRLS"/>
    <s v="N/A"/>
    <s v="• Name_x000a_• Address_x000a_• SSN (partially masked)_x000a_• Service History"/>
    <s v="• None"/>
    <s v="/ebenefits/download-letters"/>
    <s v="BGS Web Services:_x000a_VetRecordService.findVeteranByPID"/>
    <s v="/letterGeneratorService/{version}//getLetterByType(&quot;Service Verification Letter&quot;)"/>
    <x v="22"/>
    <s v="May be duplicative of the benefit summary letter"/>
    <x v="1"/>
    <m/>
    <x v="1"/>
    <m/>
    <x v="1"/>
    <x v="1"/>
    <x v="1"/>
  </r>
  <r>
    <x v="6"/>
    <x v="19"/>
    <s v="Generate Letters"/>
    <x v="29"/>
    <s v="Users are able to download a letter containing a summary of various benefits. Users may also customize the letter by selecting which benefits to include in the generated letter.  This letter is effectively a combination of the Benefits Verification Letter and Service Verification Letter.This version of the letter is for Veterans only."/>
    <s v="PDF Generation_x000a_Reporting_x000a_Account Activity History_x000a_"/>
    <s v="Veterans"/>
    <s v="BAS"/>
    <s v="Custom Built, EVSS-Hosted Capability"/>
    <s v="eBenefits"/>
    <s v="LOA 2 (eBenefits Premium)"/>
    <s v="SOAP-Based Web Services"/>
    <x v="0"/>
    <x v="17"/>
    <s v="VBA Corp, BIRLS"/>
    <s v="N/A"/>
    <s v="• Name_x000a_• Address_x000a_• SSN/Claim Number (partially masked)_x000a_• Service History"/>
    <s v="• Benefit Amount_x000a_• Amount Paid_x000a_• Effective Date_x000a_• Combined Evaluation_x000a_• Other benefits info being received"/>
    <s v="/ebenefits/download-letters"/>
    <s v="BGS Web Services:_x000a_VetRecordWebService:findVeteranByPID(PID)_x000a_ClaimantWebService:   findGeneralInformationByPID(PID)_x000a_ClaimantWebService:   findOtherAwardInformation(PID)_x000a_RatingService:findRatingDataByParticipant(PID)_x000a_RatingWebService:isEligibleChapter35ByParticipantId(PID)"/>
    <s v="/letterGeneratorService/{version}//getLetterByType(&quot;Benefit Summary Letter&quot;)_x000a_/letterGeneratorService/{version}//getBenefitsSummaryLetter"/>
    <x v="20"/>
    <m/>
    <x v="1"/>
    <m/>
    <x v="1"/>
    <m/>
    <x v="1"/>
    <x v="1"/>
    <x v="1"/>
  </r>
  <r>
    <x v="25"/>
    <x v="23"/>
    <s v="Profile - Medical History"/>
    <x v="30"/>
    <s v="Users can complete the Move! questionnaire to get practical weight management advice. They can print patient and provider reports that are based on their answers."/>
    <s v="N/A"/>
    <s v="Veterans"/>
    <s v="VHA"/>
    <s v="Static Link"/>
    <s v="eBenefits"/>
    <s v="Anonymous"/>
    <s v="Link"/>
    <x v="7"/>
    <x v="18"/>
    <s v="N/A"/>
    <s v="N/A"/>
    <s v="* None"/>
    <s v="Move11 survey captures demographic data around lifestyle, eating and exercise habits, and support"/>
    <s v="http://www.move.va.gov/move23.asp"/>
    <s v="N/A"/>
    <s v="N/A"/>
    <x v="11"/>
    <m/>
    <x v="1"/>
    <m/>
    <x v="1"/>
    <m/>
    <x v="1"/>
    <x v="1"/>
    <x v="1"/>
  </r>
  <r>
    <x v="26"/>
    <x v="16"/>
    <s v="Manage Appointments"/>
    <x v="31"/>
    <s v="Users can view their VHA appointments using myHealtheVet."/>
    <s v="N/A"/>
    <s v="Veterans and Family Members"/>
    <s v="VHA"/>
    <s v="SSO Link"/>
    <s v="eBenefits"/>
    <s v="LOA 2 (eBenefits Premium)"/>
    <s v="VAAFI SSO Junction"/>
    <x v="8"/>
    <x v="19"/>
    <s v="MHV (VistA)"/>
    <s v="N/A"/>
    <s v="* PHI"/>
    <m/>
    <s v="https://int.eauth.va.gov/mhv-portal-web/eauth?deeplinking=appointments"/>
    <s v="N/A"/>
    <s v="N/A"/>
    <x v="14"/>
    <m/>
    <x v="1"/>
    <m/>
    <x v="1"/>
    <m/>
    <x v="1"/>
    <x v="1"/>
    <x v="1"/>
  </r>
  <r>
    <x v="27"/>
    <x v="16"/>
    <s v="Profile - Documents"/>
    <x v="32"/>
    <s v="Users are able to download their VHA medical records. "/>
    <s v="N/A"/>
    <s v="Veterans, Servicemembers, and Family Members"/>
    <s v="VHA"/>
    <s v="SSO Link"/>
    <s v="eBenefits"/>
    <s v="LOA 2 (eBenefits Premium)"/>
    <s v="VAAFI SSO Junction"/>
    <x v="8"/>
    <x v="19"/>
    <s v="MHV (VistA)"/>
    <s v="N/A"/>
    <s v="* None"/>
    <s v="* EDIPI"/>
    <s v="https://int.eauth.va.gov/mhv-portal-web/eauth?deeplinking=download_my_data"/>
    <s v="N/A"/>
    <s v="N/A"/>
    <x v="11"/>
    <m/>
    <x v="1"/>
    <m/>
    <x v="1"/>
    <m/>
    <x v="1"/>
    <x v="1"/>
    <x v="1"/>
  </r>
  <r>
    <x v="28"/>
    <x v="16"/>
    <s v="Communication Tools"/>
    <x v="33"/>
    <s v="Users can use secure messaging to communicate with their VA health care team. They can ask about VA appointments, medications, and lab results using My HealtheVet."/>
    <s v="N/A"/>
    <s v="Veterans and Family Members"/>
    <s v="VHA"/>
    <s v="SSO Link"/>
    <s v="eBenefits"/>
    <s v="LOA 2 (eBenefits Premium)"/>
    <s v="VAAFI SSO Junction"/>
    <x v="8"/>
    <x v="19"/>
    <s v="MHV (VistA)"/>
    <s v="N/A"/>
    <s v="* None"/>
    <s v="* None"/>
    <s v="https://int.eauth.va.gov/mhv-portal-web/eauth?deeplinking=secure_messaging"/>
    <s v="N/A"/>
    <s v="N/A"/>
    <x v="11"/>
    <m/>
    <x v="1"/>
    <m/>
    <x v="1"/>
    <m/>
    <x v="1"/>
    <x v="1"/>
    <x v="1"/>
  </r>
  <r>
    <x v="29"/>
    <x v="24"/>
    <s v="Manage Benefits"/>
    <x v="34"/>
    <s v="Users can view a list of their VA-prescribed medications and have them delivered to their home using My HealtheVet."/>
    <s v="N/A"/>
    <s v="Veterans and Family Members"/>
    <s v="VHA"/>
    <s v="SSO Link"/>
    <s v="eBenefits"/>
    <s v="LOA 2 (eBenefits Premium)"/>
    <s v="VAAFI SSO Junction"/>
    <x v="8"/>
    <x v="19"/>
    <s v="MHV (VistA)"/>
    <s v="N/A"/>
    <s v="* None"/>
    <s v="* None"/>
    <s v="https://int.eauth.va.gov/mhv-portal-web/eauth?deeplinking=prescription_refill"/>
    <s v="VBMS Web Services:_x000a_eDocumentService.listDocuments(FIleNumber)_x000a_eDocumentService.fetchDocumentById(DocumentId)_x000a_eDocumentService.getDocumentTypes_x000a_eDocumentService.list(DocumentType)"/>
    <m/>
    <x v="11"/>
    <m/>
    <x v="1"/>
    <m/>
    <x v="1"/>
    <m/>
    <x v="1"/>
    <x v="1"/>
    <x v="1"/>
  </r>
  <r>
    <x v="30"/>
    <x v="25"/>
    <s v="Learn"/>
    <x v="35"/>
    <s v="Users are able to explore links related to multiple benefit and program resources."/>
    <s v="N/A"/>
    <s v="Any eBenefits user such as a Veteran, Servicemember, Family Member, or caregiver"/>
    <s v="DoD (NRD team)"/>
    <s v="EVSS-Hosted Capability"/>
    <s v="eBenefits"/>
    <s v="Anonymous"/>
    <s v="CUSTOM"/>
    <x v="0"/>
    <x v="7"/>
    <s v="NRD DB"/>
    <s v="N/A"/>
    <s v="N/A"/>
    <s v="* Resource descriptions (including addresses)"/>
    <s v="/ebenefits/nrd"/>
    <s v="N/A"/>
    <s v="/recommendedResource/{version}/getRecommendedResource_x000a_/nrdRatingService/{version}/getResourceRating_x000a_/suggestedResourceService/{version}/getSubjectsAudiences_x000a_/suggestedResourceService/{version}/saveSuggestedResource_x000a_/suggestedResourceService/{version}/createOrganization"/>
    <x v="23"/>
    <m/>
    <x v="12"/>
    <m/>
    <x v="15"/>
    <m/>
    <x v="1"/>
    <x v="9"/>
    <x v="1"/>
  </r>
  <r>
    <x v="31"/>
    <x v="26"/>
    <s v="Learn, Profile - Contact Info, Profile- Military History, Profile - Medical History, Profile - Employment History"/>
    <x v="36"/>
    <s v="Users are able to supply information about their exposure to open burn pits in order to be added to a registry. They are also provided information about the potential health effects. "/>
    <s v="N/A"/>
    <s v="Veterans and Servicemembers"/>
    <s v="VHA Public Health"/>
    <s v="SSO Link"/>
    <s v="eBenefits"/>
    <s v="Anonymous"/>
    <s v="VAAFI SSO Junction"/>
    <x v="9"/>
    <x v="20"/>
    <s v="VBA Corp"/>
    <s v="N/A"/>
    <s v="N/A"/>
    <s v="N/A"/>
    <s v="va.gov/AHBurnPitRegistry-v2/index.html#page/home"/>
    <s v="N/A"/>
    <s v="N/A"/>
    <x v="24"/>
    <m/>
    <x v="1"/>
    <m/>
    <x v="1"/>
    <m/>
    <x v="1"/>
    <x v="1"/>
    <x v="1"/>
  </r>
  <r>
    <x v="32"/>
    <x v="27"/>
    <s v="Apply for Benefits"/>
    <x v="37"/>
    <s v="Users can order hearing aids and prosthetic socks. "/>
    <s v="N/A"/>
    <s v="Veterans"/>
    <s v="VHA, OAL"/>
    <s v="Integrated Portlet"/>
    <s v="eBenefits"/>
    <s v="LOA 2 (eBenefits Premium)"/>
    <s v="VAAFI SSO Junction"/>
    <x v="10"/>
    <x v="21"/>
    <s v="CPRS"/>
    <s v="N/A"/>
    <s v="* Email address"/>
    <s v="* None"/>
    <s v="/ebenefits/OrderMedicalEquip"/>
    <s v="N/A"/>
    <s v="N/A"/>
    <x v="25"/>
    <m/>
    <x v="1"/>
    <m/>
    <x v="1"/>
    <m/>
    <x v="1"/>
    <x v="1"/>
    <x v="1"/>
  </r>
  <r>
    <x v="33"/>
    <x v="28"/>
    <s v="Profile- Payment History"/>
    <x v="38"/>
    <s v="Users are able to check the status of their Compensation Service payments."/>
    <s v="Account Activity History_x000a_Service Orchestration_x000a_"/>
    <s v="Veterans, Servicemembers, VSOs, attorneys, and agents"/>
    <s v="Compensation (for now)"/>
    <s v="Custom Built, EVSS-Hosted Capability"/>
    <s v="eBenefits,_x000a_SEP"/>
    <s v="LOA 2 (eBenefits Premium)"/>
    <s v="SOAP-Based Web Services"/>
    <x v="0"/>
    <x v="2"/>
    <s v="VBA Corp, BDN"/>
    <s v="N/A"/>
    <s v="• Net Payment Amount_x000a_• Payment Date_x000a_• Payment Method_x000a_• Bank Name_x000a_• Account Number (partially masked)"/>
    <s v="• None"/>
    <s v="/ebenefits/payments"/>
    <s v="BGS Web Services:_x000a_PaymentInformationService.retrievePaymentSummaryWithBDN_x000a_VetRecordWebService.findVeteranByFileNumber_x000a_BenefitClaimWebService.findGeneralInformationByFileNumber (ClaimantWevService?)_x000a_DdeftWebService.findComericaRoutingTrnsitNbr_x000a_EBenefitsAddressUpdateWebService.updateAddress"/>
    <m/>
    <x v="26"/>
    <m/>
    <x v="3"/>
    <s v="Vets would like to know which account the payments were made from, and any time there is a change in the payment ammount they would like to understand why "/>
    <x v="16"/>
    <s v="Opportunity to expose the reasoning behind payments increase/decrease before the explanation letter arrives (usually 2-3 weeks later)"/>
    <x v="8"/>
    <x v="2"/>
    <x v="1"/>
  </r>
  <r>
    <x v="34"/>
    <x v="29"/>
    <s v="Profile - Contact Info and DD/EFT"/>
    <x v="39"/>
    <s v="Users are able to update their contact information and DD/EFT. Note: This feature only works for benefits where business lines are using the Corp DB or in the case of Ch. 33, BDN. "/>
    <s v="Account Activity History_x000a_Message Center"/>
    <s v="Veterans, Servicemembers, and Family Members"/>
    <s v="Compensation, Pension, VR&amp;E"/>
    <s v="Custom Built, EVSS-Hosted Capability"/>
    <s v="eBenefits"/>
    <s v="LOA 2 (eBenefits Premium)"/>
    <s v="SOAP-Based Web Services"/>
    <x v="0"/>
    <x v="2"/>
    <s v="VBA Corp, BDN"/>
    <s v="N/A"/>
    <s v="• Name_x000a_• Mailing Address_x000a_• Payment Mailing Address_x000a_• Payment Direct Deposit (partially masked routing/account number)_x000a_• Phone Numbers_x000a_* Email Address"/>
    <m/>
    <s v="/ebenefits/PCIU"/>
    <s v="BGS Web Services:_x000a_PaymentInformationService.retrievePaymentSummaryWithBDN_x000a_VetRecordWebService.findVeteranByFileNumber_x000a_BenefitClaimWebService.findGeneralInformationByFileNumber (ClaimantWevService?)_x000a_DdeftWebService.findComericaRoutingTrnsitNbr_x000a_EBenefitsAddressUpdateWebService.updateAddress"/>
    <s v="/pciu/{version}/retrievePciuInfo_x000a_/pciu/{version}/updatePciuInfo"/>
    <x v="12"/>
    <s v="A very high value feature but also a target for fraudsters, need to have a enterprise wide fraud solution, that handles this for the veterans."/>
    <x v="0"/>
    <m/>
    <x v="17"/>
    <s v="Improve security, centralize data,"/>
    <x v="9"/>
    <x v="10"/>
    <x v="1"/>
  </r>
  <r>
    <x v="35"/>
    <x v="30"/>
    <s v="Profile - Family Members"/>
    <x v="40"/>
    <s v="Users are able to view the dependents the VA has on record and see if they are on their Compensation award or not. "/>
    <s v="Account Activity History_x000a_"/>
    <s v="Veterans, Servicemembers, Family Members, VSOs, attorneys, and agents"/>
    <s v="Compensation, Pension"/>
    <s v="Custom Built, EVSS-Hosted Capability"/>
    <s v="eBenefits_x000a_SEP"/>
    <s v="LOA 2 (eBenefits Premium)"/>
    <s v="SOAP-Based Web Services"/>
    <x v="0"/>
    <x v="2"/>
    <s v="VBA Corp"/>
    <s v="N/A"/>
    <s v="* Dependent name_x000a_* DOB_x000a_* Gender_x000a_* SSN (partially masked)"/>
    <s v="* Relationship"/>
    <s v="/ebenefits/dependents"/>
    <s v="BGS Web Services:_x000a_CliaimantWebService.findDependents(fileNumber)"/>
    <m/>
    <x v="27"/>
    <s v="Read Only (dashboard view), depending on the rating we need to inform veterans of any changes in dependency and changes in payment ammounts."/>
    <x v="13"/>
    <s v="Vets would like to have personalization as well as customization"/>
    <x v="1"/>
    <s v="To make adding dependents seamless and instantaneous. Being able to say that the VA recognizes dependents quickly is paramount"/>
    <x v="4"/>
    <x v="2"/>
    <x v="1"/>
  </r>
  <r>
    <x v="36"/>
    <x v="9"/>
    <s v="Profile -My Documents"/>
    <x v="41"/>
    <s v="Users are able to see and download documents they have uploaded to the VA"/>
    <s v="Account Activity History_x000a_"/>
    <s v="All eBenefits users"/>
    <s v="VRM"/>
    <s v="Custom Built, EVSS-Hosted Capability"/>
    <s v="eBenefits"/>
    <s v="LOA 2 (eBenefits Premium)"/>
    <s v="SOAP-Based Web Services"/>
    <x v="0"/>
    <x v="22"/>
    <s v="VBMS"/>
    <s v="VBMS eFolder"/>
    <s v="* Any type of PII/PHI"/>
    <s v="* Other"/>
    <m/>
    <s v="VBMS Web Services:_x000a_eDocumentService.listDocuments(FIleNumber)_x000a_eDocumentService.fetchDocumentById(DocumentId)_x000a_eDocumentService.getDocumentTypes_x000a_eDocumentService.list(DocumentType)"/>
    <m/>
    <x v="28"/>
    <m/>
    <x v="14"/>
    <s v="research suggests veterans would like to know which documents have been uploaded and relation to claim status"/>
    <x v="18"/>
    <s v="To create a document repository that Veterans can effictively maintain a documentation set that can be associated with any process in our system"/>
    <x v="10"/>
    <x v="11"/>
    <x v="1"/>
  </r>
  <r>
    <x v="37"/>
    <x v="28"/>
    <s v="Profile - Disabilities"/>
    <x v="42"/>
    <s v="Users are able to view their current disabliity ratings for each contention and the combined disability rating. "/>
    <s v="Account Activity History_x000a_"/>
    <s v="Veterans, Servicemembers, Family Members, VSOs, attorneys, and agents"/>
    <s v="Compensation"/>
    <s v="Custom Built, EVSS-Hosted Capability"/>
    <s v="eBenefits_x000a_SEP"/>
    <s v="LOA 2 (eBenefits Premium)"/>
    <s v="SOAP-Based Web Services"/>
    <x v="0"/>
    <x v="2"/>
    <s v="VBA Corp"/>
    <s v="N/A"/>
    <s v="* diagnostic text_x000a_* diagnostic type code_x000a_* diagnostic type name"/>
    <s v="* service-connected combined degree_x000a_* non-service-connected combined degree_x000a_* exam dates_x000a_* relevant military service period_x000a_* decisions_x000a_* withholding amount"/>
    <s v="/ebenefits/disabilities"/>
    <s v="BGS Web Services:_x000a_RatingService.findRatingData(FileNumber)_x000a_RatingService.findRatingDataByParticipant(participantId)"/>
    <m/>
    <x v="29"/>
    <m/>
    <x v="4"/>
    <s v="Follow up with FROG to backfill research"/>
    <x v="19"/>
    <s v="Display more accurately, ensure data is properly populated in all of the data repositories"/>
    <x v="4"/>
    <x v="12"/>
    <x v="1"/>
  </r>
  <r>
    <x v="38"/>
    <x v="0"/>
    <s v="Profile - Representative"/>
    <x v="43"/>
    <s v="Users are able to view their active representative who has Power of Attorney to act on their behalf. "/>
    <s v="Account Activity History_x000a_"/>
    <s v="Veterans, Servicemembers, Family Members, VSOs, attorneys, and agents"/>
    <s v="VRM, OGC"/>
    <s v="Custom Built, EVSS-Hosted Capability"/>
    <s v="eBenefits_x000a_SEP"/>
    <s v="LOA 2 (eBenefits Premium)"/>
    <s v="SOAP-Based Web Services"/>
    <x v="0"/>
    <x v="2"/>
    <s v="VBA Corp"/>
    <s v="N/A"/>
    <s v="* None"/>
    <s v="Representative organization name"/>
    <s v="/ebenefits/representative"/>
    <s v="BGS Web Services:_x000a_CPPersonalInformationService.readPersonalRecord_x000a_VetRecordWebService.findVeteranByFileNumber_x000a_AwardWebService.findStationOfJurisdiction_x000a_RORoutingService.getRegionalOfficeByZipCode_x000a_VRMDraftFormPersistenceService.readForm_x000a_VnpPersonService.vnpPersonCreate_x000a_VnpProcService.vnpProcCreate_x000a_VnpAtchmsWebService.vnpAtchmsCreate_x000a_VeteranRepresentativeService.createVeteranRepresentative_x000a_"/>
    <m/>
    <x v="1"/>
    <m/>
    <x v="4"/>
    <m/>
    <x v="20"/>
    <s v="Display all known POA's, to develop an enterprise POA process in the VA that allows for general and specific POA's "/>
    <x v="4"/>
    <x v="11"/>
    <x v="1"/>
  </r>
  <r>
    <x v="39"/>
    <x v="31"/>
    <s v="Profile - Benefits"/>
    <x v="44"/>
    <s v="Users are able to view the status of various ancillary and other benefits"/>
    <s v="Account Activity History_x000a_"/>
    <s v="Veterans, Servicemembers, Family Members, VSOs, attorneys, and agents"/>
    <s v="Compensation, VR&amp;E"/>
    <s v="Custom Built, EVSS-Hosted Capability"/>
    <s v="eBenefits_x000a_SEP"/>
    <s v="LOA 2 (eBenefits Premium)"/>
    <s v="SOAP-Based Web Services"/>
    <x v="0"/>
    <x v="2"/>
    <s v="VBA Corp"/>
    <s v="N/A"/>
    <s v="* None"/>
    <s v="* Eligibility determinations_x000a_* Special monthly compenstation benefits_x000a_*  Adapative equipment_x000a_* Automobile grant_x000a_* Special adaptive housing_x000a_* VR&amp;E benefits"/>
    <s v="/ebenefits/benefits"/>
    <s v="BGS Web Services:_x000a_RatingService.findRatingData(fileNumber)"/>
    <m/>
    <x v="29"/>
    <m/>
    <x v="4"/>
    <s v="Follow up with FROG to backfill research"/>
    <x v="21"/>
    <s v="Display more accurately, ensure data is properly populated in all of the data elements"/>
    <x v="11"/>
    <x v="2"/>
    <x v="1"/>
  </r>
  <r>
    <x v="40"/>
    <x v="32"/>
    <s v="Apply for Benefits"/>
    <x v="45"/>
    <s v="Users can see any VDC applications that they have started and not yet submitted. "/>
    <s v="Account Activity History_x000a_"/>
    <s v="Veterans, Servicemembers, Family Members, VSOs, attorneys, and agents"/>
    <s v="Compensation, VRM, OGC"/>
    <s v="Custom Built, EVSS-Hosted Capability"/>
    <s v="eBenefits_x000a_VDC_x000a_SEP"/>
    <s v="LOA 2 (eBenefits Premium)"/>
    <s v="SOAP-Based Web Services"/>
    <x v="0"/>
    <x v="7"/>
    <s v="VBA Corp"/>
    <s v="N/A"/>
    <s v="• Contentions for Open claims"/>
    <s v="• Application Submitted_x000a_• Application Status_x000a_• Application Type_x000a_• Application Updates_x000a_• Application Actions_x000a_"/>
    <s v="ebenefits/claims"/>
    <s v="/BGS Web Services:_x000a_IntentToFileWebServiceBean/IntentToFileWebService?WSDL:findIntentToFileByPtcpntIdItfTypeCd_x000a_/EBenefitsBnftClaimStatusWebServiceBean/EBenefitsBnftClaimStatusWebService?WSDL:findOpenBenefitClaimsStatusBySSN_x000a_/CaseWebServiceBean/CaseWebService?WSDL:findCh31CaseByPtcpntVetId"/>
    <m/>
    <x v="10"/>
    <m/>
    <x v="4"/>
    <s v="Veterans would like a more detailed display of what is required for a started application. Potentially creation of a FAQ, or video instructions."/>
    <x v="22"/>
    <s v="to mash all of this into a single view, the veteran does not think of this as three separate processes and there is an opportunity to present this as a singular progression.  Moving to a new platform allows to a potential culture change."/>
    <x v="6"/>
    <x v="12"/>
    <x v="1"/>
  </r>
  <r>
    <x v="41"/>
    <x v="33"/>
    <s v="Profile"/>
    <x v="46"/>
    <s v="Users are able to view an overview of their information and a set of actions they can take."/>
    <s v="Account Activity History_x000a_"/>
    <s v="Veterans, Servicemembers, Family Members, VSOs, attorneys, and agents"/>
    <s v="Compensation, VRM, Education, VR&amp;E"/>
    <s v="Custom Built, EVSS-Hosted Capability"/>
    <s v="eBenefits_x000a_SEP"/>
    <s v="LOA 2 (eBenefits Premium)"/>
    <s v="SOAP-Based Web Services"/>
    <x v="0"/>
    <x v="23"/>
    <s v="N/A"/>
    <s v="N/A"/>
    <s v="* Name"/>
    <s v="N/A"/>
    <s v="ebenefits/profile"/>
    <s v="MVI Web Services:_x000a_/psim_webservice/IdMWebService:controlActProcess_x000a__x000a_BGS Web Services:_x000a_/EBenefitsAddressUpdateWebServiceBean/EBenefitsAddressUpdateWebService?wsdl:updateAddress"/>
    <m/>
    <x v="30"/>
    <m/>
    <x v="15"/>
    <s v="Follow up with FROG to backfill research"/>
    <x v="23"/>
    <s v="Universal dashboard/ profile within the VA"/>
    <x v="12"/>
    <x v="1"/>
    <x v="1"/>
  </r>
  <r>
    <x v="42"/>
    <x v="34"/>
    <s v="Apply for Benefits"/>
    <x v="47"/>
    <s v="Users can download forms to apply for CHAMPVA Benefits, Meds by Mail, Spina Bifida Claim, Foreign Medical Program Registration. They would need to complete them by hand and mail them in. "/>
    <s v="N/A"/>
    <s v="All eBenefits users"/>
    <s v="VHA"/>
    <s v="Static Link"/>
    <s v="eBenefits"/>
    <s v="Anonymous"/>
    <s v="Not Integrated"/>
    <x v="0"/>
    <x v="24"/>
    <s v="N/A"/>
    <s v="N/A"/>
    <s v="N/A"/>
    <s v="N/A"/>
    <s v="/ebenefits/CHAMPVADashboard"/>
    <s v="N/A"/>
    <s v="N/A"/>
    <x v="31"/>
    <m/>
    <x v="16"/>
    <m/>
    <x v="1"/>
    <m/>
    <x v="13"/>
    <x v="1"/>
    <x v="1"/>
  </r>
  <r>
    <x v="43"/>
    <x v="35"/>
    <s v="Profile - Documents"/>
    <x v="48"/>
    <s v="Users can review and print documents from their official Military Personnel File, including their DD 214."/>
    <s v="Account Activity History_x000a_"/>
    <s v="Veterans and Servicemembers"/>
    <s v="DoD"/>
    <s v="Integrated Portlet"/>
    <s v="eBenefits"/>
    <s v="LOA 2 (eBenefits Premium)"/>
    <s v="WSRP"/>
    <x v="11"/>
    <x v="25"/>
    <s v="DPRIS"/>
    <s v="N/A"/>
    <s v="N/A"/>
    <s v="N/A"/>
    <s v="/ebenefits/DPRIS"/>
    <s v="N/A"/>
    <s v="N/A"/>
    <x v="32"/>
    <s v="Current status - contract rotation and new contractor has come in and is replanning the work that was done at the end of the previous contract. We need to add additional content explaining the need for DD214. "/>
    <x v="3"/>
    <m/>
    <x v="1"/>
    <s v="Link the workflow into the claims process. Federate those documents into a single view."/>
    <x v="14"/>
    <x v="13"/>
    <x v="1"/>
  </r>
  <r>
    <x v="44"/>
    <x v="36"/>
    <s v="Learn"/>
    <x v="49"/>
    <s v="Users are able to request benefits information packets from State Veterans Affairs offices."/>
    <s v="Message Center_x000a_Email / SMTP_x000a_Account Activity History_x000a__x000a_"/>
    <s v="All eBenefits users"/>
    <s v="BAS"/>
    <s v="Custom Built"/>
    <s v="eBenefits"/>
    <s v="LOA 1 (eBenefits Basic)"/>
    <s v="iFrame"/>
    <x v="0"/>
    <x v="24"/>
    <s v="N/A"/>
    <s v="N/A"/>
    <s v="• Name_x000a_• Phone Number_x000a_• Mailing Address_x000a_• DOB_x000a_* Email address"/>
    <s v="* State_x000a_* Topic category"/>
    <s v="/ebenefits/RequestStateBenefits"/>
    <s v="N/A"/>
    <s v="N/A"/>
    <x v="33"/>
    <m/>
    <x v="3"/>
    <m/>
    <x v="24"/>
    <s v="put this feature in a more prominent location so that veterans can have access to the benefits they can receive from the states."/>
    <x v="15"/>
    <x v="14"/>
    <x v="1"/>
  </r>
  <r>
    <x v="45"/>
    <x v="0"/>
    <s v="Learn"/>
    <x v="50"/>
    <s v="Users are able to search for a VSO, attorney, or agent to represent them during interactions with the VA."/>
    <s v="PDF Generation"/>
    <s v="Veterans, Servicemembers, and Family Members"/>
    <s v="VRM, OGC"/>
    <s v="Custom Built, EVSS-Hosted Capability"/>
    <s v="eBenefits"/>
    <s v="Anonymous"/>
    <s v="JDBC / SOAP-Based Web Service"/>
    <x v="0"/>
    <x v="26"/>
    <s v="OGC"/>
    <s v="N/A"/>
    <s v="• None"/>
    <s v="• POA"/>
    <s v="/ebenefits/vso-search"/>
    <s v="BGS Web Services:_x000a_CliaimantWebService.findDependents(fileNumber)"/>
    <m/>
    <x v="1"/>
    <m/>
    <x v="4"/>
    <m/>
    <x v="25"/>
    <s v="Complete overhaul is required of the database and the logic on the front and back end."/>
    <x v="4"/>
    <x v="15"/>
    <x v="1"/>
  </r>
  <r>
    <x v="46"/>
    <x v="37"/>
    <s v="Workload Management"/>
    <x v="51"/>
    <s v="Users are able to locate the records of the people they represent. From there they have access to a menu of features they can use to support that particular client. "/>
    <s v="Account Activity History_x000a_Reporting_x000a_Service Orchestration"/>
    <s v="VSOs, attorneys, and agents"/>
    <s v="VRM, OGC"/>
    <s v="Custom Built, EVSS-Hosted Capability"/>
    <s v="SEP"/>
    <s v="LOA 3"/>
    <s v="SOAP-Based Web Services"/>
    <x v="0"/>
    <x v="27"/>
    <s v="VBA Corp, OGC, VADIR"/>
    <s v="N/A"/>
    <s v="• Name_x000a_• DOB_x000a_• SSN_x000a_• Location (City, State)_x000a_• POA_x000a_• Whether Veteran has an eBenefits account_x000a_• Email Address_x000a_• Any information accessible via: Claim Status, VDC, Payment History, and the Profile)"/>
    <s v="* Branch of service_x000a_* RAD date_x000a_* Station of Jurisdiction"/>
    <m/>
    <s v="BGS Web Services:_x000a_SEPVeteranSearchService.sepVeteranSearch"/>
    <m/>
    <x v="34"/>
    <m/>
    <x v="17"/>
    <m/>
    <x v="26"/>
    <s v="To improve the search capability through MVI "/>
    <x v="16"/>
    <x v="16"/>
    <x v="1"/>
  </r>
  <r>
    <x v="47"/>
    <x v="38"/>
    <s v="Manage Benefits"/>
    <x v="52"/>
    <s v="Users can view their total out-of-pocket expenses, claim records, and TRICARE fees for the current and prior fiscal years."/>
    <s v="N/A"/>
    <s v="Servicemembers"/>
    <s v="DoD, DHA"/>
    <s v="SSO Link"/>
    <s v="eBenefits"/>
    <s v="LOA 2 (eBenefits Premium)"/>
    <s v="VAAFI SSO Junction (Milconnect)"/>
    <x v="12"/>
    <x v="28"/>
    <s v="DEERS"/>
    <s v="N/A"/>
    <s v="* None"/>
    <s v="* None"/>
    <s v="https://webct2.dmdc.osd.mil/milconnect/faces/pages/ccd.jspx"/>
    <s v="N/A"/>
    <s v="N/A"/>
    <x v="11"/>
    <m/>
    <x v="18"/>
    <m/>
    <x v="1"/>
    <m/>
    <x v="15"/>
    <x v="2"/>
    <x v="1"/>
  </r>
  <r>
    <x v="48"/>
    <x v="11"/>
    <s v="Profile - Employment, Profile - Education"/>
    <x v="53"/>
    <s v="Users are able to view and update their civilian employment and student information."/>
    <s v="N/A"/>
    <s v="Servicemembers"/>
    <s v="DoD"/>
    <s v="SSO Link"/>
    <s v="eBenefits"/>
    <s v="LOA 2 (eBenefits Premium)"/>
    <s v="VAAFI SSO Junction (Milconnect)"/>
    <x v="2"/>
    <x v="10"/>
    <s v="DEERS"/>
    <s v="N/A"/>
    <s v="* None"/>
    <s v="* None"/>
    <s v="https://www.dmdc.osd.mil/esgr/ceiMainAction.do"/>
    <s v="N/A"/>
    <s v="N/A"/>
    <x v="11"/>
    <s v="could be potentially combined with the employment center."/>
    <x v="19"/>
    <m/>
    <x v="1"/>
    <s v="Could be comebined with current employment center on vets.gov platform"/>
    <x v="15"/>
    <x v="1"/>
    <x v="1"/>
  </r>
  <r>
    <x v="49"/>
    <x v="11"/>
    <s v="Access"/>
    <x v="54"/>
    <s v="Users are able to view a summary of their personnel information in DEERS."/>
    <s v="N/A"/>
    <s v="Servicemembers"/>
    <s v="DoD"/>
    <s v="SSO Link"/>
    <s v="eBenefits"/>
    <s v="LOA 2 (eBenefits Premium)"/>
    <s v="VAAFI SSO Junction (Milconnect)"/>
    <x v="2"/>
    <x v="10"/>
    <s v="DEERS"/>
    <s v="N/A"/>
    <s v="* None"/>
    <s v="* None"/>
    <s v="https://webct2.dmdc.osd.mil/milconnect/faces/pages/update_my_profile.jspx"/>
    <s v="N/A"/>
    <s v="N/A"/>
    <x v="11"/>
    <s v="Changes in this information would affect veteran status"/>
    <x v="0"/>
    <s v="veterans want to be notified of any changes or logins to their account. "/>
    <x v="1"/>
    <s v="possible chance to bring this in as a part of the customizable dashboard"/>
    <x v="11"/>
    <x v="1"/>
    <x v="1"/>
  </r>
  <r>
    <x v="50"/>
    <x v="39"/>
    <s v="Manage Benefits"/>
    <x v="55"/>
    <s v="Users can find out how much personal and family coverage their SGLI policy provides."/>
    <s v="N/A"/>
    <s v="Servicemembers"/>
    <s v="DoD"/>
    <s v="SSO"/>
    <s v="eBenefits"/>
    <s v="LOA 2 (eBenefits Premium)"/>
    <s v="VAAFI SSO Junction"/>
    <x v="2"/>
    <x v="29"/>
    <s v="SGLI, DEERS"/>
    <s v="N/A"/>
    <s v="N/A"/>
    <s v="N/A"/>
    <s v="https://webct2.dmdc.osd.mil/milconnect/faces/pages/sgli.jspx"/>
    <s v="N/A"/>
    <s v="N/A"/>
    <x v="35"/>
    <m/>
    <x v="3"/>
    <m/>
    <x v="27"/>
    <s v="possible combination with VGLI, "/>
    <x v="17"/>
    <x v="17"/>
    <x v="1"/>
  </r>
  <r>
    <x v="51"/>
    <x v="40"/>
    <s v="Apply for Benefits, Check Claim Status "/>
    <x v="56"/>
    <s v="Users are able to apply for Specially Adapted Housing benefits and check the status of their request. "/>
    <s v="Account Activity History_x000a_"/>
    <s v="Veterans"/>
    <s v="Loan Guaranty"/>
    <s v="Integrated Portlet"/>
    <s v="eBenefits"/>
    <s v="LOA 1 (eBenefits Basic)"/>
    <s v="VAAFI SSO Junction"/>
    <x v="6"/>
    <x v="16"/>
    <s v="LGY"/>
    <s v="N/A"/>
    <s v="* None"/>
    <s v="* None"/>
    <s v="/ebenefits/SAH"/>
    <s v="N/A"/>
    <s v="N/A"/>
    <x v="36"/>
    <s v="The way it is identified there might be a separate IPT.  There are two separate actions, to apply for SAH, and to check claim status it is under &quot;manage&quot;"/>
    <x v="20"/>
    <m/>
    <x v="1"/>
    <s v="discuss linking both of these features in one spot to reduce headaches for vet's/vsos"/>
    <x v="18"/>
    <x v="18"/>
    <x v="1"/>
  </r>
  <r>
    <x v="52"/>
    <x v="10"/>
    <s v="Manage Benefits"/>
    <x v="57"/>
    <s v="Servicemembers are able to Transfer Education Benefits to their dependents. "/>
    <s v="N/A"/>
    <s v="Servicemembers"/>
    <s v="DoD"/>
    <s v="SSO Link"/>
    <s v="eBenefits"/>
    <s v="LOA 2 (eBenefits Premium)"/>
    <s v="VAAFI SSO Junction (Milconnect)"/>
    <x v="2"/>
    <x v="10"/>
    <s v="DEERS"/>
    <s v="N/A"/>
    <s v="* None"/>
    <s v="* EDIPI"/>
    <s v="https://www.dmdc.osd.mil/milconnect/faces/pages/teb.jspx"/>
    <s v="N/A"/>
    <s v="N/A"/>
    <x v="11"/>
    <m/>
    <x v="0"/>
    <m/>
    <x v="28"/>
    <s v="To educate our vets about the ability to transfer these benefits to dependents"/>
    <x v="19"/>
    <x v="2"/>
    <x v="1"/>
  </r>
  <r>
    <x v="53"/>
    <x v="41"/>
    <s v="Apply for Benefits, Manage Benefits"/>
    <x v="58"/>
    <s v="Users with a DEERS record can enroll and manage their DoD health insurance benefits. "/>
    <s v="N/A"/>
    <s v="Veterans, Servicemembers, and Family Members"/>
    <s v="DoD"/>
    <s v="SSO Link"/>
    <s v="eBenefits"/>
    <s v="LOA 2 (eBenefits Premium)"/>
    <s v="SAML"/>
    <x v="12"/>
    <x v="28"/>
    <s v="DEERS, "/>
    <s v="N/A"/>
    <s v="• VA Disability Rating"/>
    <s v="* None"/>
    <s v="https://webct2.dmdc.osd.mil/milconnect/faces/pages/health_care.jspx"/>
    <s v="N/A"/>
    <s v="N/A"/>
    <x v="11"/>
    <s v="Remote proofing is a must if not using DSLOGON"/>
    <x v="0"/>
    <m/>
    <x v="1"/>
    <s v="potential for vets.gov to serve a portion of potential user base. "/>
    <x v="1"/>
    <x v="2"/>
    <x v="1"/>
  </r>
  <r>
    <x v="54"/>
    <x v="42"/>
    <s v="Learn"/>
    <x v="59"/>
    <s v="Users cam take courses to understand the benefits they may be entitled to as they transition into Veteran status. No log in required and available to all users."/>
    <s v="N/A"/>
    <s v="Geared towards Servicemembers but available to everyone. "/>
    <s v="DoD"/>
    <s v="SSO Link"/>
    <s v="eBenefits"/>
    <s v="Anonymous"/>
    <s v="VAAFI SSO Junction (Milconnect)"/>
    <x v="13"/>
    <x v="30"/>
    <s v="N/A"/>
    <s v="N/A"/>
    <s v="* None"/>
    <s v="* None"/>
    <s v="http://jko.jten.mil/courses/tap/TGPS%20Standalone%20Training/start.html"/>
    <s v="N/A"/>
    <s v="N/A"/>
    <x v="11"/>
    <s v="During separation there is a &quot;firehose&quot; of documentation and information for vets leaving active duty. Could potentially be a quick win. "/>
    <x v="17"/>
    <s v="Many veterans were not very happy with TAP briefings."/>
    <x v="29"/>
    <s v="To overhaul the training including new information (videos, process explanation, FAQ's)"/>
    <x v="15"/>
    <x v="1"/>
    <x v="1"/>
  </r>
  <r>
    <x v="55"/>
    <x v="16"/>
    <s v="Manage Authorization"/>
    <x v="60"/>
    <s v="Users can enroll in the Virtual Lifetime Electronic Record (VLER) Health Program to securely share parts of their health records among VA, DoD, and selected private health care providers."/>
    <s v="Account Activity History_x000a_"/>
    <s v="Veterans"/>
    <s v="VHA"/>
    <s v="Integrated Portlet"/>
    <s v="eBenefits"/>
    <s v="LOA 2 (eBenefits Premium)"/>
    <s v="SOAP-Based Web Services"/>
    <x v="14"/>
    <x v="7"/>
    <s v="NHI"/>
    <s v="VAP DB"/>
    <s v="* Name_x000a_* DOB_x000a_* Gender_x000a_* SSN"/>
    <s v="N/A"/>
    <s v="/ebenefits/vapii"/>
    <s v="BGS Web Services:_x000a_VRMDraftFormDocumentService"/>
    <m/>
    <x v="37"/>
    <s v="5 Forms : 10-5345-SSA - Req for authorization release of medical records ; 10-0484A - Revocation form ; 10-0484 - Revocation of release of individual identifiable health record; 10-0485 - end win form National health information network ; 10-5345AMHV - My healthevet medical request for medical records"/>
    <x v="21"/>
    <m/>
    <x v="30"/>
    <s v="release the latest forms."/>
    <x v="11"/>
    <x v="1"/>
    <x v="1"/>
  </r>
  <r>
    <x v="56"/>
    <x v="32"/>
    <s v="Apply for Benefits"/>
    <x v="61"/>
    <s v="Users can see any VDC applications that they have started and not yet submitted. They can also see completed applications and initiate new applications. "/>
    <s v="Account Activity History_x000a_"/>
    <s v="Veterans, Servicemembers, Family Members, VSOs, attorneys, and agents"/>
    <s v="Compensation, VRM, OGC"/>
    <s v="Custom Built, EVSS-Hosted Capability"/>
    <s v="eBenefits_x000a_SEP"/>
    <s v="LOA 2 (eBenefits Premium)"/>
    <s v="SOAP-Based Web Services"/>
    <x v="0"/>
    <x v="23"/>
    <s v="VBA Corp"/>
    <s v="N/A"/>
    <s v="• Contentions for Open claims"/>
    <s v="• Application Submitted_x000a_• Application Status_x000a_• Application Type_x000a_• Application Updates_x000a_• Application Actions_x000a_"/>
    <s v="ebenefits/vdc?target=/wssweb/VDC/dashboard.do"/>
    <s v="BGS Web Services:_x000a_/SvnTypeEJBV2/SvnTypeV2Service:findListValuesResponse"/>
    <m/>
    <x v="38"/>
    <s v="Once we did the redesign this page was hidden, this feature would be absorbed into the universal dashboard capability. May need to be a potential capability in SEP"/>
    <x v="22"/>
    <m/>
    <x v="1"/>
    <s v="Determine whether or not this page needs to exist in its current design - need to revisit this , we split all of the pages out so that each page could be accessed without the need for the dashboard"/>
    <x v="1"/>
    <x v="1"/>
    <x v="1"/>
  </r>
  <r>
    <x v="57"/>
    <x v="39"/>
    <s v="Apply for Benefits"/>
    <x v="62"/>
    <s v="Users can enroll for life insurance, or view and update their existing VGLI policy. They can also download forms and print their Certificate of Insurance."/>
    <s v="N/A"/>
    <s v="Veterans"/>
    <s v="Insurance"/>
    <s v="SSO Link"/>
    <s v="eBenefits"/>
    <s v="LOA 2 (eBenefits Premium)"/>
    <s v="VAAFI SSO Junction"/>
    <x v="13"/>
    <x v="31"/>
    <s v="Compass"/>
    <s v="N/A"/>
    <s v="* None"/>
    <s v="* None"/>
    <s v="/ebenefits/vgli"/>
    <s v="N/A"/>
    <s v="N/A"/>
    <x v="11"/>
    <s v="SSO link that we provide, but this needs to be handled by the insurance service and vets.gov possible combination with SGLI. James Whitehed - VGLI PMO"/>
    <x v="3"/>
    <m/>
    <x v="1"/>
    <m/>
    <x v="1"/>
    <x v="1"/>
    <x v="1"/>
  </r>
  <r>
    <x v="58"/>
    <x v="16"/>
    <s v="Apply for Benefits"/>
    <x v="63"/>
    <s v="Users can apply for VHA healthcare benefits."/>
    <s v="N/A"/>
    <s v="Veterans"/>
    <s v="VHA-CBO"/>
    <s v="SSO Link"/>
    <s v="eBenefits"/>
    <s v="Anonymous"/>
    <s v="iFrame"/>
    <x v="15"/>
    <x v="32"/>
    <s v="VOA"/>
    <s v="N/A"/>
    <s v="* Name_x000a_* DOB_x000a_* Gender_x000a_* SSN"/>
    <s v="N/A"/>
    <s v="/ebenefits/voa"/>
    <s v="BGS Web Services:_x000a_VetRecordWebService:findVeteranByPID(PID)_x000a_ClaimantWebService:   findGeneralInformationByPID(PID)_x000a_ClaimantWebService:   findOtherAwardInformation(PID)_x000a_RatingService:findRatingDataByParticipant(PID)_x000a_RatingWebService:isEligibleChapter35ByParticipantId(PID)"/>
    <m/>
    <x v="39"/>
    <m/>
    <x v="23"/>
    <m/>
    <x v="1"/>
    <m/>
    <x v="1"/>
    <x v="1"/>
    <x v="1"/>
  </r>
  <r>
    <x v="59"/>
    <x v="43"/>
    <s v="Apply for Benefits"/>
    <x v="64"/>
    <s v="Users can complete forms for benefits and services from business lines."/>
    <s v="N/A"/>
    <s v="Veterans, Servicemembers, and Family Members"/>
    <s v="Education, Pension"/>
    <s v="SSO iFrame"/>
    <s v="eBenefits"/>
    <s v="Anonymous"/>
    <s v="VAAFI SSO Junction"/>
    <x v="16"/>
    <x v="33"/>
    <s v="VBA Corp"/>
    <s v="VVA"/>
    <s v="* Name_x000a_* Address_x000a_* SSN / File Number"/>
    <s v="* Education history_x000a_* Employment history_x000a_* Military service history"/>
    <s v="/ebenefits/vonapp"/>
    <s v="BGS Web Services:_x000a_VetRecordWebService:findVeteranByPID(PID)_x000a_ClaimantWebService:   findGeneralInformationByPID(PID)_x000a_ClaimantWebService:   findOtherAwardInformation(PID)_x000a_RatingService: findRatingDataByParticipant(PID)"/>
    <m/>
    <x v="40"/>
    <s v="This is a legacy system that needs to be retired. Forms need to be migrated over to the new UX, architecture, and business process paradigm at the VA."/>
    <x v="24"/>
    <m/>
    <x v="31"/>
    <m/>
    <x v="1"/>
    <x v="19"/>
    <x v="1"/>
  </r>
  <r>
    <x v="60"/>
    <x v="37"/>
    <s v="Workload Management"/>
    <x v="65"/>
    <s v="VSOs who need to review each other's work or have their work reviewed can use this tool to view the work they need to complete. "/>
    <s v="Account Activity History_x000a_Reporting_x000a_Service Orchestration_x000a_Workflow Management"/>
    <s v="VSOs"/>
    <s v="VRM, OGC"/>
    <s v="Custom Built, EVSS-Hosted Capability"/>
    <s v="SEP"/>
    <s v="LOA 3"/>
    <s v="SOAP-Based Web Services"/>
    <x v="0"/>
    <x v="2"/>
    <s v="VBA Corp"/>
    <s v="N/A"/>
    <s v="• Claimant Name_x000a_* Claimant SSN_x000a_* DOB_x000a_• Vet File Number/SSN_x000a_• Mailing Address_x000a_* Veteran Name_x000a_* VSO Rep Name"/>
    <s v="* VSO Organization_x000a_* Vet participant Id_x000a_* Claimant participant Id_x000a_* Claimant relationship_x000a_* Status of application"/>
    <m/>
    <s v="BGS Web Services:_x000a_ManageRepresentativeService.readVSOWorkQueue"/>
    <m/>
    <x v="41"/>
    <s v="Work Queue needs to be overhauled, "/>
    <x v="25"/>
    <m/>
    <x v="1"/>
    <m/>
    <x v="1"/>
    <x v="20"/>
    <x v="1"/>
  </r>
  <r>
    <x v="61"/>
    <x v="10"/>
    <s v="Manage Benefits, Profile - Contact Info, Profile - DD/EFT, Profile- Education "/>
    <x v="66"/>
    <s v="Users receiving Education benefits can edit their enrollment, change their address, enroll or update DD/EFT and check claim status. "/>
    <s v="Account Activity History_x000a_"/>
    <s v="Veterans, Servicemembers, and Family Members"/>
    <s v="Education"/>
    <s v="Integrated Portlet"/>
    <s v="eBenefits"/>
    <s v="LOA 1 (eBenefits Basic)"/>
    <s v="VAAFI SSO Junction"/>
    <x v="17"/>
    <x v="34"/>
    <s v="Web Automated Verification of Enrollment"/>
    <s v="N/A"/>
    <s v="* Name_x000a_* Contact"/>
    <s v="* None"/>
    <s v="/ebenefits/wave"/>
    <s v="N/A"/>
    <s v="N/A"/>
    <x v="42"/>
    <m/>
    <x v="26"/>
    <m/>
    <x v="1"/>
    <m/>
    <x v="1"/>
    <x v="1"/>
    <x v="1"/>
  </r>
</pivotCacheRecords>
</file>

<file path=xl/pivotCache/pivotCacheRecords2.xml><?xml version="1.0" encoding="utf-8"?>
<pivotCacheRecords xmlns="http://schemas.openxmlformats.org/spreadsheetml/2006/main" xmlns:r="http://schemas.openxmlformats.org/officeDocument/2006/relationships" count="42">
  <r>
    <x v="0"/>
    <x v="0"/>
    <x v="0"/>
    <n v="0"/>
    <n v="7"/>
    <n v="85"/>
    <n v="165"/>
    <n v="2447"/>
    <n v="2779"/>
    <n v="3003"/>
    <n v="3755"/>
  </r>
  <r>
    <x v="1"/>
    <x v="0"/>
    <x v="0"/>
    <n v="0"/>
    <n v="3"/>
    <n v="45"/>
    <n v="75"/>
    <n v="802"/>
    <n v="905"/>
    <n v="973"/>
    <n v="1192"/>
  </r>
  <r>
    <x v="2"/>
    <x v="0"/>
    <x v="0"/>
    <n v="0"/>
    <n v="4"/>
    <n v="26"/>
    <n v="47"/>
    <n v="593"/>
    <n v="664"/>
    <n v="706"/>
    <n v="868"/>
  </r>
  <r>
    <x v="3"/>
    <x v="0"/>
    <x v="0"/>
    <n v="0"/>
    <n v="6"/>
    <n v="31"/>
    <n v="56"/>
    <n v="444"/>
    <n v="501"/>
    <n v="554"/>
    <n v="745"/>
  </r>
  <r>
    <x v="4"/>
    <x v="0"/>
    <x v="0"/>
    <n v="0"/>
    <m/>
    <m/>
    <n v="1"/>
    <n v="66"/>
    <n v="80"/>
    <n v="83"/>
    <n v="101"/>
  </r>
  <r>
    <x v="5"/>
    <x v="0"/>
    <x v="0"/>
    <n v="0"/>
    <n v="8"/>
    <n v="166"/>
    <n v="269"/>
    <n v="1507"/>
    <n v="1441"/>
    <n v="1622"/>
    <n v="2181"/>
  </r>
  <r>
    <x v="0"/>
    <x v="0"/>
    <x v="1"/>
    <n v="13294"/>
    <n v="13553"/>
    <n v="14120"/>
    <n v="14758"/>
    <n v="17657"/>
    <n v="18567"/>
    <n v="19442"/>
    <n v="20889"/>
  </r>
  <r>
    <x v="1"/>
    <x v="0"/>
    <x v="1"/>
    <n v="12455"/>
    <n v="12637"/>
    <n v="13235"/>
    <n v="13883"/>
    <n v="14670"/>
    <n v="15440"/>
    <n v="16169"/>
    <n v="17078"/>
  </r>
  <r>
    <x v="2"/>
    <x v="0"/>
    <x v="1"/>
    <n v="5407"/>
    <n v="5546"/>
    <n v="5708"/>
    <n v="5981"/>
    <n v="6385"/>
    <n v="6795"/>
    <n v="7156"/>
    <n v="7647"/>
  </r>
  <r>
    <x v="3"/>
    <x v="0"/>
    <x v="1"/>
    <n v="1453"/>
    <n v="1506"/>
    <n v="1589"/>
    <n v="1702"/>
    <n v="1838"/>
    <n v="1974"/>
    <n v="2082"/>
    <n v="2274"/>
  </r>
  <r>
    <x v="4"/>
    <x v="0"/>
    <x v="1"/>
    <n v="465"/>
    <n v="478"/>
    <n v="497"/>
    <n v="525"/>
    <n v="558"/>
    <n v="594"/>
    <n v="620"/>
    <n v="661"/>
  </r>
  <r>
    <x v="5"/>
    <x v="0"/>
    <x v="1"/>
    <n v="3132"/>
    <n v="3217"/>
    <n v="3523"/>
    <n v="4691"/>
    <n v="5469"/>
    <n v="4808"/>
    <n v="5176"/>
    <n v="6191"/>
  </r>
  <r>
    <x v="6"/>
    <x v="0"/>
    <x v="2"/>
    <n v="36206"/>
    <n v="36965"/>
    <n v="39025"/>
    <n v="42153"/>
    <n v="52436"/>
    <n v="54548"/>
    <n v="57586"/>
    <n v="63582"/>
  </r>
  <r>
    <x v="0"/>
    <x v="1"/>
    <x v="0"/>
    <n v="0"/>
    <m/>
    <m/>
    <m/>
    <n v="0"/>
    <n v="0"/>
    <n v="0"/>
    <n v="0"/>
  </r>
  <r>
    <x v="1"/>
    <x v="1"/>
    <x v="0"/>
    <n v="0"/>
    <m/>
    <m/>
    <m/>
    <n v="0"/>
    <n v="0"/>
    <n v="0"/>
    <n v="0"/>
  </r>
  <r>
    <x v="2"/>
    <x v="1"/>
    <x v="0"/>
    <n v="0"/>
    <m/>
    <m/>
    <m/>
    <n v="0"/>
    <n v="0"/>
    <n v="0"/>
    <n v="0"/>
  </r>
  <r>
    <x v="3"/>
    <x v="1"/>
    <x v="0"/>
    <n v="0"/>
    <m/>
    <m/>
    <m/>
    <n v="0"/>
    <n v="0"/>
    <n v="0"/>
    <n v="0"/>
  </r>
  <r>
    <x v="4"/>
    <x v="1"/>
    <x v="0"/>
    <n v="0"/>
    <m/>
    <m/>
    <m/>
    <n v="0"/>
    <n v="0"/>
    <n v="0"/>
    <n v="0"/>
  </r>
  <r>
    <x v="5"/>
    <x v="1"/>
    <x v="0"/>
    <n v="0"/>
    <m/>
    <m/>
    <m/>
    <n v="0"/>
    <n v="0"/>
    <n v="0"/>
    <n v="0"/>
  </r>
  <r>
    <x v="0"/>
    <x v="1"/>
    <x v="1"/>
    <n v="21870"/>
    <n v="22167"/>
    <n v="22828"/>
    <n v="23464"/>
    <n v="24061"/>
    <n v="24513"/>
    <n v="24867"/>
    <n v="25209"/>
  </r>
  <r>
    <x v="1"/>
    <x v="1"/>
    <x v="1"/>
    <n v="15116"/>
    <n v="15276"/>
    <n v="15662"/>
    <n v="16071"/>
    <n v="16428"/>
    <n v="16707"/>
    <n v="16898"/>
    <n v="17125"/>
  </r>
  <r>
    <x v="2"/>
    <x v="1"/>
    <x v="1"/>
    <n v="9476"/>
    <n v="9620"/>
    <n v="9914"/>
    <n v="10242"/>
    <n v="10462"/>
    <n v="10611"/>
    <n v="10765"/>
    <n v="10915"/>
  </r>
  <r>
    <x v="3"/>
    <x v="1"/>
    <x v="1"/>
    <n v="3150"/>
    <n v="3172"/>
    <n v="3251"/>
    <n v="3342"/>
    <n v="3399"/>
    <n v="3454"/>
    <n v="3487"/>
    <n v="3532"/>
  </r>
  <r>
    <x v="4"/>
    <x v="1"/>
    <x v="1"/>
    <n v="627"/>
    <n v="634"/>
    <n v="661"/>
    <n v="686"/>
    <n v="710"/>
    <n v="721"/>
    <n v="726"/>
    <n v="731"/>
  </r>
  <r>
    <x v="5"/>
    <x v="1"/>
    <x v="1"/>
    <n v="852"/>
    <n v="856"/>
    <n v="888"/>
    <n v="1444"/>
    <n v="1536"/>
    <n v="951"/>
    <n v="966"/>
    <n v="988"/>
  </r>
  <r>
    <x v="6"/>
    <x v="1"/>
    <x v="2"/>
    <n v="51091"/>
    <n v="51725"/>
    <n v="53204"/>
    <n v="55249"/>
    <n v="56596"/>
    <n v="56957"/>
    <n v="57709"/>
    <n v="58500"/>
  </r>
  <r>
    <x v="0"/>
    <x v="2"/>
    <x v="0"/>
    <n v="0"/>
    <n v="12"/>
    <n v="159"/>
    <n v="215"/>
    <n v="971"/>
    <n v="1189"/>
    <n v="1410"/>
    <n v="2024"/>
  </r>
  <r>
    <x v="1"/>
    <x v="2"/>
    <x v="0"/>
    <n v="0"/>
    <n v="8"/>
    <n v="114"/>
    <n v="171"/>
    <n v="671"/>
    <n v="799"/>
    <n v="912"/>
    <n v="1243"/>
  </r>
  <r>
    <x v="2"/>
    <x v="2"/>
    <x v="0"/>
    <n v="0"/>
    <n v="7"/>
    <n v="73"/>
    <n v="114"/>
    <n v="548"/>
    <n v="649"/>
    <n v="741"/>
    <n v="1034"/>
  </r>
  <r>
    <x v="3"/>
    <x v="2"/>
    <x v="0"/>
    <n v="0"/>
    <n v="4"/>
    <n v="41"/>
    <n v="57"/>
    <n v="255"/>
    <n v="305"/>
    <n v="327"/>
    <n v="424"/>
  </r>
  <r>
    <x v="4"/>
    <x v="2"/>
    <x v="0"/>
    <n v="0"/>
    <m/>
    <n v="15"/>
    <n v="23"/>
    <n v="61"/>
    <n v="72"/>
    <n v="87"/>
    <n v="139"/>
  </r>
  <r>
    <x v="5"/>
    <x v="2"/>
    <x v="0"/>
    <n v="0"/>
    <m/>
    <m/>
    <m/>
    <n v="5"/>
    <n v="6"/>
    <n v="9"/>
    <n v="12"/>
  </r>
  <r>
    <x v="0"/>
    <x v="2"/>
    <x v="1"/>
    <n v="12121"/>
    <n v="12360"/>
    <n v="12896"/>
    <n v="13459"/>
    <n v="14654"/>
    <n v="15437"/>
    <n v="16165"/>
    <n v="17805"/>
  </r>
  <r>
    <x v="1"/>
    <x v="2"/>
    <x v="1"/>
    <n v="13435"/>
    <n v="13654"/>
    <n v="14265"/>
    <n v="14830"/>
    <n v="15621"/>
    <n v="16282"/>
    <n v="16885"/>
    <n v="18284"/>
  </r>
  <r>
    <x v="2"/>
    <x v="2"/>
    <x v="1"/>
    <n v="7242"/>
    <n v="7364"/>
    <n v="7692"/>
    <n v="8059"/>
    <n v="8503"/>
    <n v="8934"/>
    <n v="9329"/>
    <n v="10146"/>
  </r>
  <r>
    <x v="3"/>
    <x v="2"/>
    <x v="1"/>
    <n v="1569"/>
    <n v="1593"/>
    <n v="1665"/>
    <n v="1738"/>
    <n v="1857"/>
    <n v="2040"/>
    <n v="2159"/>
    <n v="2394"/>
  </r>
  <r>
    <x v="4"/>
    <x v="2"/>
    <x v="1"/>
    <n v="360"/>
    <n v="370"/>
    <n v="385"/>
    <n v="399"/>
    <n v="420"/>
    <n v="436"/>
    <n v="459"/>
    <n v="502"/>
  </r>
  <r>
    <x v="5"/>
    <x v="2"/>
    <x v="1"/>
    <n v="114"/>
    <n v="117"/>
    <n v="123"/>
    <n v="124"/>
    <n v="127"/>
    <n v="128"/>
    <n v="134"/>
    <n v="137"/>
  </r>
  <r>
    <x v="6"/>
    <x v="2"/>
    <x v="2"/>
    <n v="34841"/>
    <n v="35489"/>
    <n v="37428"/>
    <n v="39189"/>
    <n v="43693"/>
    <n v="46277"/>
    <n v="48617"/>
    <n v="54144"/>
  </r>
  <r>
    <x v="7"/>
    <x v="3"/>
    <x v="0"/>
    <n v="1196"/>
    <n v="1311"/>
    <n v="1947"/>
    <n v="2520"/>
    <n v="8283"/>
    <n v="10006"/>
    <n v="12061"/>
    <n v="18247"/>
  </r>
  <r>
    <x v="7"/>
    <x v="3"/>
    <x v="1"/>
    <n v="1019"/>
    <n v="1160"/>
    <n v="1563"/>
    <n v="1863"/>
    <n v="2443"/>
    <n v="2820"/>
    <n v="3210"/>
    <n v="4461"/>
  </r>
  <r>
    <x v="6"/>
    <x v="3"/>
    <x v="2"/>
    <n v="2215"/>
    <n v="2471"/>
    <n v="3510"/>
    <n v="4383"/>
    <n v="10726"/>
    <n v="12826"/>
    <n v="15271"/>
    <n v="227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163" firstHeaderRow="1" firstDataRow="1" firstDataCol="1" rowPageCount="1" colPageCount="1"/>
  <pivotFields count="30">
    <pivotField axis="axisRow" showAll="0">
      <items count="63">
        <item x="3"/>
        <item x="4"/>
        <item x="58"/>
        <item x="59"/>
        <item x="7"/>
        <item x="15"/>
        <item x="53"/>
        <item x="6"/>
        <item x="27"/>
        <item x="18"/>
        <item x="20"/>
        <item x="19"/>
        <item x="21"/>
        <item x="22"/>
        <item x="45"/>
        <item x="55"/>
        <item x="29"/>
        <item x="1"/>
        <item x="61"/>
        <item x="25"/>
        <item x="16"/>
        <item x="30"/>
        <item x="56"/>
        <item x="31"/>
        <item x="32"/>
        <item x="39"/>
        <item x="35"/>
        <item x="10"/>
        <item x="36"/>
        <item x="33"/>
        <item x="13"/>
        <item x="37"/>
        <item x="38"/>
        <item x="40"/>
        <item x="11"/>
        <item x="12"/>
        <item x="24"/>
        <item x="41"/>
        <item x="8"/>
        <item x="9"/>
        <item x="42"/>
        <item x="14"/>
        <item x="2"/>
        <item x="0"/>
        <item x="43"/>
        <item x="44"/>
        <item x="46"/>
        <item x="28"/>
        <item x="48"/>
        <item x="47"/>
        <item x="49"/>
        <item x="50"/>
        <item x="51"/>
        <item x="52"/>
        <item x="34"/>
        <item x="17"/>
        <item x="54"/>
        <item x="23"/>
        <item x="57"/>
        <item x="26"/>
        <item x="5"/>
        <item x="60"/>
        <item t="default"/>
      </items>
    </pivotField>
    <pivotField axis="axisRow" showAll="0">
      <items count="45">
        <item x="34"/>
        <item x="42"/>
        <item x="33"/>
        <item x="7"/>
        <item x="6"/>
        <item x="19"/>
        <item x="21"/>
        <item x="29"/>
        <item x="0"/>
        <item x="1"/>
        <item x="5"/>
        <item x="28"/>
        <item x="30"/>
        <item x="32"/>
        <item x="31"/>
        <item x="8"/>
        <item x="18"/>
        <item x="11"/>
        <item x="41"/>
        <item x="12"/>
        <item x="10"/>
        <item x="43"/>
        <item x="20"/>
        <item x="14"/>
        <item x="36"/>
        <item x="38"/>
        <item x="15"/>
        <item x="17"/>
        <item x="40"/>
        <item x="39"/>
        <item x="25"/>
        <item x="9"/>
        <item x="26"/>
        <item x="27"/>
        <item x="22"/>
        <item x="37"/>
        <item x="2"/>
        <item x="3"/>
        <item x="13"/>
        <item x="35"/>
        <item x="16"/>
        <item x="24"/>
        <item x="4"/>
        <item x="23"/>
        <item t="default"/>
      </items>
    </pivotField>
    <pivotField showAll="0"/>
    <pivotField axis="axisRow" showAll="0">
      <items count="68">
        <item x="0"/>
        <item x="2"/>
        <item x="3"/>
        <item x="4"/>
        <item x="5"/>
        <item x="6"/>
        <item x="7"/>
        <item x="8"/>
        <item x="9"/>
        <item x="10"/>
        <item x="12"/>
        <item x="13"/>
        <item x="14"/>
        <item x="15"/>
        <item x="16"/>
        <item x="11"/>
        <item x="17"/>
        <item x="18"/>
        <item x="19"/>
        <item x="20"/>
        <item x="21"/>
        <item x="22"/>
        <item x="23"/>
        <item x="24"/>
        <item x="25"/>
        <item x="26"/>
        <item x="27"/>
        <item x="28"/>
        <item x="29"/>
        <item x="1"/>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t="default"/>
      </items>
    </pivotField>
    <pivotField showAll="0"/>
    <pivotField showAll="0"/>
    <pivotField showAll="0"/>
    <pivotField showAll="0"/>
    <pivotField showAll="0"/>
    <pivotField showAll="0"/>
    <pivotField showAll="0"/>
    <pivotField showAll="0"/>
    <pivotField axis="axisRow" showAll="0">
      <items count="19">
        <item x="9"/>
        <item x="3"/>
        <item x="1"/>
        <item x="2"/>
        <item x="11"/>
        <item x="0"/>
        <item x="6"/>
        <item x="5"/>
        <item x="8"/>
        <item x="7"/>
        <item x="10"/>
        <item x="12"/>
        <item x="4"/>
        <item x="14"/>
        <item x="15"/>
        <item x="16"/>
        <item x="17"/>
        <item x="13"/>
        <item t="default"/>
      </items>
    </pivotField>
    <pivotField axis="axisRow" showAll="0">
      <items count="36">
        <item x="20"/>
        <item x="11"/>
        <item x="2"/>
        <item x="17"/>
        <item x="0"/>
        <item x="5"/>
        <item x="26"/>
        <item x="27"/>
        <item x="4"/>
        <item x="1"/>
        <item x="3"/>
        <item x="8"/>
        <item x="9"/>
        <item x="10"/>
        <item x="25"/>
        <item x="7"/>
        <item x="23"/>
        <item x="6"/>
        <item x="15"/>
        <item x="16"/>
        <item x="13"/>
        <item x="19"/>
        <item x="18"/>
        <item x="24"/>
        <item x="14"/>
        <item x="21"/>
        <item x="29"/>
        <item x="28"/>
        <item x="12"/>
        <item x="30"/>
        <item x="22"/>
        <item x="31"/>
        <item x="32"/>
        <item x="33"/>
        <item x="34"/>
        <item t="default"/>
      </items>
    </pivotField>
    <pivotField showAll="0"/>
    <pivotField showAll="0"/>
    <pivotField showAll="0"/>
    <pivotField showAll="0"/>
    <pivotField showAll="0"/>
    <pivotField showAll="0"/>
    <pivotField showAll="0"/>
    <pivotField axis="axisRow" showAll="0">
      <items count="44">
        <item x="35"/>
        <item x="41"/>
        <item x="10"/>
        <item x="25"/>
        <item x="13"/>
        <item x="14"/>
        <item x="24"/>
        <item x="27"/>
        <item x="34"/>
        <item x="8"/>
        <item x="6"/>
        <item x="12"/>
        <item x="3"/>
        <item x="5"/>
        <item x="21"/>
        <item x="30"/>
        <item x="22"/>
        <item x="4"/>
        <item x="18"/>
        <item x="0"/>
        <item x="40"/>
        <item x="9"/>
        <item x="23"/>
        <item x="7"/>
        <item x="39"/>
        <item x="28"/>
        <item x="37"/>
        <item x="2"/>
        <item x="38"/>
        <item x="19"/>
        <item x="33"/>
        <item x="16"/>
        <item x="29"/>
        <item x="26"/>
        <item x="15"/>
        <item x="31"/>
        <item x="20"/>
        <item x="42"/>
        <item x="36"/>
        <item x="1"/>
        <item x="17"/>
        <item x="32"/>
        <item x="11"/>
        <item t="default"/>
      </items>
    </pivotField>
    <pivotField showAll="0"/>
    <pivotField axis="axisPage" multipleItemSelectionAllowed="1" showAll="0">
      <items count="28">
        <item h="1" x="2"/>
        <item h="1" x="23"/>
        <item h="1" x="10"/>
        <item h="1" x="5"/>
        <item h="1" x="9"/>
        <item h="1" x="24"/>
        <item h="1" x="26"/>
        <item h="1" x="16"/>
        <item h="1" x="22"/>
        <item h="1" x="12"/>
        <item x="3"/>
        <item x="15"/>
        <item x="8"/>
        <item x="4"/>
        <item x="13"/>
        <item x="21"/>
        <item x="6"/>
        <item x="11"/>
        <item h="1" x="0"/>
        <item h="1" x="19"/>
        <item h="1" x="14"/>
        <item h="1" x="18"/>
        <item h="1" x="25"/>
        <item h="1" x="17"/>
        <item h="1" x="20"/>
        <item h="1" x="7"/>
        <item h="1" x="1"/>
        <item t="default"/>
      </items>
    </pivotField>
    <pivotField showAll="0"/>
    <pivotField axis="axisRow" showAll="0">
      <items count="33">
        <item x="30"/>
        <item x="7"/>
        <item x="4"/>
        <item x="6"/>
        <item x="3"/>
        <item x="21"/>
        <item x="19"/>
        <item x="8"/>
        <item x="23"/>
        <item x="10"/>
        <item x="17"/>
        <item x="14"/>
        <item x="5"/>
        <item x="2"/>
        <item x="16"/>
        <item x="18"/>
        <item x="13"/>
        <item x="12"/>
        <item x="9"/>
        <item x="22"/>
        <item x="25"/>
        <item x="20"/>
        <item x="24"/>
        <item x="15"/>
        <item x="27"/>
        <item x="28"/>
        <item x="26"/>
        <item x="29"/>
        <item x="31"/>
        <item x="0"/>
        <item x="11"/>
        <item x="1"/>
        <item t="default"/>
      </items>
    </pivotField>
    <pivotField showAll="0"/>
    <pivotField axis="axisRow" showAll="0">
      <items count="21">
        <item x="10"/>
        <item x="5"/>
        <item x="4"/>
        <item x="12"/>
        <item x="9"/>
        <item x="0"/>
        <item x="3"/>
        <item x="16"/>
        <item x="17"/>
        <item x="8"/>
        <item x="7"/>
        <item x="13"/>
        <item x="15"/>
        <item x="14"/>
        <item x="2"/>
        <item x="19"/>
        <item x="11"/>
        <item x="6"/>
        <item x="18"/>
        <item x="1"/>
        <item t="default"/>
      </items>
    </pivotField>
    <pivotField showAll="0">
      <items count="22">
        <item x="20"/>
        <item x="9"/>
        <item x="19"/>
        <item x="4"/>
        <item x="3"/>
        <item x="7"/>
        <item x="2"/>
        <item x="8"/>
        <item x="5"/>
        <item x="10"/>
        <item x="14"/>
        <item x="13"/>
        <item x="15"/>
        <item x="0"/>
        <item x="17"/>
        <item x="16"/>
        <item x="6"/>
        <item x="12"/>
        <item x="11"/>
        <item x="18"/>
        <item x="1"/>
        <item t="default"/>
      </items>
    </pivotField>
    <pivotField showAll="0">
      <items count="5">
        <item x="2"/>
        <item x="3"/>
        <item x="0"/>
        <item x="1"/>
        <item t="default"/>
      </items>
    </pivotField>
  </pivotFields>
  <rowFields count="8">
    <field x="0"/>
    <field x="1"/>
    <field x="3"/>
    <field x="27"/>
    <field x="12"/>
    <field x="13"/>
    <field x="25"/>
    <field x="21"/>
  </rowFields>
  <rowItems count="160">
    <i>
      <x/>
    </i>
    <i r="1">
      <x v="36"/>
    </i>
    <i r="2">
      <x v="2"/>
    </i>
    <i r="3">
      <x v="6"/>
    </i>
    <i r="4">
      <x v="5"/>
    </i>
    <i r="5">
      <x v="10"/>
    </i>
    <i r="6">
      <x v="4"/>
    </i>
    <i r="7">
      <x v="12"/>
    </i>
    <i>
      <x v="1"/>
    </i>
    <i r="1">
      <x v="37"/>
    </i>
    <i r="2">
      <x v="3"/>
    </i>
    <i r="3">
      <x v="2"/>
    </i>
    <i r="4">
      <x v="5"/>
    </i>
    <i r="5">
      <x v="8"/>
    </i>
    <i r="6">
      <x v="2"/>
    </i>
    <i r="7">
      <x v="12"/>
    </i>
    <i>
      <x v="5"/>
    </i>
    <i r="1">
      <x v="20"/>
    </i>
    <i r="2">
      <x v="11"/>
    </i>
    <i r="3">
      <x v="9"/>
    </i>
    <i r="4">
      <x v="5"/>
    </i>
    <i r="5">
      <x v="11"/>
    </i>
    <i r="6">
      <x v="16"/>
    </i>
    <i r="7">
      <x v="17"/>
    </i>
    <i>
      <x v="7"/>
    </i>
    <i r="1">
      <x v="5"/>
    </i>
    <i r="2">
      <x v="22"/>
    </i>
    <i r="3">
      <x v="19"/>
    </i>
    <i r="4">
      <x v="5"/>
    </i>
    <i r="5">
      <x v="3"/>
    </i>
    <i r="6">
      <x v="11"/>
    </i>
    <i r="7">
      <x v="40"/>
    </i>
    <i r="1">
      <x v="10"/>
    </i>
    <i r="2">
      <x v="5"/>
    </i>
    <i r="3">
      <x v="19"/>
    </i>
    <i r="4">
      <x v="5"/>
    </i>
    <i r="5">
      <x v="5"/>
    </i>
    <i r="6">
      <x v="3"/>
    </i>
    <i r="7">
      <x v="13"/>
    </i>
    <i>
      <x v="14"/>
    </i>
    <i r="1">
      <x v="8"/>
    </i>
    <i r="2">
      <x v="50"/>
    </i>
    <i r="3">
      <x v="2"/>
    </i>
    <i r="4">
      <x v="5"/>
    </i>
    <i r="5">
      <x v="6"/>
    </i>
    <i r="6">
      <x v="20"/>
    </i>
    <i r="7">
      <x v="39"/>
    </i>
    <i>
      <x v="15"/>
    </i>
    <i r="1">
      <x v="40"/>
    </i>
    <i r="2">
      <x v="60"/>
    </i>
    <i r="3">
      <x v="16"/>
    </i>
    <i r="4">
      <x v="13"/>
    </i>
    <i r="5">
      <x v="15"/>
    </i>
    <i r="6">
      <x/>
    </i>
    <i r="7">
      <x v="26"/>
    </i>
    <i>
      <x v="25"/>
    </i>
    <i r="1">
      <x v="14"/>
    </i>
    <i r="2">
      <x v="44"/>
    </i>
    <i r="3">
      <x v="16"/>
    </i>
    <i r="4">
      <x v="5"/>
    </i>
    <i r="5">
      <x v="2"/>
    </i>
    <i r="6">
      <x v="5"/>
    </i>
    <i r="7">
      <x v="32"/>
    </i>
    <i>
      <x v="26"/>
    </i>
    <i r="1">
      <x v="12"/>
    </i>
    <i r="2">
      <x v="40"/>
    </i>
    <i r="3">
      <x v="2"/>
    </i>
    <i r="4">
      <x v="5"/>
    </i>
    <i r="5">
      <x v="2"/>
    </i>
    <i r="6">
      <x v="31"/>
    </i>
    <i r="7">
      <x v="7"/>
    </i>
    <i>
      <x v="29"/>
    </i>
    <i r="1">
      <x v="11"/>
    </i>
    <i r="2">
      <x v="38"/>
    </i>
    <i r="3">
      <x v="9"/>
    </i>
    <i r="4">
      <x v="5"/>
    </i>
    <i r="5">
      <x v="2"/>
    </i>
    <i r="6">
      <x v="14"/>
    </i>
    <i r="7">
      <x v="33"/>
    </i>
    <i>
      <x v="31"/>
    </i>
    <i r="1">
      <x v="11"/>
    </i>
    <i r="2">
      <x v="42"/>
    </i>
    <i r="3">
      <x v="2"/>
    </i>
    <i r="4">
      <x v="5"/>
    </i>
    <i r="5">
      <x v="2"/>
    </i>
    <i r="6">
      <x v="6"/>
    </i>
    <i r="7">
      <x v="32"/>
    </i>
    <i>
      <x v="32"/>
    </i>
    <i r="1">
      <x v="8"/>
    </i>
    <i r="2">
      <x v="43"/>
    </i>
    <i r="3">
      <x v="2"/>
    </i>
    <i r="4">
      <x v="5"/>
    </i>
    <i r="5">
      <x v="2"/>
    </i>
    <i r="6">
      <x v="21"/>
    </i>
    <i r="7">
      <x v="39"/>
    </i>
    <i>
      <x v="33"/>
    </i>
    <i r="1">
      <x v="13"/>
    </i>
    <i r="2">
      <x v="45"/>
    </i>
    <i r="3">
      <x v="17"/>
    </i>
    <i r="4">
      <x v="5"/>
    </i>
    <i r="5">
      <x v="15"/>
    </i>
    <i r="6">
      <x v="19"/>
    </i>
    <i r="7">
      <x v="2"/>
    </i>
    <i>
      <x v="34"/>
    </i>
    <i r="1">
      <x v="15"/>
    </i>
    <i r="2">
      <x v="8"/>
    </i>
    <i r="3">
      <x v="17"/>
    </i>
    <i r="4">
      <x v="5"/>
    </i>
    <i r="5">
      <x v="2"/>
    </i>
    <i r="6">
      <x v="9"/>
    </i>
    <i r="7">
      <x v="2"/>
    </i>
    <i>
      <x v="37"/>
    </i>
    <i r="1">
      <x v="2"/>
    </i>
    <i r="2">
      <x v="46"/>
    </i>
    <i r="3">
      <x v="3"/>
    </i>
    <i r="4">
      <x v="5"/>
    </i>
    <i r="5">
      <x v="16"/>
    </i>
    <i r="6">
      <x v="8"/>
    </i>
    <i r="7">
      <x v="15"/>
    </i>
    <i>
      <x v="44"/>
    </i>
    <i r="1">
      <x v="39"/>
    </i>
    <i r="2">
      <x v="48"/>
    </i>
    <i r="3">
      <x v="13"/>
    </i>
    <i r="4">
      <x v="4"/>
    </i>
    <i r="5">
      <x v="14"/>
    </i>
    <i r="6">
      <x v="31"/>
    </i>
    <i r="7">
      <x v="41"/>
    </i>
    <i>
      <x v="45"/>
    </i>
    <i r="1">
      <x v="24"/>
    </i>
    <i r="2">
      <x v="49"/>
    </i>
    <i r="3">
      <x v="12"/>
    </i>
    <i r="4">
      <x v="5"/>
    </i>
    <i r="5">
      <x v="23"/>
    </i>
    <i r="6">
      <x v="22"/>
    </i>
    <i r="7">
      <x v="30"/>
    </i>
    <i>
      <x v="51"/>
    </i>
    <i r="1">
      <x v="29"/>
    </i>
    <i r="2">
      <x v="55"/>
    </i>
    <i r="3">
      <x v="8"/>
    </i>
    <i r="4">
      <x v="3"/>
    </i>
    <i r="5">
      <x v="26"/>
    </i>
    <i r="6">
      <x v="24"/>
    </i>
    <i r="7">
      <x/>
    </i>
    <i>
      <x v="58"/>
    </i>
    <i r="1">
      <x v="29"/>
    </i>
    <i r="2">
      <x v="62"/>
    </i>
    <i r="3">
      <x v="19"/>
    </i>
    <i r="4">
      <x v="17"/>
    </i>
    <i r="5">
      <x v="31"/>
    </i>
    <i r="6">
      <x v="31"/>
    </i>
    <i r="7">
      <x v="42"/>
    </i>
    <i>
      <x v="60"/>
    </i>
    <i r="1">
      <x v="42"/>
    </i>
    <i r="2">
      <x v="4"/>
    </i>
    <i r="3">
      <x v="1"/>
    </i>
    <i r="4">
      <x v="5"/>
    </i>
    <i r="5">
      <x v="10"/>
    </i>
    <i r="6">
      <x v="12"/>
    </i>
    <i r="7">
      <x v="17"/>
    </i>
    <i t="grand">
      <x/>
    </i>
  </rowItems>
  <colItems count="1">
    <i/>
  </colItems>
  <pageFields count="1">
    <pageField fld="23" hier="-1"/>
  </pageFields>
  <formats count="1">
    <format dxfId="0">
      <pivotArea dataOnly="0" labelOnly="1" fieldPosition="0">
        <references count="7">
          <reference field="0" count="1" selected="0">
            <x v="0"/>
          </reference>
          <reference field="1" count="1" selected="0">
            <x v="36"/>
          </reference>
          <reference field="3" count="1" selected="0">
            <x v="2"/>
          </reference>
          <reference field="12" count="1" selected="0">
            <x v="5"/>
          </reference>
          <reference field="13" count="1" selected="0">
            <x v="10"/>
          </reference>
          <reference field="25" count="1">
            <x v="4"/>
          </reference>
          <reference field="27"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3" showCalcMbrs="0" useAutoFormatting="1" itemPrintTitles="1" createdVersion="3" indent="0" outline="1" outlineData="1" multipleFieldFilters="0">
  <location ref="A3:E32" firstHeaderRow="1" firstDataRow="2" firstDataCol="2"/>
  <pivotFields count="11">
    <pivotField axis="axisRow" showAll="0">
      <items count="9">
        <item x="2"/>
        <item x="0"/>
        <item x="4"/>
        <item x="3"/>
        <item x="1"/>
        <item x="5"/>
        <item x="7"/>
        <item x="6"/>
        <item t="default"/>
      </items>
    </pivotField>
    <pivotField axis="axisRow" showAll="0">
      <items count="5">
        <item x="1"/>
        <item x="2"/>
        <item x="0"/>
        <item x="3"/>
        <item t="default"/>
      </items>
    </pivotField>
    <pivotField axis="axisCol" showAll="0">
      <items count="4">
        <item x="2"/>
        <item x="1"/>
        <item x="0"/>
        <item t="default"/>
      </items>
    </pivotField>
    <pivotField showAl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s>
  <rowFields count="2">
    <field x="1"/>
    <field x="0"/>
  </rowFields>
  <rowItems count="28">
    <i>
      <x/>
    </i>
    <i r="1">
      <x/>
    </i>
    <i r="1">
      <x v="1"/>
    </i>
    <i r="1">
      <x v="2"/>
    </i>
    <i r="1">
      <x v="3"/>
    </i>
    <i r="1">
      <x v="4"/>
    </i>
    <i r="1">
      <x v="5"/>
    </i>
    <i r="1">
      <x v="7"/>
    </i>
    <i>
      <x v="1"/>
    </i>
    <i r="1">
      <x/>
    </i>
    <i r="1">
      <x v="1"/>
    </i>
    <i r="1">
      <x v="2"/>
    </i>
    <i r="1">
      <x v="3"/>
    </i>
    <i r="1">
      <x v="4"/>
    </i>
    <i r="1">
      <x v="5"/>
    </i>
    <i r="1">
      <x v="7"/>
    </i>
    <i>
      <x v="2"/>
    </i>
    <i r="1">
      <x/>
    </i>
    <i r="1">
      <x v="1"/>
    </i>
    <i r="1">
      <x v="2"/>
    </i>
    <i r="1">
      <x v="3"/>
    </i>
    <i r="1">
      <x v="4"/>
    </i>
    <i r="1">
      <x v="5"/>
    </i>
    <i r="1">
      <x v="7"/>
    </i>
    <i>
      <x v="3"/>
    </i>
    <i r="1">
      <x v="6"/>
    </i>
    <i r="1">
      <x v="7"/>
    </i>
    <i t="grand">
      <x/>
    </i>
  </rowItems>
  <colFields count="1">
    <field x="2"/>
  </colFields>
  <colItems count="4">
    <i>
      <x/>
    </i>
    <i>
      <x v="1"/>
    </i>
    <i>
      <x v="2"/>
    </i>
    <i t="grand">
      <x/>
    </i>
  </colItems>
  <dataFields count="1">
    <dataField name="Sum of User Count 5/1" fld="10" baseField="0" baseItem="0"/>
  </dataFields>
  <chartFormats count="3">
    <chartFormat chart="0" format="3" series="1">
      <pivotArea type="data" outline="0" fieldPosition="0">
        <references count="2">
          <reference field="4294967294" count="1" selected="0">
            <x v="0"/>
          </reference>
          <reference field="2" count="1" selected="0">
            <x v="0"/>
          </reference>
        </references>
      </pivotArea>
    </chartFormat>
    <chartFormat chart="0" format="4" series="1">
      <pivotArea type="data" outline="0" fieldPosition="0">
        <references count="2">
          <reference field="4294967294" count="1" selected="0">
            <x v="0"/>
          </reference>
          <reference field="2" count="1" selected="0">
            <x v="1"/>
          </reference>
        </references>
      </pivotArea>
    </chartFormat>
    <chartFormat chart="0" format="5"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1.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2.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user/vavetbenefits"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va.gov/healthbenefits/assets/documents/publications/hb_handbook_sample3_201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H82"/>
  <sheetViews>
    <sheetView tabSelected="1" zoomScale="125" zoomScaleNormal="125" zoomScalePageLayoutView="125" workbookViewId="0">
      <pane xSplit="1" ySplit="1" topLeftCell="Y2" activePane="bottomRight" state="frozen"/>
      <selection pane="topRight" activeCell="B1" sqref="B1"/>
      <selection pane="bottomLeft" activeCell="A2" sqref="A2"/>
      <selection pane="bottomRight" activeCell="Y3" sqref="Y3"/>
    </sheetView>
  </sheetViews>
  <sheetFormatPr baseColWidth="10" defaultColWidth="11.5" defaultRowHeight="14" x14ac:dyDescent="0"/>
  <cols>
    <col min="1" max="1" width="18.33203125" customWidth="1"/>
    <col min="2" max="2" width="25.6640625" style="542" customWidth="1"/>
    <col min="3" max="3" width="11" style="539" customWidth="1"/>
    <col min="4" max="4" width="13.1640625" customWidth="1"/>
    <col min="5" max="5" width="19.6640625" hidden="1" customWidth="1"/>
    <col min="6" max="6" width="21.5" hidden="1" customWidth="1"/>
    <col min="7" max="7" width="32.5" customWidth="1"/>
    <col min="8" max="8" width="18.1640625" hidden="1" customWidth="1"/>
    <col min="9" max="9" width="17.33203125" customWidth="1"/>
    <col min="10" max="10" width="15.33203125" customWidth="1"/>
    <col min="11" max="11" width="17.5" hidden="1" customWidth="1"/>
    <col min="12" max="12" width="10.5" customWidth="1"/>
    <col min="13" max="13" width="9.33203125" hidden="1" customWidth="1"/>
    <col min="14" max="14" width="10.5" hidden="1" customWidth="1"/>
    <col min="15" max="15" width="15.5" bestFit="1" customWidth="1"/>
    <col min="16" max="16" width="9.5" customWidth="1"/>
    <col min="17" max="17" width="11.33203125" bestFit="1" customWidth="1"/>
    <col min="18" max="18" width="13.5" bestFit="1" customWidth="1"/>
    <col min="19" max="19" width="25.83203125" customWidth="1"/>
    <col min="20" max="20" width="15.6640625" hidden="1" customWidth="1"/>
    <col min="21" max="21" width="23.5" hidden="1" customWidth="1"/>
    <col min="22" max="22" width="35.83203125" hidden="1" customWidth="1"/>
    <col min="23" max="23" width="33.1640625" hidden="1" customWidth="1"/>
    <col min="24" max="24" width="29.83203125" customWidth="1"/>
    <col min="25" max="25" width="34" style="3" customWidth="1"/>
    <col min="26" max="26" width="28" style="3" hidden="1" customWidth="1"/>
    <col min="27" max="27" width="24.1640625" style="3" customWidth="1"/>
    <col min="28" max="28" width="40.5" style="528" customWidth="1"/>
    <col min="29" max="29" width="28.83203125" style="3" customWidth="1"/>
    <col min="30" max="30" width="30" hidden="1" customWidth="1"/>
    <col min="31" max="31" width="24.33203125" hidden="1" customWidth="1"/>
    <col min="32" max="32" width="21" hidden="1" customWidth="1"/>
  </cols>
  <sheetData>
    <row r="1" spans="1:34" ht="66" customHeight="1">
      <c r="A1" s="41"/>
      <c r="B1" s="521" t="s">
        <v>2061</v>
      </c>
      <c r="C1" s="521" t="s">
        <v>2075</v>
      </c>
      <c r="D1" s="41" t="s">
        <v>2006</v>
      </c>
      <c r="E1" s="41" t="s">
        <v>158</v>
      </c>
      <c r="F1" s="41" t="s">
        <v>1</v>
      </c>
      <c r="G1" s="41" t="s">
        <v>1099</v>
      </c>
      <c r="H1" s="41" t="s">
        <v>1343</v>
      </c>
      <c r="I1" s="41" t="s">
        <v>159</v>
      </c>
      <c r="J1" s="41" t="s">
        <v>1065</v>
      </c>
      <c r="K1" s="41" t="s">
        <v>2</v>
      </c>
      <c r="L1" s="41" t="s">
        <v>3</v>
      </c>
      <c r="M1" s="41" t="s">
        <v>4</v>
      </c>
      <c r="N1" s="41" t="s">
        <v>7</v>
      </c>
      <c r="O1" s="41" t="s">
        <v>267</v>
      </c>
      <c r="P1" s="41" t="s">
        <v>1145</v>
      </c>
      <c r="Q1" s="41" t="s">
        <v>222</v>
      </c>
      <c r="R1" s="41" t="s">
        <v>246</v>
      </c>
      <c r="S1" s="41" t="s">
        <v>5</v>
      </c>
      <c r="T1" s="41" t="s">
        <v>6</v>
      </c>
      <c r="U1" s="41" t="s">
        <v>382</v>
      </c>
      <c r="V1" s="51" t="s">
        <v>1127</v>
      </c>
      <c r="W1" s="41" t="s">
        <v>1218</v>
      </c>
      <c r="X1" s="41" t="s">
        <v>1219</v>
      </c>
      <c r="Y1" s="41" t="s">
        <v>334</v>
      </c>
      <c r="Z1" s="57" t="s">
        <v>1359</v>
      </c>
      <c r="AA1" s="57" t="s">
        <v>1353</v>
      </c>
      <c r="AB1" s="526" t="s">
        <v>1354</v>
      </c>
      <c r="AC1" s="57" t="s">
        <v>1355</v>
      </c>
      <c r="AD1" s="57" t="s">
        <v>1361</v>
      </c>
      <c r="AE1" s="57" t="s">
        <v>1362</v>
      </c>
      <c r="AF1" s="57" t="s">
        <v>1363</v>
      </c>
    </row>
    <row r="2" spans="1:34" s="47" customFormat="1" ht="66" customHeight="1">
      <c r="A2" s="523"/>
      <c r="B2" s="521" t="s">
        <v>2060</v>
      </c>
      <c r="C2" s="521"/>
      <c r="D2" s="523"/>
      <c r="E2" s="523"/>
      <c r="F2" s="523"/>
      <c r="G2" s="523"/>
      <c r="H2" s="523"/>
      <c r="I2" s="523"/>
      <c r="J2" s="523"/>
      <c r="K2" s="523"/>
      <c r="L2" s="523"/>
      <c r="M2" s="523"/>
      <c r="N2" s="523"/>
      <c r="O2" s="523"/>
      <c r="P2" s="523"/>
      <c r="Q2" s="523"/>
      <c r="R2" s="523"/>
      <c r="S2" s="523"/>
      <c r="T2" s="523"/>
      <c r="U2" s="523"/>
      <c r="V2" s="524"/>
      <c r="W2" s="523"/>
      <c r="X2" s="523"/>
      <c r="Y2" s="523"/>
      <c r="Z2" s="525"/>
      <c r="AA2" s="525"/>
      <c r="AB2" s="527"/>
      <c r="AC2" s="525"/>
      <c r="AD2" s="525"/>
      <c r="AE2" s="525"/>
      <c r="AF2" s="525"/>
    </row>
    <row r="3" spans="1:34" ht="120">
      <c r="A3" s="4" t="s">
        <v>436</v>
      </c>
      <c r="B3" s="536" t="s">
        <v>2067</v>
      </c>
      <c r="C3" s="534" t="s">
        <v>1580</v>
      </c>
      <c r="D3" s="4" t="s">
        <v>169</v>
      </c>
      <c r="E3" s="4" t="s">
        <v>162</v>
      </c>
      <c r="F3" s="4" t="s">
        <v>44</v>
      </c>
      <c r="G3" s="4" t="s">
        <v>438</v>
      </c>
      <c r="H3" s="4" t="s">
        <v>1339</v>
      </c>
      <c r="I3" s="4" t="s">
        <v>163</v>
      </c>
      <c r="J3" s="4" t="s">
        <v>171</v>
      </c>
      <c r="K3" s="4" t="s">
        <v>1128</v>
      </c>
      <c r="L3" s="4" t="s">
        <v>11</v>
      </c>
      <c r="M3" s="4" t="s">
        <v>1166</v>
      </c>
      <c r="N3" s="4" t="s">
        <v>43</v>
      </c>
      <c r="O3" s="4" t="s">
        <v>135</v>
      </c>
      <c r="P3" s="4" t="s">
        <v>1190</v>
      </c>
      <c r="Q3" s="4" t="s">
        <v>223</v>
      </c>
      <c r="R3" s="4" t="s">
        <v>14</v>
      </c>
      <c r="S3" s="4" t="s">
        <v>19</v>
      </c>
      <c r="T3" s="4" t="s">
        <v>45</v>
      </c>
      <c r="U3" s="4" t="s">
        <v>437</v>
      </c>
      <c r="V3" s="52" t="s">
        <v>1241</v>
      </c>
      <c r="W3" s="4" t="s">
        <v>1259</v>
      </c>
      <c r="X3" s="4" t="s">
        <v>1302</v>
      </c>
      <c r="Y3" s="4" t="s">
        <v>268</v>
      </c>
      <c r="Z3" s="58" t="s">
        <v>1413</v>
      </c>
      <c r="AA3" s="58"/>
      <c r="AB3" s="529" t="s">
        <v>1405</v>
      </c>
      <c r="AC3" s="58" t="s">
        <v>1403</v>
      </c>
      <c r="AD3" s="47"/>
      <c r="AE3" s="47"/>
      <c r="AF3" s="47"/>
      <c r="AG3" s="47"/>
      <c r="AH3" s="533"/>
    </row>
    <row r="4" spans="1:34" ht="66" customHeight="1">
      <c r="A4" s="4" t="s">
        <v>434</v>
      </c>
      <c r="B4" s="536" t="s">
        <v>2067</v>
      </c>
      <c r="C4" s="534" t="s">
        <v>1580</v>
      </c>
      <c r="D4" s="4" t="s">
        <v>169</v>
      </c>
      <c r="E4" s="4" t="s">
        <v>162</v>
      </c>
      <c r="F4" s="4" t="s">
        <v>44</v>
      </c>
      <c r="G4" s="4" t="s">
        <v>435</v>
      </c>
      <c r="H4" s="4" t="s">
        <v>1339</v>
      </c>
      <c r="I4" s="4" t="s">
        <v>163</v>
      </c>
      <c r="J4" s="4" t="s">
        <v>171</v>
      </c>
      <c r="K4" s="4" t="s">
        <v>1128</v>
      </c>
      <c r="L4" s="4" t="s">
        <v>11</v>
      </c>
      <c r="M4" s="4" t="s">
        <v>1166</v>
      </c>
      <c r="N4" s="4" t="s">
        <v>43</v>
      </c>
      <c r="O4" s="4" t="s">
        <v>135</v>
      </c>
      <c r="P4" s="4" t="s">
        <v>135</v>
      </c>
      <c r="Q4" s="4" t="s">
        <v>223</v>
      </c>
      <c r="R4" s="4" t="s">
        <v>14</v>
      </c>
      <c r="S4" s="4" t="s">
        <v>19</v>
      </c>
      <c r="T4" s="4" t="s">
        <v>45</v>
      </c>
      <c r="U4" s="4" t="s">
        <v>391</v>
      </c>
      <c r="V4" s="52" t="s">
        <v>1241</v>
      </c>
      <c r="W4" s="4" t="s">
        <v>1259</v>
      </c>
      <c r="X4" s="4" t="s">
        <v>1305</v>
      </c>
      <c r="Y4" s="4" t="s">
        <v>268</v>
      </c>
      <c r="Z4" s="58" t="s">
        <v>1413</v>
      </c>
      <c r="AA4" s="58" t="s">
        <v>1404</v>
      </c>
      <c r="AB4" s="529" t="s">
        <v>1406</v>
      </c>
      <c r="AC4" s="58"/>
      <c r="AD4" s="47"/>
      <c r="AE4" s="47"/>
      <c r="AF4" s="47"/>
      <c r="AG4" s="47"/>
      <c r="AH4" s="47"/>
    </row>
    <row r="5" spans="1:34" ht="72">
      <c r="A5" s="4" t="s">
        <v>59</v>
      </c>
      <c r="B5" s="536" t="s">
        <v>2096</v>
      </c>
      <c r="C5" s="534" t="s">
        <v>2097</v>
      </c>
      <c r="D5" s="4" t="s">
        <v>194</v>
      </c>
      <c r="E5" s="4" t="s">
        <v>284</v>
      </c>
      <c r="F5" s="4" t="s">
        <v>60</v>
      </c>
      <c r="G5" s="4" t="s">
        <v>180</v>
      </c>
      <c r="H5" s="4" t="s">
        <v>1339</v>
      </c>
      <c r="I5" s="4" t="s">
        <v>163</v>
      </c>
      <c r="J5" s="4" t="s">
        <v>173</v>
      </c>
      <c r="K5" s="4" t="s">
        <v>1128</v>
      </c>
      <c r="L5" s="4" t="s">
        <v>11</v>
      </c>
      <c r="M5" s="4" t="s">
        <v>1166</v>
      </c>
      <c r="N5" s="4" t="s">
        <v>1133</v>
      </c>
      <c r="O5" s="4" t="s">
        <v>135</v>
      </c>
      <c r="P5" s="4" t="s">
        <v>1093</v>
      </c>
      <c r="Q5" s="4" t="s">
        <v>1094</v>
      </c>
      <c r="R5" s="4" t="s">
        <v>14</v>
      </c>
      <c r="S5" s="4" t="s">
        <v>19</v>
      </c>
      <c r="T5" s="4" t="s">
        <v>61</v>
      </c>
      <c r="U5" s="46" t="s">
        <v>393</v>
      </c>
      <c r="V5" s="52" t="s">
        <v>1227</v>
      </c>
      <c r="W5" s="52" t="s">
        <v>1262</v>
      </c>
      <c r="X5" s="54" t="s">
        <v>1308</v>
      </c>
      <c r="Y5" s="4"/>
      <c r="Z5" s="58" t="s">
        <v>1427</v>
      </c>
      <c r="AA5" s="58"/>
      <c r="AB5" s="529"/>
      <c r="AC5" s="58"/>
      <c r="AD5" s="47"/>
      <c r="AE5" s="47"/>
      <c r="AF5" s="47"/>
      <c r="AG5" s="47"/>
      <c r="AH5" s="47"/>
    </row>
    <row r="6" spans="1:34" ht="36">
      <c r="A6" s="4" t="s">
        <v>95</v>
      </c>
      <c r="B6" s="536" t="s">
        <v>2086</v>
      </c>
      <c r="C6" s="534" t="s">
        <v>2097</v>
      </c>
      <c r="D6" s="4" t="s">
        <v>297</v>
      </c>
      <c r="E6" s="4" t="s">
        <v>284</v>
      </c>
      <c r="F6" s="4" t="s">
        <v>96</v>
      </c>
      <c r="G6" s="4" t="s">
        <v>317</v>
      </c>
      <c r="H6" s="4" t="s">
        <v>14</v>
      </c>
      <c r="I6" s="4" t="s">
        <v>374</v>
      </c>
      <c r="J6" s="4" t="s">
        <v>173</v>
      </c>
      <c r="K6" s="4" t="s">
        <v>64</v>
      </c>
      <c r="L6" s="4" t="s">
        <v>11</v>
      </c>
      <c r="M6" s="4" t="s">
        <v>1166</v>
      </c>
      <c r="N6" s="4" t="s">
        <v>1204</v>
      </c>
      <c r="O6" s="4" t="s">
        <v>65</v>
      </c>
      <c r="P6" s="4" t="s">
        <v>1193</v>
      </c>
      <c r="Q6" s="4" t="s">
        <v>1119</v>
      </c>
      <c r="R6" s="4" t="s">
        <v>14</v>
      </c>
      <c r="S6" s="4" t="s">
        <v>1134</v>
      </c>
      <c r="T6" s="4"/>
      <c r="U6" s="46" t="s">
        <v>424</v>
      </c>
      <c r="V6" s="52" t="s">
        <v>14</v>
      </c>
      <c r="W6" s="4" t="s">
        <v>14</v>
      </c>
      <c r="X6" s="54" t="s">
        <v>1308</v>
      </c>
      <c r="Y6" s="55"/>
      <c r="Z6" s="58"/>
      <c r="AA6" s="58"/>
      <c r="AB6" s="529"/>
      <c r="AC6" s="58"/>
      <c r="AD6" s="47"/>
      <c r="AE6" s="47"/>
      <c r="AF6" s="47"/>
      <c r="AG6" s="47"/>
      <c r="AH6" s="47"/>
    </row>
    <row r="7" spans="1:34" ht="144">
      <c r="A7" s="4" t="s">
        <v>431</v>
      </c>
      <c r="B7" s="536" t="s">
        <v>2070</v>
      </c>
      <c r="C7" s="534" t="s">
        <v>1570</v>
      </c>
      <c r="D7" s="4" t="s">
        <v>174</v>
      </c>
      <c r="E7" s="4" t="s">
        <v>162</v>
      </c>
      <c r="F7" s="4" t="s">
        <v>57</v>
      </c>
      <c r="G7" s="4" t="s">
        <v>432</v>
      </c>
      <c r="H7" s="4" t="s">
        <v>1346</v>
      </c>
      <c r="I7" s="4" t="s">
        <v>172</v>
      </c>
      <c r="J7" s="4" t="s">
        <v>176</v>
      </c>
      <c r="K7" s="4" t="s">
        <v>1128</v>
      </c>
      <c r="L7" s="4" t="s">
        <v>345</v>
      </c>
      <c r="M7" s="4" t="s">
        <v>1166</v>
      </c>
      <c r="N7" s="4" t="s">
        <v>1133</v>
      </c>
      <c r="O7" s="4" t="s">
        <v>135</v>
      </c>
      <c r="P7" s="4" t="s">
        <v>155</v>
      </c>
      <c r="Q7" s="4" t="s">
        <v>1160</v>
      </c>
      <c r="R7" s="4" t="s">
        <v>1162</v>
      </c>
      <c r="S7" s="4" t="s">
        <v>58</v>
      </c>
      <c r="T7" s="4" t="s">
        <v>1120</v>
      </c>
      <c r="U7" s="4" t="s">
        <v>433</v>
      </c>
      <c r="V7" s="52" t="s">
        <v>1217</v>
      </c>
      <c r="W7" s="4"/>
      <c r="X7" s="54" t="s">
        <v>1304</v>
      </c>
      <c r="Y7" s="55"/>
      <c r="Z7" s="58" t="s">
        <v>1413</v>
      </c>
      <c r="AA7" s="58"/>
      <c r="AB7" s="529" t="s">
        <v>1407</v>
      </c>
      <c r="AC7" s="58" t="s">
        <v>1408</v>
      </c>
      <c r="AD7" s="47"/>
      <c r="AE7" s="47"/>
      <c r="AF7" s="47"/>
      <c r="AG7" s="47"/>
      <c r="AH7" s="47"/>
    </row>
    <row r="8" spans="1:34" ht="66" customHeight="1">
      <c r="A8" s="4" t="s">
        <v>1994</v>
      </c>
      <c r="B8" s="536" t="s">
        <v>2085</v>
      </c>
      <c r="C8" s="534" t="s">
        <v>1570</v>
      </c>
      <c r="D8" s="4" t="s">
        <v>174</v>
      </c>
      <c r="E8" s="4" t="s">
        <v>2023</v>
      </c>
      <c r="F8" s="4" t="s">
        <v>2024</v>
      </c>
      <c r="G8" s="4" t="s">
        <v>1995</v>
      </c>
      <c r="H8" s="4" t="s">
        <v>1996</v>
      </c>
      <c r="I8" s="4"/>
      <c r="J8" s="4"/>
      <c r="K8" s="4"/>
      <c r="L8" s="4"/>
      <c r="M8" s="4"/>
      <c r="N8" s="4"/>
      <c r="O8" s="4"/>
      <c r="P8" s="4"/>
      <c r="Q8" s="4"/>
      <c r="R8" s="4"/>
      <c r="S8" s="4"/>
      <c r="T8" s="4"/>
      <c r="U8" s="4"/>
      <c r="V8" s="52"/>
      <c r="W8" s="52"/>
      <c r="X8" s="54" t="s">
        <v>1997</v>
      </c>
      <c r="Y8" s="56"/>
      <c r="Z8" s="58"/>
      <c r="AA8" s="58"/>
      <c r="AB8" s="529"/>
      <c r="AC8" s="58"/>
      <c r="AD8" s="47"/>
      <c r="AE8" s="47"/>
      <c r="AF8" s="47"/>
      <c r="AG8" s="47"/>
      <c r="AH8" s="47"/>
    </row>
    <row r="9" spans="1:34" ht="111.75" customHeight="1">
      <c r="A9" s="4" t="s">
        <v>306</v>
      </c>
      <c r="B9" s="536" t="s">
        <v>2068</v>
      </c>
      <c r="C9" s="534" t="s">
        <v>1570</v>
      </c>
      <c r="D9" s="4" t="s">
        <v>174</v>
      </c>
      <c r="E9" s="4" t="s">
        <v>162</v>
      </c>
      <c r="F9" s="4" t="s">
        <v>57</v>
      </c>
      <c r="G9" s="4" t="s">
        <v>175</v>
      </c>
      <c r="H9" s="4" t="s">
        <v>1346</v>
      </c>
      <c r="I9" s="4" t="s">
        <v>172</v>
      </c>
      <c r="J9" s="4" t="s">
        <v>176</v>
      </c>
      <c r="K9" s="4" t="s">
        <v>1128</v>
      </c>
      <c r="L9" s="4" t="s">
        <v>345</v>
      </c>
      <c r="M9" s="4" t="s">
        <v>1166</v>
      </c>
      <c r="N9" s="4" t="s">
        <v>1133</v>
      </c>
      <c r="O9" s="4" t="s">
        <v>135</v>
      </c>
      <c r="P9" s="4" t="s">
        <v>155</v>
      </c>
      <c r="Q9" s="4" t="s">
        <v>1160</v>
      </c>
      <c r="R9" s="4" t="s">
        <v>1162</v>
      </c>
      <c r="S9" s="4" t="s">
        <v>58</v>
      </c>
      <c r="T9" s="4" t="s">
        <v>1120</v>
      </c>
      <c r="U9" s="46" t="s">
        <v>391</v>
      </c>
      <c r="V9" s="52" t="s">
        <v>1216</v>
      </c>
      <c r="W9" s="4"/>
      <c r="X9" s="54" t="s">
        <v>1303</v>
      </c>
      <c r="Y9" s="56"/>
      <c r="Z9" s="58" t="s">
        <v>1413</v>
      </c>
      <c r="AA9" s="58" t="s">
        <v>1410</v>
      </c>
      <c r="AB9" s="529" t="s">
        <v>1409</v>
      </c>
      <c r="AC9" s="58" t="s">
        <v>1418</v>
      </c>
      <c r="AD9" s="47" t="s">
        <v>1411</v>
      </c>
      <c r="AE9" s="47" t="s">
        <v>1412</v>
      </c>
      <c r="AF9" s="47"/>
      <c r="AG9" s="47"/>
      <c r="AH9" s="47"/>
    </row>
    <row r="10" spans="1:34" ht="66" customHeight="1">
      <c r="A10" s="4" t="s">
        <v>1334</v>
      </c>
      <c r="B10" s="536" t="s">
        <v>2068</v>
      </c>
      <c r="C10" s="534" t="s">
        <v>1570</v>
      </c>
      <c r="D10" s="4" t="s">
        <v>174</v>
      </c>
      <c r="E10" s="4" t="s">
        <v>14</v>
      </c>
      <c r="F10" s="4" t="s">
        <v>1335</v>
      </c>
      <c r="G10" s="4" t="s">
        <v>1337</v>
      </c>
      <c r="H10" s="4" t="s">
        <v>2005</v>
      </c>
      <c r="I10" s="4" t="s">
        <v>172</v>
      </c>
      <c r="J10" s="4" t="s">
        <v>176</v>
      </c>
      <c r="K10" s="4" t="s">
        <v>1128</v>
      </c>
      <c r="L10" s="4" t="s">
        <v>345</v>
      </c>
      <c r="M10" s="4" t="s">
        <v>1166</v>
      </c>
      <c r="N10" s="4" t="s">
        <v>1133</v>
      </c>
      <c r="O10" s="4" t="s">
        <v>135</v>
      </c>
      <c r="P10" s="4" t="s">
        <v>1207</v>
      </c>
      <c r="Q10" s="4" t="s">
        <v>1208</v>
      </c>
      <c r="R10" s="4" t="s">
        <v>92</v>
      </c>
      <c r="S10" s="4" t="s">
        <v>1256</v>
      </c>
      <c r="T10" s="4" t="s">
        <v>1256</v>
      </c>
      <c r="U10" s="46" t="s">
        <v>391</v>
      </c>
      <c r="V10" s="52" t="s">
        <v>1351</v>
      </c>
      <c r="W10" s="4"/>
      <c r="X10" s="54" t="s">
        <v>14</v>
      </c>
      <c r="Y10" s="4" t="s">
        <v>2041</v>
      </c>
      <c r="Z10" s="58" t="s">
        <v>1413</v>
      </c>
      <c r="AA10" s="58" t="s">
        <v>1416</v>
      </c>
      <c r="AB10" s="529" t="s">
        <v>1415</v>
      </c>
      <c r="AC10" s="58" t="s">
        <v>1417</v>
      </c>
      <c r="AD10" s="47"/>
      <c r="AE10" s="47"/>
      <c r="AF10" s="47"/>
      <c r="AG10" s="47"/>
      <c r="AH10" s="47"/>
    </row>
    <row r="11" spans="1:34" s="47" customFormat="1" ht="66" customHeight="1">
      <c r="A11" s="1" t="s">
        <v>80</v>
      </c>
      <c r="B11" s="536" t="s">
        <v>2105</v>
      </c>
      <c r="C11" s="534" t="s">
        <v>1570</v>
      </c>
      <c r="D11" s="1" t="s">
        <v>190</v>
      </c>
      <c r="E11" s="1" t="s">
        <v>188</v>
      </c>
      <c r="F11" s="1" t="s">
        <v>81</v>
      </c>
      <c r="G11" s="1" t="s">
        <v>197</v>
      </c>
      <c r="H11" s="4" t="s">
        <v>1249</v>
      </c>
      <c r="I11" s="1" t="s">
        <v>163</v>
      </c>
      <c r="J11" s="1" t="s">
        <v>198</v>
      </c>
      <c r="K11" s="1" t="s">
        <v>1128</v>
      </c>
      <c r="L11" s="1" t="s">
        <v>11</v>
      </c>
      <c r="M11" s="1" t="s">
        <v>1166</v>
      </c>
      <c r="N11" s="1" t="s">
        <v>1133</v>
      </c>
      <c r="O11" s="1" t="s">
        <v>135</v>
      </c>
      <c r="P11" s="1" t="s">
        <v>155</v>
      </c>
      <c r="Q11" s="1" t="s">
        <v>1161</v>
      </c>
      <c r="R11" s="1" t="s">
        <v>14</v>
      </c>
      <c r="S11" s="1" t="s">
        <v>1088</v>
      </c>
      <c r="T11" s="1"/>
      <c r="U11" s="43" t="s">
        <v>390</v>
      </c>
      <c r="V11" s="52" t="s">
        <v>1237</v>
      </c>
      <c r="W11" s="4" t="s">
        <v>1272</v>
      </c>
      <c r="X11" s="54" t="s">
        <v>1306</v>
      </c>
      <c r="Y11" s="4" t="s">
        <v>1443</v>
      </c>
      <c r="Z11" s="3" t="s">
        <v>1368</v>
      </c>
      <c r="AA11" s="3"/>
      <c r="AB11" s="528" t="s">
        <v>1444</v>
      </c>
      <c r="AC11" s="3" t="s">
        <v>1445</v>
      </c>
      <c r="AD11" s="59" t="s">
        <v>1446</v>
      </c>
      <c r="AE11" t="s">
        <v>1442</v>
      </c>
      <c r="AF11"/>
      <c r="AG11"/>
      <c r="AH11"/>
    </row>
    <row r="12" spans="1:34" s="47" customFormat="1" ht="66" customHeight="1">
      <c r="A12" s="1" t="s">
        <v>46</v>
      </c>
      <c r="B12" s="536" t="s">
        <v>2066</v>
      </c>
      <c r="C12" s="534" t="s">
        <v>2092</v>
      </c>
      <c r="D12" s="1" t="s">
        <v>273</v>
      </c>
      <c r="E12" s="1" t="s">
        <v>170</v>
      </c>
      <c r="F12" s="1" t="s">
        <v>46</v>
      </c>
      <c r="G12" s="38" t="s">
        <v>368</v>
      </c>
      <c r="H12" s="4" t="s">
        <v>1346</v>
      </c>
      <c r="I12" s="1" t="s">
        <v>163</v>
      </c>
      <c r="J12" s="1" t="s">
        <v>23</v>
      </c>
      <c r="K12" s="1" t="s">
        <v>1128</v>
      </c>
      <c r="L12" s="1" t="s">
        <v>11</v>
      </c>
      <c r="M12" s="1" t="s">
        <v>1166</v>
      </c>
      <c r="N12" s="42" t="s">
        <v>1133</v>
      </c>
      <c r="O12" s="1" t="s">
        <v>135</v>
      </c>
      <c r="P12" s="4" t="s">
        <v>155</v>
      </c>
      <c r="Q12" s="4" t="s">
        <v>1071</v>
      </c>
      <c r="R12" s="1" t="s">
        <v>14</v>
      </c>
      <c r="S12" s="1" t="s">
        <v>47</v>
      </c>
      <c r="T12" s="1" t="s">
        <v>48</v>
      </c>
      <c r="U12" s="43" t="s">
        <v>387</v>
      </c>
      <c r="V12" s="52" t="s">
        <v>1223</v>
      </c>
      <c r="W12" s="4" t="s">
        <v>1258</v>
      </c>
      <c r="X12" s="4" t="s">
        <v>1301</v>
      </c>
      <c r="Y12" s="4"/>
      <c r="Z12" s="3" t="s">
        <v>1402</v>
      </c>
      <c r="AA12" s="3"/>
      <c r="AB12" s="528"/>
      <c r="AC12" s="3"/>
      <c r="AD12"/>
      <c r="AE12"/>
      <c r="AF12"/>
      <c r="AG12"/>
      <c r="AH12"/>
    </row>
    <row r="13" spans="1:34" s="47" customFormat="1" ht="66" customHeight="1">
      <c r="A13" s="4" t="s">
        <v>125</v>
      </c>
      <c r="B13" s="536" t="s">
        <v>2095</v>
      </c>
      <c r="C13" s="534" t="s">
        <v>2092</v>
      </c>
      <c r="D13" s="4" t="s">
        <v>459</v>
      </c>
      <c r="E13" s="4" t="s">
        <v>170</v>
      </c>
      <c r="F13" s="4" t="s">
        <v>126</v>
      </c>
      <c r="G13" s="4" t="s">
        <v>458</v>
      </c>
      <c r="H13" s="4" t="s">
        <v>38</v>
      </c>
      <c r="I13" s="4" t="s">
        <v>205</v>
      </c>
      <c r="J13" s="4" t="s">
        <v>173</v>
      </c>
      <c r="K13" s="4" t="s">
        <v>452</v>
      </c>
      <c r="L13" s="4" t="s">
        <v>11</v>
      </c>
      <c r="M13" s="1" t="s">
        <v>1165</v>
      </c>
      <c r="N13" s="4" t="s">
        <v>123</v>
      </c>
      <c r="O13" s="42" t="s">
        <v>1141</v>
      </c>
      <c r="P13" s="42" t="s">
        <v>1141</v>
      </c>
      <c r="Q13" s="4" t="s">
        <v>78</v>
      </c>
      <c r="R13" s="4" t="s">
        <v>14</v>
      </c>
      <c r="S13" s="4" t="s">
        <v>39</v>
      </c>
      <c r="T13" s="4" t="s">
        <v>1070</v>
      </c>
      <c r="U13" s="46"/>
      <c r="V13" s="52" t="s">
        <v>14</v>
      </c>
      <c r="W13" s="4" t="s">
        <v>14</v>
      </c>
      <c r="X13" s="54" t="s">
        <v>1307</v>
      </c>
      <c r="Y13" s="4"/>
      <c r="Z13" s="3"/>
      <c r="AA13" s="3"/>
      <c r="AB13" s="528"/>
      <c r="AC13" s="3"/>
      <c r="AD13"/>
      <c r="AE13"/>
      <c r="AF13"/>
      <c r="AG13"/>
      <c r="AH13"/>
    </row>
    <row r="14" spans="1:34" s="47" customFormat="1" ht="66" customHeight="1">
      <c r="A14" s="512" t="s">
        <v>111</v>
      </c>
      <c r="B14" s="536" t="s">
        <v>2108</v>
      </c>
      <c r="C14" s="534" t="s">
        <v>2107</v>
      </c>
      <c r="D14" s="1" t="s">
        <v>312</v>
      </c>
      <c r="E14" s="1" t="s">
        <v>285</v>
      </c>
      <c r="F14" s="1" t="s">
        <v>112</v>
      </c>
      <c r="G14" s="532" t="s">
        <v>292</v>
      </c>
      <c r="H14" s="511" t="s">
        <v>1339</v>
      </c>
      <c r="I14" s="511" t="s">
        <v>205</v>
      </c>
      <c r="J14" s="511" t="s">
        <v>78</v>
      </c>
      <c r="K14" s="512" t="s">
        <v>452</v>
      </c>
      <c r="L14" s="512" t="s">
        <v>11</v>
      </c>
      <c r="M14" s="512" t="s">
        <v>1166</v>
      </c>
      <c r="N14" s="512" t="s">
        <v>114</v>
      </c>
      <c r="O14" s="512" t="s">
        <v>113</v>
      </c>
      <c r="P14" s="511" t="s">
        <v>1200</v>
      </c>
      <c r="Q14" s="511" t="s">
        <v>113</v>
      </c>
      <c r="R14" s="511" t="s">
        <v>14</v>
      </c>
      <c r="S14" s="511" t="s">
        <v>14</v>
      </c>
      <c r="T14" s="511" t="s">
        <v>14</v>
      </c>
      <c r="U14" s="513" t="s">
        <v>395</v>
      </c>
      <c r="V14" s="514" t="s">
        <v>14</v>
      </c>
      <c r="W14" s="511" t="s">
        <v>14</v>
      </c>
      <c r="X14" s="515" t="s">
        <v>2052</v>
      </c>
      <c r="Y14" s="511" t="s">
        <v>1481</v>
      </c>
      <c r="Z14" s="3" t="s">
        <v>1383</v>
      </c>
      <c r="AA14" s="3"/>
      <c r="AB14" s="528"/>
      <c r="AC14" s="3" t="s">
        <v>1483</v>
      </c>
      <c r="AD14" s="59" t="s">
        <v>1482</v>
      </c>
      <c r="AE14" s="59" t="s">
        <v>1485</v>
      </c>
      <c r="AF14"/>
      <c r="AG14"/>
      <c r="AH14"/>
    </row>
    <row r="15" spans="1:34" s="47" customFormat="1" ht="66" customHeight="1">
      <c r="A15" s="1" t="s">
        <v>203</v>
      </c>
      <c r="B15" s="536"/>
      <c r="C15" s="534" t="s">
        <v>2094</v>
      </c>
      <c r="D15" s="1" t="s">
        <v>204</v>
      </c>
      <c r="E15" s="1" t="s">
        <v>300</v>
      </c>
      <c r="F15" s="1" t="s">
        <v>281</v>
      </c>
      <c r="G15" s="4" t="s">
        <v>282</v>
      </c>
      <c r="H15" s="4" t="s">
        <v>14</v>
      </c>
      <c r="I15" s="4" t="s">
        <v>353</v>
      </c>
      <c r="J15" s="1" t="s">
        <v>277</v>
      </c>
      <c r="K15" s="1" t="s">
        <v>56</v>
      </c>
      <c r="L15" s="1" t="s">
        <v>11</v>
      </c>
      <c r="M15" s="1" t="s">
        <v>18</v>
      </c>
      <c r="N15" s="1" t="s">
        <v>1204</v>
      </c>
      <c r="O15" s="42" t="s">
        <v>280</v>
      </c>
      <c r="P15" s="42" t="s">
        <v>1196</v>
      </c>
      <c r="Q15" s="42" t="s">
        <v>281</v>
      </c>
      <c r="R15" s="4" t="s">
        <v>14</v>
      </c>
      <c r="S15" s="4" t="s">
        <v>1070</v>
      </c>
      <c r="T15" s="4" t="s">
        <v>1070</v>
      </c>
      <c r="U15" s="43" t="s">
        <v>421</v>
      </c>
      <c r="V15" s="52" t="s">
        <v>14</v>
      </c>
      <c r="W15" s="4" t="s">
        <v>14</v>
      </c>
      <c r="X15" s="54" t="s">
        <v>2047</v>
      </c>
      <c r="Y15" s="4" t="s">
        <v>2048</v>
      </c>
      <c r="Z15" s="3"/>
      <c r="AA15" s="3"/>
      <c r="AB15" s="528"/>
      <c r="AC15" s="3"/>
      <c r="AD15"/>
      <c r="AE15"/>
      <c r="AF15"/>
      <c r="AG15"/>
      <c r="AH15"/>
    </row>
    <row r="16" spans="1:34" s="47" customFormat="1" ht="95.25" customHeight="1">
      <c r="A16" s="4" t="s">
        <v>144</v>
      </c>
      <c r="B16" s="536" t="s">
        <v>2100</v>
      </c>
      <c r="C16" s="534" t="s">
        <v>2102</v>
      </c>
      <c r="D16" s="4" t="s">
        <v>191</v>
      </c>
      <c r="E16" s="4" t="s">
        <v>185</v>
      </c>
      <c r="F16" s="4" t="s">
        <v>145</v>
      </c>
      <c r="G16" s="4" t="s">
        <v>371</v>
      </c>
      <c r="H16" s="4" t="s">
        <v>1339</v>
      </c>
      <c r="I16" s="4" t="s">
        <v>177</v>
      </c>
      <c r="J16" s="4" t="s">
        <v>176</v>
      </c>
      <c r="K16" s="4" t="s">
        <v>1128</v>
      </c>
      <c r="L16" s="4" t="s">
        <v>142</v>
      </c>
      <c r="M16" s="4" t="s">
        <v>1166</v>
      </c>
      <c r="N16" s="4" t="s">
        <v>1133</v>
      </c>
      <c r="O16" s="4" t="s">
        <v>135</v>
      </c>
      <c r="P16" s="4" t="s">
        <v>155</v>
      </c>
      <c r="Q16" s="4" t="s">
        <v>1160</v>
      </c>
      <c r="R16" s="4" t="s">
        <v>14</v>
      </c>
      <c r="S16" s="4" t="s">
        <v>1070</v>
      </c>
      <c r="T16" s="4" t="s">
        <v>343</v>
      </c>
      <c r="U16" s="46" t="s">
        <v>430</v>
      </c>
      <c r="V16" s="52" t="s">
        <v>1229</v>
      </c>
      <c r="W16" s="4"/>
      <c r="X16" s="54" t="s">
        <v>1303</v>
      </c>
      <c r="Y16" s="4" t="s">
        <v>1330</v>
      </c>
      <c r="Z16" s="58"/>
      <c r="AA16" s="58"/>
      <c r="AB16" s="529"/>
      <c r="AC16" s="58"/>
    </row>
    <row r="17" spans="1:34" s="47" customFormat="1" ht="66" customHeight="1">
      <c r="A17" s="4" t="s">
        <v>2002</v>
      </c>
      <c r="B17" s="536" t="s">
        <v>2101</v>
      </c>
      <c r="C17" s="534" t="s">
        <v>2102</v>
      </c>
      <c r="D17" s="4" t="s">
        <v>272</v>
      </c>
      <c r="E17" s="4" t="s">
        <v>299</v>
      </c>
      <c r="F17" s="4" t="s">
        <v>136</v>
      </c>
      <c r="G17" s="4" t="s">
        <v>367</v>
      </c>
      <c r="H17" s="4" t="s">
        <v>1345</v>
      </c>
      <c r="I17" s="4" t="s">
        <v>163</v>
      </c>
      <c r="J17" s="4" t="s">
        <v>173</v>
      </c>
      <c r="K17" s="4" t="s">
        <v>1128</v>
      </c>
      <c r="L17" s="4" t="s">
        <v>11</v>
      </c>
      <c r="M17" s="4" t="s">
        <v>1166</v>
      </c>
      <c r="N17" s="4" t="s">
        <v>1133</v>
      </c>
      <c r="O17" s="4" t="s">
        <v>135</v>
      </c>
      <c r="P17" s="4" t="s">
        <v>1189</v>
      </c>
      <c r="Q17" s="4" t="s">
        <v>1159</v>
      </c>
      <c r="R17" s="4" t="s">
        <v>14</v>
      </c>
      <c r="S17" s="4" t="s">
        <v>1069</v>
      </c>
      <c r="T17" s="4" t="s">
        <v>1070</v>
      </c>
      <c r="U17" s="46" t="s">
        <v>392</v>
      </c>
      <c r="V17" s="52" t="s">
        <v>2001</v>
      </c>
      <c r="W17" s="4" t="s">
        <v>1257</v>
      </c>
      <c r="X17" s="4" t="s">
        <v>2051</v>
      </c>
      <c r="Y17" s="4" t="s">
        <v>1329</v>
      </c>
      <c r="Z17" s="58" t="s">
        <v>1383</v>
      </c>
      <c r="AA17" s="58"/>
      <c r="AB17" s="529" t="s">
        <v>1400</v>
      </c>
      <c r="AC17" s="58" t="s">
        <v>1401</v>
      </c>
      <c r="AE17" s="59" t="s">
        <v>1399</v>
      </c>
    </row>
    <row r="18" spans="1:34" ht="89.25" customHeight="1">
      <c r="A18" s="4" t="s">
        <v>28</v>
      </c>
      <c r="B18" s="536" t="s">
        <v>2101</v>
      </c>
      <c r="C18" s="534" t="s">
        <v>2102</v>
      </c>
      <c r="D18" s="4" t="s">
        <v>270</v>
      </c>
      <c r="E18" s="4" t="s">
        <v>1279</v>
      </c>
      <c r="F18" s="4" t="s">
        <v>28</v>
      </c>
      <c r="G18" s="4" t="s">
        <v>1430</v>
      </c>
      <c r="H18" s="4" t="s">
        <v>1340</v>
      </c>
      <c r="I18" s="4" t="s">
        <v>163</v>
      </c>
      <c r="J18" s="4" t="s">
        <v>23</v>
      </c>
      <c r="K18" s="4" t="s">
        <v>1128</v>
      </c>
      <c r="L18" s="4" t="s">
        <v>11</v>
      </c>
      <c r="M18" s="4" t="s">
        <v>1166</v>
      </c>
      <c r="N18" s="4" t="s">
        <v>1133</v>
      </c>
      <c r="O18" s="4" t="s">
        <v>135</v>
      </c>
      <c r="P18" s="4" t="s">
        <v>1188</v>
      </c>
      <c r="Q18" s="4" t="s">
        <v>1158</v>
      </c>
      <c r="R18" s="4" t="s">
        <v>14</v>
      </c>
      <c r="S18" s="4" t="s">
        <v>29</v>
      </c>
      <c r="T18" s="4" t="s">
        <v>30</v>
      </c>
      <c r="U18" s="46" t="s">
        <v>392</v>
      </c>
      <c r="V18" s="52" t="s">
        <v>1230</v>
      </c>
      <c r="W18" s="4" t="s">
        <v>1264</v>
      </c>
      <c r="X18" s="4" t="s">
        <v>1273</v>
      </c>
      <c r="Y18" s="4" t="s">
        <v>1431</v>
      </c>
      <c r="Z18" s="58" t="s">
        <v>1433</v>
      </c>
      <c r="AA18" s="58"/>
      <c r="AB18" s="529" t="s">
        <v>1432</v>
      </c>
      <c r="AC18" s="58"/>
      <c r="AD18" s="47"/>
      <c r="AE18" s="47"/>
      <c r="AF18" s="47"/>
      <c r="AG18" s="47"/>
      <c r="AH18" s="47"/>
    </row>
    <row r="19" spans="1:34" ht="66" customHeight="1">
      <c r="A19" s="4" t="s">
        <v>33</v>
      </c>
      <c r="B19" s="536" t="s">
        <v>2101</v>
      </c>
      <c r="C19" s="534" t="s">
        <v>2102</v>
      </c>
      <c r="D19" s="4" t="s">
        <v>449</v>
      </c>
      <c r="E19" s="4" t="s">
        <v>1279</v>
      </c>
      <c r="F19" s="4" t="s">
        <v>33</v>
      </c>
      <c r="G19" s="4" t="s">
        <v>364</v>
      </c>
      <c r="H19" s="4" t="s">
        <v>1340</v>
      </c>
      <c r="I19" s="4" t="s">
        <v>205</v>
      </c>
      <c r="J19" s="4" t="s">
        <v>23</v>
      </c>
      <c r="K19" s="4" t="s">
        <v>1128</v>
      </c>
      <c r="L19" s="4" t="s">
        <v>11</v>
      </c>
      <c r="M19" s="4" t="s">
        <v>1166</v>
      </c>
      <c r="N19" s="4" t="s">
        <v>1133</v>
      </c>
      <c r="O19" s="4" t="s">
        <v>135</v>
      </c>
      <c r="P19" s="4" t="s">
        <v>1188</v>
      </c>
      <c r="Q19" s="4" t="s">
        <v>1158</v>
      </c>
      <c r="R19" s="4" t="s">
        <v>14</v>
      </c>
      <c r="S19" s="4" t="s">
        <v>34</v>
      </c>
      <c r="T19" s="4" t="s">
        <v>35</v>
      </c>
      <c r="U19" s="46" t="s">
        <v>392</v>
      </c>
      <c r="V19" s="52" t="s">
        <v>1231</v>
      </c>
      <c r="W19" s="4" t="s">
        <v>1265</v>
      </c>
      <c r="X19" s="4" t="s">
        <v>1274</v>
      </c>
      <c r="Y19" s="4"/>
      <c r="Z19" s="58" t="s">
        <v>1433</v>
      </c>
      <c r="AA19" s="58"/>
      <c r="AB19" s="529"/>
      <c r="AC19" s="58"/>
      <c r="AD19" s="47"/>
      <c r="AE19" s="47"/>
      <c r="AF19" s="47"/>
      <c r="AG19" s="47"/>
      <c r="AH19" s="47"/>
    </row>
    <row r="20" spans="1:34" ht="66" customHeight="1">
      <c r="A20" s="4" t="s">
        <v>49</v>
      </c>
      <c r="B20" s="536" t="s">
        <v>2101</v>
      </c>
      <c r="C20" s="535" t="s">
        <v>2102</v>
      </c>
      <c r="D20" s="4" t="s">
        <v>450</v>
      </c>
      <c r="E20" s="4" t="s">
        <v>1279</v>
      </c>
      <c r="F20" s="4" t="s">
        <v>49</v>
      </c>
      <c r="G20" s="4" t="s">
        <v>366</v>
      </c>
      <c r="H20" s="4" t="s">
        <v>1340</v>
      </c>
      <c r="I20" s="4" t="s">
        <v>205</v>
      </c>
      <c r="J20" s="4" t="s">
        <v>23</v>
      </c>
      <c r="K20" s="4" t="s">
        <v>1128</v>
      </c>
      <c r="L20" s="4" t="s">
        <v>11</v>
      </c>
      <c r="M20" s="4" t="s">
        <v>1166</v>
      </c>
      <c r="N20" s="4" t="s">
        <v>1133</v>
      </c>
      <c r="O20" s="4" t="s">
        <v>135</v>
      </c>
      <c r="P20" s="4" t="s">
        <v>1188</v>
      </c>
      <c r="Q20" s="4" t="s">
        <v>1158</v>
      </c>
      <c r="R20" s="4" t="s">
        <v>14</v>
      </c>
      <c r="S20" s="4" t="s">
        <v>29</v>
      </c>
      <c r="T20" s="4" t="s">
        <v>50</v>
      </c>
      <c r="U20" s="46" t="s">
        <v>392</v>
      </c>
      <c r="V20" s="52" t="s">
        <v>1232</v>
      </c>
      <c r="W20" s="52" t="s">
        <v>1266</v>
      </c>
      <c r="X20" s="4" t="s">
        <v>1275</v>
      </c>
      <c r="Y20" s="4"/>
      <c r="Z20" s="58" t="s">
        <v>1433</v>
      </c>
      <c r="AA20" s="58"/>
      <c r="AB20" s="529"/>
      <c r="AC20" s="58"/>
      <c r="AD20" s="47"/>
      <c r="AE20" s="47"/>
      <c r="AF20" s="47"/>
      <c r="AG20" s="47"/>
      <c r="AH20" s="47"/>
    </row>
    <row r="21" spans="1:34" ht="66" customHeight="1">
      <c r="A21" s="4" t="s">
        <v>1212</v>
      </c>
      <c r="B21" s="536" t="s">
        <v>2101</v>
      </c>
      <c r="C21" s="535" t="s">
        <v>2102</v>
      </c>
      <c r="D21" s="4" t="s">
        <v>270</v>
      </c>
      <c r="E21" s="4" t="s">
        <v>1279</v>
      </c>
      <c r="F21" s="4" t="s">
        <v>1212</v>
      </c>
      <c r="G21" s="4" t="s">
        <v>362</v>
      </c>
      <c r="H21" s="4" t="s">
        <v>1340</v>
      </c>
      <c r="I21" s="4" t="s">
        <v>168</v>
      </c>
      <c r="J21" s="4" t="s">
        <v>23</v>
      </c>
      <c r="K21" s="4" t="s">
        <v>1128</v>
      </c>
      <c r="L21" s="4" t="s">
        <v>11</v>
      </c>
      <c r="M21" s="4" t="s">
        <v>1166</v>
      </c>
      <c r="N21" s="4" t="s">
        <v>1133</v>
      </c>
      <c r="O21" s="4" t="s">
        <v>135</v>
      </c>
      <c r="P21" s="4" t="s">
        <v>1188</v>
      </c>
      <c r="Q21" s="4" t="s">
        <v>1158</v>
      </c>
      <c r="R21" s="4" t="s">
        <v>14</v>
      </c>
      <c r="S21" s="4" t="s">
        <v>26</v>
      </c>
      <c r="T21" s="4" t="s">
        <v>27</v>
      </c>
      <c r="U21" s="46" t="s">
        <v>392</v>
      </c>
      <c r="V21" s="52" t="s">
        <v>1233</v>
      </c>
      <c r="W21" s="52" t="s">
        <v>1267</v>
      </c>
      <c r="X21" s="4" t="s">
        <v>1276</v>
      </c>
      <c r="Y21" s="4"/>
      <c r="Z21" s="58" t="s">
        <v>1433</v>
      </c>
      <c r="AA21" s="58"/>
      <c r="AB21" s="529"/>
      <c r="AC21" s="58"/>
      <c r="AD21" s="47"/>
      <c r="AE21" s="47"/>
      <c r="AF21" s="47"/>
      <c r="AG21" s="47"/>
      <c r="AH21" s="47"/>
    </row>
    <row r="22" spans="1:34" ht="66" customHeight="1">
      <c r="A22" s="4" t="s">
        <v>36</v>
      </c>
      <c r="B22" s="536" t="s">
        <v>2101</v>
      </c>
      <c r="C22" s="534" t="s">
        <v>2102</v>
      </c>
      <c r="D22" s="4" t="s">
        <v>271</v>
      </c>
      <c r="E22" s="4" t="s">
        <v>1279</v>
      </c>
      <c r="F22" s="4" t="s">
        <v>36</v>
      </c>
      <c r="G22" s="4" t="s">
        <v>365</v>
      </c>
      <c r="H22" s="4" t="s">
        <v>1340</v>
      </c>
      <c r="I22" s="4" t="s">
        <v>205</v>
      </c>
      <c r="J22" s="4" t="s">
        <v>23</v>
      </c>
      <c r="K22" s="4" t="s">
        <v>1128</v>
      </c>
      <c r="L22" s="4" t="s">
        <v>11</v>
      </c>
      <c r="M22" s="4" t="s">
        <v>1166</v>
      </c>
      <c r="N22" s="4" t="s">
        <v>1133</v>
      </c>
      <c r="O22" s="4" t="s">
        <v>135</v>
      </c>
      <c r="P22" s="4" t="s">
        <v>1188</v>
      </c>
      <c r="Q22" s="4" t="s">
        <v>1158</v>
      </c>
      <c r="R22" s="4" t="s">
        <v>14</v>
      </c>
      <c r="S22" s="4" t="s">
        <v>37</v>
      </c>
      <c r="T22" s="4" t="s">
        <v>19</v>
      </c>
      <c r="U22" s="46" t="s">
        <v>392</v>
      </c>
      <c r="V22" s="52" t="s">
        <v>1234</v>
      </c>
      <c r="W22" s="4" t="s">
        <v>1268</v>
      </c>
      <c r="X22" s="4" t="s">
        <v>1277</v>
      </c>
      <c r="Y22" s="4"/>
      <c r="Z22" s="58" t="s">
        <v>1433</v>
      </c>
      <c r="AA22" s="58"/>
      <c r="AB22" s="529"/>
      <c r="AC22" s="58"/>
      <c r="AD22" s="47"/>
      <c r="AE22" s="47"/>
      <c r="AF22" s="47"/>
      <c r="AG22" s="47"/>
      <c r="AH22" s="47"/>
    </row>
    <row r="23" spans="1:34" ht="66" customHeight="1">
      <c r="A23" s="4" t="s">
        <v>31</v>
      </c>
      <c r="B23" s="536" t="s">
        <v>2101</v>
      </c>
      <c r="C23" s="534" t="s">
        <v>2102</v>
      </c>
      <c r="D23" s="4" t="s">
        <v>271</v>
      </c>
      <c r="E23" s="4" t="s">
        <v>1279</v>
      </c>
      <c r="F23" s="4" t="s">
        <v>31</v>
      </c>
      <c r="G23" s="4" t="s">
        <v>363</v>
      </c>
      <c r="H23" s="4" t="s">
        <v>1348</v>
      </c>
      <c r="I23" s="4" t="s">
        <v>205</v>
      </c>
      <c r="J23" s="4" t="s">
        <v>23</v>
      </c>
      <c r="K23" s="4" t="s">
        <v>1128</v>
      </c>
      <c r="L23" s="4" t="s">
        <v>11</v>
      </c>
      <c r="M23" s="4" t="s">
        <v>1166</v>
      </c>
      <c r="N23" s="4" t="s">
        <v>1133</v>
      </c>
      <c r="O23" s="4" t="s">
        <v>135</v>
      </c>
      <c r="P23" s="4" t="s">
        <v>1188</v>
      </c>
      <c r="Q23" s="4" t="s">
        <v>1158</v>
      </c>
      <c r="R23" s="4" t="s">
        <v>14</v>
      </c>
      <c r="S23" s="4" t="s">
        <v>32</v>
      </c>
      <c r="T23" s="4" t="s">
        <v>19</v>
      </c>
      <c r="U23" s="46" t="s">
        <v>392</v>
      </c>
      <c r="V23" s="52" t="s">
        <v>1234</v>
      </c>
      <c r="W23" s="52" t="s">
        <v>1269</v>
      </c>
      <c r="X23" s="4" t="s">
        <v>1278</v>
      </c>
      <c r="Y23" s="4" t="s">
        <v>1431</v>
      </c>
      <c r="Z23" s="58" t="s">
        <v>1433</v>
      </c>
      <c r="AA23" s="58"/>
      <c r="AB23" s="529"/>
      <c r="AC23" s="58"/>
      <c r="AD23" s="47"/>
      <c r="AE23" s="47"/>
      <c r="AF23" s="47"/>
      <c r="AG23" s="47"/>
      <c r="AH23" s="47"/>
    </row>
    <row r="24" spans="1:34" ht="66" customHeight="1">
      <c r="A24" s="4" t="s">
        <v>22</v>
      </c>
      <c r="B24" s="536" t="s">
        <v>2101</v>
      </c>
      <c r="C24" s="534" t="s">
        <v>2102</v>
      </c>
      <c r="D24" s="4" t="s">
        <v>270</v>
      </c>
      <c r="E24" s="4" t="s">
        <v>1279</v>
      </c>
      <c r="F24" s="4" t="s">
        <v>22</v>
      </c>
      <c r="G24" s="4" t="s">
        <v>361</v>
      </c>
      <c r="H24" s="4" t="s">
        <v>1340</v>
      </c>
      <c r="I24" s="4" t="s">
        <v>167</v>
      </c>
      <c r="J24" s="4" t="s">
        <v>23</v>
      </c>
      <c r="K24" s="4" t="s">
        <v>1128</v>
      </c>
      <c r="L24" s="4" t="s">
        <v>11</v>
      </c>
      <c r="M24" s="4" t="s">
        <v>1166</v>
      </c>
      <c r="N24" s="4" t="s">
        <v>1133</v>
      </c>
      <c r="O24" s="4" t="s">
        <v>135</v>
      </c>
      <c r="P24" s="4" t="s">
        <v>1188</v>
      </c>
      <c r="Q24" s="4" t="s">
        <v>1158</v>
      </c>
      <c r="R24" s="4" t="s">
        <v>14</v>
      </c>
      <c r="S24" s="4" t="s">
        <v>24</v>
      </c>
      <c r="T24" s="4" t="s">
        <v>25</v>
      </c>
      <c r="U24" s="46" t="s">
        <v>392</v>
      </c>
      <c r="V24" s="52" t="s">
        <v>1233</v>
      </c>
      <c r="W24" s="4" t="s">
        <v>1270</v>
      </c>
      <c r="X24" s="4" t="s">
        <v>1276</v>
      </c>
      <c r="Y24" s="4"/>
      <c r="Z24" s="58" t="s">
        <v>1433</v>
      </c>
      <c r="AA24" s="58"/>
      <c r="AB24" s="529"/>
      <c r="AC24" s="58"/>
      <c r="AD24" s="47"/>
      <c r="AE24" s="47"/>
      <c r="AF24" s="47"/>
      <c r="AG24" s="47"/>
      <c r="AH24" s="47"/>
    </row>
    <row r="25" spans="1:34" s="47" customFormat="1" ht="66" customHeight="1">
      <c r="A25" s="1" t="s">
        <v>8</v>
      </c>
      <c r="B25" s="536" t="s">
        <v>2081</v>
      </c>
      <c r="C25" s="534" t="s">
        <v>2076</v>
      </c>
      <c r="D25" s="1" t="s">
        <v>161</v>
      </c>
      <c r="E25" s="1" t="s">
        <v>351</v>
      </c>
      <c r="F25" s="1" t="s">
        <v>9</v>
      </c>
      <c r="G25" s="1" t="s">
        <v>283</v>
      </c>
      <c r="H25" s="4" t="s">
        <v>1339</v>
      </c>
      <c r="I25" s="1" t="s">
        <v>163</v>
      </c>
      <c r="J25" s="1" t="s">
        <v>164</v>
      </c>
      <c r="K25" s="1" t="s">
        <v>1128</v>
      </c>
      <c r="L25" s="1" t="s">
        <v>11</v>
      </c>
      <c r="M25" s="1" t="s">
        <v>1165</v>
      </c>
      <c r="N25" s="1" t="s">
        <v>1149</v>
      </c>
      <c r="O25" s="1" t="s">
        <v>135</v>
      </c>
      <c r="P25" s="4" t="s">
        <v>1187</v>
      </c>
      <c r="Q25" s="4" t="s">
        <v>1156</v>
      </c>
      <c r="R25" s="4" t="s">
        <v>14</v>
      </c>
      <c r="S25" s="1" t="s">
        <v>12</v>
      </c>
      <c r="T25" s="1" t="s">
        <v>13</v>
      </c>
      <c r="U25" s="43" t="s">
        <v>389</v>
      </c>
      <c r="V25" s="52" t="s">
        <v>1224</v>
      </c>
      <c r="W25" s="4" t="s">
        <v>1260</v>
      </c>
      <c r="X25" s="54" t="s">
        <v>1299</v>
      </c>
      <c r="Y25" s="4" t="s">
        <v>1225</v>
      </c>
      <c r="Z25" s="3" t="s">
        <v>1422</v>
      </c>
      <c r="AA25" s="3"/>
      <c r="AB25" s="528" t="s">
        <v>1421</v>
      </c>
      <c r="AC25" s="3"/>
      <c r="AD25" s="59" t="s">
        <v>1423</v>
      </c>
      <c r="AE25" s="59" t="s">
        <v>1424</v>
      </c>
      <c r="AF25" s="59" t="s">
        <v>1425</v>
      </c>
      <c r="AG25"/>
      <c r="AH25"/>
    </row>
    <row r="26" spans="1:34" s="520" customFormat="1" ht="66" customHeight="1">
      <c r="A26" s="4" t="s">
        <v>2027</v>
      </c>
      <c r="B26" s="536" t="s">
        <v>2064</v>
      </c>
      <c r="C26" s="534" t="s">
        <v>2090</v>
      </c>
      <c r="D26" s="4" t="s">
        <v>219</v>
      </c>
      <c r="E26" s="4" t="s">
        <v>301</v>
      </c>
      <c r="F26" s="4" t="s">
        <v>115</v>
      </c>
      <c r="G26" s="4" t="s">
        <v>1214</v>
      </c>
      <c r="H26" s="4" t="s">
        <v>1344</v>
      </c>
      <c r="I26" s="4" t="s">
        <v>205</v>
      </c>
      <c r="J26" s="4" t="s">
        <v>178</v>
      </c>
      <c r="K26" s="4" t="s">
        <v>1128</v>
      </c>
      <c r="L26" s="4" t="s">
        <v>142</v>
      </c>
      <c r="M26" s="4" t="s">
        <v>1166</v>
      </c>
      <c r="N26" s="4" t="s">
        <v>1133</v>
      </c>
      <c r="O26" s="4" t="s">
        <v>135</v>
      </c>
      <c r="P26" s="4" t="s">
        <v>155</v>
      </c>
      <c r="Q26" s="4" t="s">
        <v>1160</v>
      </c>
      <c r="R26" s="4" t="s">
        <v>14</v>
      </c>
      <c r="S26" s="4" t="s">
        <v>1114</v>
      </c>
      <c r="T26" s="4" t="s">
        <v>1070</v>
      </c>
      <c r="U26" s="46" t="s">
        <v>414</v>
      </c>
      <c r="V26" s="52"/>
      <c r="W26" s="4"/>
      <c r="X26" s="54" t="s">
        <v>1371</v>
      </c>
      <c r="Y26" s="4" t="s">
        <v>1369</v>
      </c>
      <c r="Z26" s="3" t="s">
        <v>1372</v>
      </c>
      <c r="AA26" s="3" t="s">
        <v>1378</v>
      </c>
      <c r="AB26" s="528" t="s">
        <v>1370</v>
      </c>
      <c r="AC26" s="3" t="s">
        <v>1376</v>
      </c>
      <c r="AD26" s="59" t="s">
        <v>1374</v>
      </c>
      <c r="AE26" s="59" t="s">
        <v>1375</v>
      </c>
      <c r="AF26" s="59" t="s">
        <v>1377</v>
      </c>
      <c r="AG26"/>
      <c r="AH26"/>
    </row>
    <row r="27" spans="1:34" s="47" customFormat="1" ht="66" customHeight="1">
      <c r="A27" s="4" t="s">
        <v>2029</v>
      </c>
      <c r="B27" s="536" t="s">
        <v>2063</v>
      </c>
      <c r="C27" s="534" t="s">
        <v>2090</v>
      </c>
      <c r="D27" s="4" t="s">
        <v>219</v>
      </c>
      <c r="E27" s="4" t="s">
        <v>185</v>
      </c>
      <c r="F27" s="4" t="s">
        <v>107</v>
      </c>
      <c r="G27" s="4" t="s">
        <v>1976</v>
      </c>
      <c r="H27" s="4" t="s">
        <v>2020</v>
      </c>
      <c r="I27" s="4" t="s">
        <v>205</v>
      </c>
      <c r="J27" s="4" t="s">
        <v>178</v>
      </c>
      <c r="K27" s="4" t="s">
        <v>1128</v>
      </c>
      <c r="L27" s="4" t="s">
        <v>142</v>
      </c>
      <c r="M27" s="4" t="s">
        <v>1166</v>
      </c>
      <c r="N27" s="4" t="s">
        <v>1133</v>
      </c>
      <c r="O27" s="4" t="s">
        <v>135</v>
      </c>
      <c r="P27" s="4" t="s">
        <v>1206</v>
      </c>
      <c r="Q27" s="4" t="s">
        <v>1208</v>
      </c>
      <c r="R27" s="4" t="s">
        <v>1163</v>
      </c>
      <c r="S27" s="4" t="s">
        <v>1096</v>
      </c>
      <c r="T27" s="4" t="s">
        <v>1095</v>
      </c>
      <c r="U27" s="46" t="s">
        <v>380</v>
      </c>
      <c r="V27" s="52" t="s">
        <v>1221</v>
      </c>
      <c r="W27" s="52"/>
      <c r="X27" s="54" t="s">
        <v>1977</v>
      </c>
      <c r="Y27" s="4" t="s">
        <v>1381</v>
      </c>
      <c r="Z27" s="3" t="s">
        <v>1383</v>
      </c>
      <c r="AA27" s="3" t="s">
        <v>1380</v>
      </c>
      <c r="AB27" s="528" t="s">
        <v>1382</v>
      </c>
      <c r="AC27" s="3" t="s">
        <v>1384</v>
      </c>
      <c r="AD27" t="s">
        <v>1379</v>
      </c>
      <c r="AE27" s="59" t="s">
        <v>1385</v>
      </c>
      <c r="AF27"/>
      <c r="AG27"/>
      <c r="AH27"/>
    </row>
    <row r="28" spans="1:34" s="47" customFormat="1" ht="66" customHeight="1">
      <c r="A28" s="4" t="s">
        <v>2025</v>
      </c>
      <c r="B28" s="536" t="s">
        <v>2063</v>
      </c>
      <c r="C28" s="534" t="s">
        <v>2090</v>
      </c>
      <c r="D28" s="4" t="s">
        <v>220</v>
      </c>
      <c r="E28" s="4" t="s">
        <v>185</v>
      </c>
      <c r="F28" s="4" t="s">
        <v>109</v>
      </c>
      <c r="G28" s="4" t="s">
        <v>206</v>
      </c>
      <c r="H28" s="4" t="s">
        <v>2021</v>
      </c>
      <c r="I28" s="4" t="s">
        <v>167</v>
      </c>
      <c r="J28" s="4" t="s">
        <v>178</v>
      </c>
      <c r="K28" s="4" t="s">
        <v>1128</v>
      </c>
      <c r="L28" s="4" t="s">
        <v>142</v>
      </c>
      <c r="M28" s="4" t="s">
        <v>1166</v>
      </c>
      <c r="N28" s="4" t="s">
        <v>1133</v>
      </c>
      <c r="O28" s="4" t="s">
        <v>135</v>
      </c>
      <c r="P28" s="4" t="s">
        <v>1211</v>
      </c>
      <c r="Q28" s="4" t="s">
        <v>1160</v>
      </c>
      <c r="R28" s="4" t="s">
        <v>247</v>
      </c>
      <c r="S28" s="4" t="s">
        <v>1086</v>
      </c>
      <c r="T28" s="4" t="s">
        <v>1097</v>
      </c>
      <c r="U28" s="46" t="s">
        <v>381</v>
      </c>
      <c r="V28" s="52" t="s">
        <v>1222</v>
      </c>
      <c r="W28" s="4"/>
      <c r="X28" s="54" t="s">
        <v>1989</v>
      </c>
      <c r="Y28" s="56" t="s">
        <v>1391</v>
      </c>
      <c r="Z28" s="3" t="s">
        <v>1389</v>
      </c>
      <c r="AA28" s="3" t="s">
        <v>1388</v>
      </c>
      <c r="AB28" s="528" t="s">
        <v>1392</v>
      </c>
      <c r="AC28" s="3" t="s">
        <v>1393</v>
      </c>
      <c r="AD28" s="59" t="s">
        <v>1390</v>
      </c>
      <c r="AE28" s="59" t="s">
        <v>1387</v>
      </c>
      <c r="AF28"/>
      <c r="AG28"/>
      <c r="AH28"/>
    </row>
    <row r="29" spans="1:34" s="47" customFormat="1" ht="111.75" customHeight="1">
      <c r="A29" s="4" t="s">
        <v>2026</v>
      </c>
      <c r="B29" s="536" t="s">
        <v>2063</v>
      </c>
      <c r="C29" s="534" t="s">
        <v>2090</v>
      </c>
      <c r="D29" s="4" t="s">
        <v>262</v>
      </c>
      <c r="E29" s="4" t="s">
        <v>185</v>
      </c>
      <c r="F29" s="48" t="s">
        <v>261</v>
      </c>
      <c r="G29" s="48" t="s">
        <v>278</v>
      </c>
      <c r="H29" s="4" t="s">
        <v>2022</v>
      </c>
      <c r="I29" s="48" t="s">
        <v>205</v>
      </c>
      <c r="J29" s="48" t="s">
        <v>277</v>
      </c>
      <c r="K29" s="4" t="s">
        <v>1128</v>
      </c>
      <c r="L29" s="4" t="s">
        <v>142</v>
      </c>
      <c r="M29" s="4" t="s">
        <v>1166</v>
      </c>
      <c r="N29" s="4" t="s">
        <v>1133</v>
      </c>
      <c r="O29" s="48" t="s">
        <v>135</v>
      </c>
      <c r="P29" s="4" t="s">
        <v>1206</v>
      </c>
      <c r="Q29" s="4" t="s">
        <v>1160</v>
      </c>
      <c r="R29" s="4" t="s">
        <v>1215</v>
      </c>
      <c r="S29" s="4" t="s">
        <v>1109</v>
      </c>
      <c r="T29" s="4" t="s">
        <v>1070</v>
      </c>
      <c r="U29" s="49" t="s">
        <v>448</v>
      </c>
      <c r="V29" s="52"/>
      <c r="W29" s="4"/>
      <c r="X29" s="54" t="s">
        <v>2000</v>
      </c>
      <c r="Y29" s="56" t="s">
        <v>1981</v>
      </c>
      <c r="Z29" s="3" t="s">
        <v>1383</v>
      </c>
      <c r="AA29" s="3" t="s">
        <v>1395</v>
      </c>
      <c r="AB29" s="528" t="s">
        <v>1394</v>
      </c>
      <c r="AC29" s="3" t="s">
        <v>1397</v>
      </c>
      <c r="AD29" t="s">
        <v>1396</v>
      </c>
      <c r="AE29" s="59" t="s">
        <v>1398</v>
      </c>
      <c r="AF29"/>
      <c r="AG29"/>
      <c r="AH29"/>
    </row>
    <row r="30" spans="1:34" s="47" customFormat="1" ht="66" customHeight="1">
      <c r="A30" s="1" t="s">
        <v>121</v>
      </c>
      <c r="B30" s="536" t="s">
        <v>2091</v>
      </c>
      <c r="C30" s="534" t="s">
        <v>2090</v>
      </c>
      <c r="D30" s="1" t="s">
        <v>194</v>
      </c>
      <c r="E30" s="1" t="s">
        <v>185</v>
      </c>
      <c r="F30" s="1" t="s">
        <v>264</v>
      </c>
      <c r="G30" s="4" t="s">
        <v>265</v>
      </c>
      <c r="H30" s="4" t="s">
        <v>14</v>
      </c>
      <c r="I30" s="4" t="s">
        <v>167</v>
      </c>
      <c r="J30" s="4" t="s">
        <v>266</v>
      </c>
      <c r="K30" s="1" t="s">
        <v>64</v>
      </c>
      <c r="L30" s="1" t="s">
        <v>11</v>
      </c>
      <c r="M30" s="1" t="s">
        <v>18</v>
      </c>
      <c r="N30" s="1" t="s">
        <v>123</v>
      </c>
      <c r="O30" s="4" t="s">
        <v>173</v>
      </c>
      <c r="P30" s="4" t="s">
        <v>173</v>
      </c>
      <c r="Q30" s="1" t="s">
        <v>122</v>
      </c>
      <c r="R30" s="4" t="s">
        <v>14</v>
      </c>
      <c r="S30" s="4" t="s">
        <v>1112</v>
      </c>
      <c r="T30" s="4" t="s">
        <v>14</v>
      </c>
      <c r="U30" s="43" t="s">
        <v>384</v>
      </c>
      <c r="V30" s="52" t="s">
        <v>1233</v>
      </c>
      <c r="W30" s="4"/>
      <c r="X30" s="54" t="s">
        <v>1325</v>
      </c>
      <c r="Y30" s="4"/>
      <c r="Z30" s="3" t="s">
        <v>1535</v>
      </c>
      <c r="AA30" s="3"/>
      <c r="AB30" s="528"/>
      <c r="AC30" s="3"/>
      <c r="AD30"/>
      <c r="AE30"/>
      <c r="AF30"/>
      <c r="AG30"/>
      <c r="AH30"/>
    </row>
    <row r="31" spans="1:34" s="47" customFormat="1" ht="66" customHeight="1">
      <c r="A31" s="1" t="s">
        <v>116</v>
      </c>
      <c r="B31" s="536" t="s">
        <v>2074</v>
      </c>
      <c r="C31" s="534" t="s">
        <v>2090</v>
      </c>
      <c r="D31" s="1" t="s">
        <v>248</v>
      </c>
      <c r="E31" s="1" t="s">
        <v>185</v>
      </c>
      <c r="F31" s="1" t="s">
        <v>117</v>
      </c>
      <c r="G31" s="4" t="s">
        <v>376</v>
      </c>
      <c r="H31" s="4" t="s">
        <v>14</v>
      </c>
      <c r="I31" s="4" t="s">
        <v>163</v>
      </c>
      <c r="J31" s="4" t="s">
        <v>253</v>
      </c>
      <c r="K31" s="1" t="s">
        <v>118</v>
      </c>
      <c r="L31" s="1" t="s">
        <v>11</v>
      </c>
      <c r="M31" s="1" t="s">
        <v>18</v>
      </c>
      <c r="N31" s="1" t="s">
        <v>1204</v>
      </c>
      <c r="O31" s="1" t="s">
        <v>117</v>
      </c>
      <c r="P31" s="4" t="s">
        <v>1201</v>
      </c>
      <c r="Q31" s="1" t="s">
        <v>1160</v>
      </c>
      <c r="R31" s="4" t="s">
        <v>247</v>
      </c>
      <c r="S31" s="4" t="s">
        <v>1100</v>
      </c>
      <c r="T31" s="4" t="s">
        <v>1101</v>
      </c>
      <c r="U31" s="43" t="s">
        <v>402</v>
      </c>
      <c r="V31" s="53" t="s">
        <v>1230</v>
      </c>
      <c r="W31" s="53"/>
      <c r="X31" s="54" t="s">
        <v>1326</v>
      </c>
      <c r="Y31" s="4" t="s">
        <v>252</v>
      </c>
      <c r="Z31" s="3" t="s">
        <v>1537</v>
      </c>
      <c r="AA31" s="3"/>
      <c r="AB31" s="528" t="s">
        <v>1538</v>
      </c>
      <c r="AC31" s="3"/>
      <c r="AD31"/>
      <c r="AE31" t="s">
        <v>1536</v>
      </c>
      <c r="AF31"/>
      <c r="AG31"/>
      <c r="AH31"/>
    </row>
    <row r="32" spans="1:34" s="47" customFormat="1" ht="66" customHeight="1">
      <c r="A32" s="1" t="s">
        <v>55</v>
      </c>
      <c r="B32" s="536" t="s">
        <v>2093</v>
      </c>
      <c r="C32" s="534" t="s">
        <v>1076</v>
      </c>
      <c r="D32" s="1" t="s">
        <v>338</v>
      </c>
      <c r="E32" s="1" t="s">
        <v>170</v>
      </c>
      <c r="F32" s="1" t="s">
        <v>55</v>
      </c>
      <c r="G32" s="1" t="s">
        <v>339</v>
      </c>
      <c r="H32" s="4" t="s">
        <v>14</v>
      </c>
      <c r="I32" s="1" t="s">
        <v>340</v>
      </c>
      <c r="J32" s="1" t="s">
        <v>23</v>
      </c>
      <c r="K32" s="1" t="s">
        <v>56</v>
      </c>
      <c r="L32" s="1" t="s">
        <v>11</v>
      </c>
      <c r="M32" s="4" t="s">
        <v>18</v>
      </c>
      <c r="N32" s="4" t="s">
        <v>1132</v>
      </c>
      <c r="O32" s="4" t="s">
        <v>23</v>
      </c>
      <c r="P32" s="4" t="s">
        <v>23</v>
      </c>
      <c r="Q32" s="4" t="s">
        <v>1076</v>
      </c>
      <c r="R32" s="4" t="s">
        <v>14</v>
      </c>
      <c r="S32" s="4" t="s">
        <v>1070</v>
      </c>
      <c r="T32" s="4" t="s">
        <v>1070</v>
      </c>
      <c r="U32" s="1" t="s">
        <v>415</v>
      </c>
      <c r="V32" s="52" t="s">
        <v>1226</v>
      </c>
      <c r="W32" s="4"/>
      <c r="X32" s="54" t="s">
        <v>2046</v>
      </c>
      <c r="Y32" s="4" t="s">
        <v>1426</v>
      </c>
      <c r="Z32" s="3"/>
      <c r="AA32" s="3"/>
      <c r="AB32" s="528"/>
      <c r="AC32" s="3"/>
      <c r="AD32"/>
      <c r="AE32"/>
      <c r="AF32"/>
      <c r="AG32"/>
      <c r="AH32"/>
    </row>
    <row r="33" spans="1:34" s="47" customFormat="1" ht="66" customHeight="1">
      <c r="A33" s="4" t="s">
        <v>1213</v>
      </c>
      <c r="B33" s="536" t="s">
        <v>2088</v>
      </c>
      <c r="C33" s="534" t="s">
        <v>14</v>
      </c>
      <c r="D33" s="1" t="s">
        <v>207</v>
      </c>
      <c r="E33" s="1" t="s">
        <v>170</v>
      </c>
      <c r="F33" s="4" t="s">
        <v>137</v>
      </c>
      <c r="G33" s="4" t="s">
        <v>259</v>
      </c>
      <c r="H33" s="4" t="s">
        <v>14</v>
      </c>
      <c r="I33" s="4" t="s">
        <v>378</v>
      </c>
      <c r="J33" s="1" t="s">
        <v>260</v>
      </c>
      <c r="K33" s="1" t="s">
        <v>1130</v>
      </c>
      <c r="L33" s="1" t="s">
        <v>11</v>
      </c>
      <c r="M33" s="4" t="s">
        <v>18</v>
      </c>
      <c r="N33" s="4" t="s">
        <v>460</v>
      </c>
      <c r="O33" s="4" t="s">
        <v>135</v>
      </c>
      <c r="P33" s="4" t="s">
        <v>135</v>
      </c>
      <c r="Q33" s="4" t="s">
        <v>1080</v>
      </c>
      <c r="R33" s="4" t="s">
        <v>14</v>
      </c>
      <c r="S33" s="4" t="s">
        <v>14</v>
      </c>
      <c r="T33" s="4" t="s">
        <v>1081</v>
      </c>
      <c r="U33" s="43" t="s">
        <v>425</v>
      </c>
      <c r="V33" s="52" t="s">
        <v>14</v>
      </c>
      <c r="W33" s="4" t="s">
        <v>1271</v>
      </c>
      <c r="X33" s="54" t="s">
        <v>1312</v>
      </c>
      <c r="Y33" s="4"/>
      <c r="Z33" s="3" t="s">
        <v>1434</v>
      </c>
      <c r="AA33" s="3"/>
      <c r="AB33" s="528" t="s">
        <v>1435</v>
      </c>
      <c r="AC33" s="3"/>
      <c r="AD33"/>
      <c r="AE33" t="s">
        <v>1436</v>
      </c>
      <c r="AF33"/>
      <c r="AG33"/>
      <c r="AH33"/>
    </row>
    <row r="34" spans="1:34" s="47" customFormat="1" ht="66" customHeight="1">
      <c r="A34" s="4" t="s">
        <v>305</v>
      </c>
      <c r="B34" s="536" t="s">
        <v>2069</v>
      </c>
      <c r="C34" s="534" t="s">
        <v>455</v>
      </c>
      <c r="D34" s="4" t="s">
        <v>14</v>
      </c>
      <c r="E34" s="4" t="s">
        <v>352</v>
      </c>
      <c r="F34" s="4" t="s">
        <v>53</v>
      </c>
      <c r="G34" s="4" t="s">
        <v>314</v>
      </c>
      <c r="H34" s="4" t="s">
        <v>1347</v>
      </c>
      <c r="I34" s="4" t="s">
        <v>340</v>
      </c>
      <c r="J34" s="4" t="s">
        <v>341</v>
      </c>
      <c r="K34" s="4" t="s">
        <v>1128</v>
      </c>
      <c r="L34" s="4" t="s">
        <v>11</v>
      </c>
      <c r="M34" s="4" t="s">
        <v>1165</v>
      </c>
      <c r="N34" s="4" t="s">
        <v>54</v>
      </c>
      <c r="O34" s="4" t="s">
        <v>135</v>
      </c>
      <c r="P34" s="4" t="s">
        <v>135</v>
      </c>
      <c r="Q34" s="4" t="s">
        <v>14</v>
      </c>
      <c r="R34" s="4" t="s">
        <v>14</v>
      </c>
      <c r="S34" s="4" t="s">
        <v>342</v>
      </c>
      <c r="T34" s="4" t="s">
        <v>1070</v>
      </c>
      <c r="U34" s="46" t="s">
        <v>406</v>
      </c>
      <c r="V34" s="52" t="s">
        <v>14</v>
      </c>
      <c r="W34" s="4" t="s">
        <v>1261</v>
      </c>
      <c r="X34" s="54" t="s">
        <v>1306</v>
      </c>
      <c r="Y34" s="4"/>
      <c r="Z34" s="58" t="s">
        <v>1413</v>
      </c>
      <c r="AA34" s="58"/>
      <c r="AB34" s="529"/>
      <c r="AC34" s="58"/>
    </row>
    <row r="35" spans="1:34" s="47" customFormat="1" ht="66" customHeight="1">
      <c r="A35" s="4" t="s">
        <v>307</v>
      </c>
      <c r="B35" s="536" t="s">
        <v>2104</v>
      </c>
      <c r="C35" s="534" t="s">
        <v>455</v>
      </c>
      <c r="D35" s="4" t="s">
        <v>192</v>
      </c>
      <c r="E35" s="4" t="s">
        <v>308</v>
      </c>
      <c r="F35" s="4" t="s">
        <v>51</v>
      </c>
      <c r="G35" s="4" t="s">
        <v>369</v>
      </c>
      <c r="H35" s="4" t="s">
        <v>1349</v>
      </c>
      <c r="I35" s="4" t="s">
        <v>177</v>
      </c>
      <c r="J35" s="4" t="s">
        <v>370</v>
      </c>
      <c r="K35" s="4" t="s">
        <v>1128</v>
      </c>
      <c r="L35" s="4" t="s">
        <v>345</v>
      </c>
      <c r="M35" s="4" t="s">
        <v>1166</v>
      </c>
      <c r="N35" s="4" t="s">
        <v>1133</v>
      </c>
      <c r="O35" s="4" t="s">
        <v>135</v>
      </c>
      <c r="P35" s="4" t="s">
        <v>155</v>
      </c>
      <c r="Q35" s="4" t="s">
        <v>1161</v>
      </c>
      <c r="R35" s="4" t="s">
        <v>14</v>
      </c>
      <c r="S35" s="4" t="s">
        <v>52</v>
      </c>
      <c r="T35" s="4" t="s">
        <v>19</v>
      </c>
      <c r="U35" s="46" t="s">
        <v>385</v>
      </c>
      <c r="V35" s="52"/>
      <c r="W35" s="4"/>
      <c r="X35" s="54" t="s">
        <v>1315</v>
      </c>
      <c r="Y35" s="4"/>
      <c r="Z35" s="58" t="s">
        <v>1383</v>
      </c>
      <c r="AA35" s="58" t="s">
        <v>1438</v>
      </c>
      <c r="AB35" s="529" t="s">
        <v>1439</v>
      </c>
      <c r="AC35" s="58" t="s">
        <v>1440</v>
      </c>
      <c r="AD35" s="47" t="s">
        <v>1423</v>
      </c>
      <c r="AE35" s="47" t="s">
        <v>1441</v>
      </c>
    </row>
    <row r="36" spans="1:34" s="47" customFormat="1" ht="66" customHeight="1">
      <c r="A36" s="1" t="s">
        <v>146</v>
      </c>
      <c r="B36" s="536"/>
      <c r="C36" s="534" t="s">
        <v>455</v>
      </c>
      <c r="D36" s="1" t="s">
        <v>193</v>
      </c>
      <c r="E36" s="1" t="s">
        <v>310</v>
      </c>
      <c r="F36" s="1" t="s">
        <v>146</v>
      </c>
      <c r="G36" s="1" t="s">
        <v>179</v>
      </c>
      <c r="H36" s="4" t="s">
        <v>1339</v>
      </c>
      <c r="I36" s="1" t="s">
        <v>172</v>
      </c>
      <c r="J36" s="1" t="s">
        <v>344</v>
      </c>
      <c r="K36" s="1" t="s">
        <v>1128</v>
      </c>
      <c r="L36" s="1" t="s">
        <v>142</v>
      </c>
      <c r="M36" s="1" t="s">
        <v>1166</v>
      </c>
      <c r="N36" s="1" t="s">
        <v>1133</v>
      </c>
      <c r="O36" s="1" t="s">
        <v>135</v>
      </c>
      <c r="P36" s="4" t="s">
        <v>155</v>
      </c>
      <c r="Q36" s="1" t="s">
        <v>1160</v>
      </c>
      <c r="R36" s="4" t="s">
        <v>14</v>
      </c>
      <c r="S36" s="4" t="s">
        <v>1086</v>
      </c>
      <c r="T36" s="4" t="s">
        <v>1091</v>
      </c>
      <c r="U36" s="43" t="s">
        <v>418</v>
      </c>
      <c r="V36" s="52" t="s">
        <v>1238</v>
      </c>
      <c r="W36" s="4"/>
      <c r="X36" s="54" t="s">
        <v>1316</v>
      </c>
      <c r="Y36" s="4" t="s">
        <v>1449</v>
      </c>
      <c r="Z36" s="3" t="s">
        <v>1447</v>
      </c>
      <c r="AA36" s="3" t="s">
        <v>1448</v>
      </c>
      <c r="AB36" s="528"/>
      <c r="AC36" s="3" t="s">
        <v>1450</v>
      </c>
      <c r="AD36" s="59" t="s">
        <v>1451</v>
      </c>
      <c r="AE36" t="s">
        <v>1441</v>
      </c>
      <c r="AF36"/>
      <c r="AG36"/>
      <c r="AH36"/>
    </row>
    <row r="37" spans="1:34" s="47" customFormat="1" ht="66" customHeight="1">
      <c r="A37" s="1" t="s">
        <v>1978</v>
      </c>
      <c r="B37" s="536"/>
      <c r="C37" s="534" t="s">
        <v>455</v>
      </c>
      <c r="D37" s="1" t="s">
        <v>14</v>
      </c>
      <c r="E37" s="1" t="s">
        <v>1121</v>
      </c>
      <c r="F37" s="1" t="s">
        <v>1122</v>
      </c>
      <c r="G37" s="1" t="s">
        <v>1123</v>
      </c>
      <c r="H37" s="4" t="s">
        <v>1339</v>
      </c>
      <c r="I37" s="1" t="s">
        <v>340</v>
      </c>
      <c r="J37" s="1" t="s">
        <v>341</v>
      </c>
      <c r="K37" s="1" t="s">
        <v>1128</v>
      </c>
      <c r="L37" s="1" t="s">
        <v>11</v>
      </c>
      <c r="M37" s="1" t="s">
        <v>1166</v>
      </c>
      <c r="N37" s="1" t="s">
        <v>1133</v>
      </c>
      <c r="O37" s="1" t="s">
        <v>135</v>
      </c>
      <c r="P37" s="4" t="s">
        <v>92</v>
      </c>
      <c r="Q37" s="1" t="s">
        <v>92</v>
      </c>
      <c r="R37" s="4" t="s">
        <v>1162</v>
      </c>
      <c r="S37" s="4" t="s">
        <v>1124</v>
      </c>
      <c r="T37" s="4" t="s">
        <v>1125</v>
      </c>
      <c r="U37" s="43"/>
      <c r="V37" s="52" t="s">
        <v>1236</v>
      </c>
      <c r="W37" s="52"/>
      <c r="X37" s="54" t="s">
        <v>1979</v>
      </c>
      <c r="Y37" s="4"/>
      <c r="Z37" s="3" t="s">
        <v>1460</v>
      </c>
      <c r="AA37" s="3" t="s">
        <v>1459</v>
      </c>
      <c r="AB37" s="528" t="s">
        <v>1456</v>
      </c>
      <c r="AC37" s="3" t="s">
        <v>1455</v>
      </c>
      <c r="AD37" s="59" t="s">
        <v>1457</v>
      </c>
      <c r="AE37" s="59" t="s">
        <v>1458</v>
      </c>
      <c r="AF37"/>
      <c r="AG37"/>
      <c r="AH37"/>
    </row>
    <row r="38" spans="1:34" s="47" customFormat="1" ht="66" customHeight="1">
      <c r="A38" s="1" t="s">
        <v>139</v>
      </c>
      <c r="B38" s="536"/>
      <c r="C38" s="534" t="s">
        <v>455</v>
      </c>
      <c r="D38" s="1" t="s">
        <v>192</v>
      </c>
      <c r="E38" s="1" t="s">
        <v>309</v>
      </c>
      <c r="F38" s="1" t="s">
        <v>139</v>
      </c>
      <c r="G38" s="1" t="s">
        <v>184</v>
      </c>
      <c r="H38" s="4" t="s">
        <v>1339</v>
      </c>
      <c r="I38" s="1" t="s">
        <v>172</v>
      </c>
      <c r="J38" s="1" t="s">
        <v>178</v>
      </c>
      <c r="K38" s="1" t="s">
        <v>1128</v>
      </c>
      <c r="L38" s="1" t="s">
        <v>142</v>
      </c>
      <c r="M38" s="1" t="s">
        <v>1166</v>
      </c>
      <c r="N38" s="1" t="s">
        <v>1133</v>
      </c>
      <c r="O38" s="1" t="s">
        <v>135</v>
      </c>
      <c r="P38" s="4" t="s">
        <v>155</v>
      </c>
      <c r="Q38" s="1" t="s">
        <v>1160</v>
      </c>
      <c r="R38" s="4" t="s">
        <v>14</v>
      </c>
      <c r="S38" s="4" t="s">
        <v>1084</v>
      </c>
      <c r="T38" s="4" t="s">
        <v>1085</v>
      </c>
      <c r="U38" s="43" t="s">
        <v>417</v>
      </c>
      <c r="V38" s="53" t="s">
        <v>1239</v>
      </c>
      <c r="W38" s="52"/>
      <c r="X38" s="54" t="s">
        <v>1317</v>
      </c>
      <c r="Y38" s="4"/>
      <c r="Z38" s="3" t="s">
        <v>1389</v>
      </c>
      <c r="AA38" s="3" t="s">
        <v>1464</v>
      </c>
      <c r="AB38" s="528" t="s">
        <v>1461</v>
      </c>
      <c r="AC38" s="3" t="s">
        <v>1462</v>
      </c>
      <c r="AD38" s="59" t="s">
        <v>1390</v>
      </c>
      <c r="AE38" s="59" t="s">
        <v>1463</v>
      </c>
      <c r="AF38"/>
      <c r="AG38"/>
      <c r="AH38"/>
    </row>
    <row r="39" spans="1:34" ht="66" customHeight="1">
      <c r="A39" s="1" t="s">
        <v>143</v>
      </c>
      <c r="B39" s="536"/>
      <c r="C39" s="535" t="s">
        <v>455</v>
      </c>
      <c r="D39" s="1" t="s">
        <v>189</v>
      </c>
      <c r="E39" s="1" t="s">
        <v>143</v>
      </c>
      <c r="F39" s="1" t="s">
        <v>143</v>
      </c>
      <c r="G39" s="1" t="s">
        <v>183</v>
      </c>
      <c r="H39" s="4" t="s">
        <v>1339</v>
      </c>
      <c r="I39" s="1" t="s">
        <v>172</v>
      </c>
      <c r="J39" s="1" t="s">
        <v>166</v>
      </c>
      <c r="K39" s="1" t="s">
        <v>1128</v>
      </c>
      <c r="L39" s="1" t="s">
        <v>142</v>
      </c>
      <c r="M39" s="1" t="s">
        <v>1166</v>
      </c>
      <c r="N39" s="1" t="s">
        <v>1133</v>
      </c>
      <c r="O39" s="1" t="s">
        <v>135</v>
      </c>
      <c r="P39" s="4" t="s">
        <v>155</v>
      </c>
      <c r="Q39" s="1" t="s">
        <v>1160</v>
      </c>
      <c r="R39" s="4" t="s">
        <v>14</v>
      </c>
      <c r="S39" s="4" t="s">
        <v>1070</v>
      </c>
      <c r="T39" s="4" t="s">
        <v>1077</v>
      </c>
      <c r="U39" s="1" t="s">
        <v>416</v>
      </c>
      <c r="V39" s="52" t="s">
        <v>1240</v>
      </c>
      <c r="W39" s="52"/>
      <c r="X39" s="54" t="s">
        <v>1311</v>
      </c>
      <c r="Y39" s="4"/>
      <c r="Z39" s="58" t="s">
        <v>1389</v>
      </c>
      <c r="AA39" s="58"/>
      <c r="AB39" s="529" t="s">
        <v>1466</v>
      </c>
      <c r="AC39" s="58" t="s">
        <v>1465</v>
      </c>
      <c r="AD39" s="59" t="s">
        <v>1390</v>
      </c>
      <c r="AE39" s="59" t="s">
        <v>1458</v>
      </c>
      <c r="AF39" s="47"/>
      <c r="AG39" s="47"/>
      <c r="AH39" s="47"/>
    </row>
    <row r="40" spans="1:34" ht="66" customHeight="1">
      <c r="A40" s="4" t="s">
        <v>140</v>
      </c>
      <c r="B40" s="536"/>
      <c r="C40" s="535" t="s">
        <v>455</v>
      </c>
      <c r="D40" s="4" t="s">
        <v>451</v>
      </c>
      <c r="E40" s="4" t="s">
        <v>311</v>
      </c>
      <c r="F40" s="4" t="s">
        <v>141</v>
      </c>
      <c r="G40" s="4" t="s">
        <v>372</v>
      </c>
      <c r="H40" s="4" t="s">
        <v>1339</v>
      </c>
      <c r="I40" s="4" t="s">
        <v>172</v>
      </c>
      <c r="J40" s="4" t="s">
        <v>373</v>
      </c>
      <c r="K40" s="1" t="s">
        <v>1128</v>
      </c>
      <c r="L40" s="1" t="s">
        <v>142</v>
      </c>
      <c r="M40" s="1" t="s">
        <v>1166</v>
      </c>
      <c r="N40" s="1" t="s">
        <v>1133</v>
      </c>
      <c r="O40" s="1" t="s">
        <v>135</v>
      </c>
      <c r="P40" s="4" t="s">
        <v>155</v>
      </c>
      <c r="Q40" s="1" t="s">
        <v>1160</v>
      </c>
      <c r="R40" s="4" t="s">
        <v>14</v>
      </c>
      <c r="S40" s="4" t="s">
        <v>1070</v>
      </c>
      <c r="T40" s="4" t="s">
        <v>1092</v>
      </c>
      <c r="U40" s="43" t="s">
        <v>419</v>
      </c>
      <c r="V40" s="52" t="s">
        <v>1242</v>
      </c>
      <c r="W40" s="52"/>
      <c r="X40" s="54" t="s">
        <v>1317</v>
      </c>
      <c r="Y40" s="4"/>
      <c r="Z40" s="58" t="s">
        <v>1389</v>
      </c>
      <c r="AA40" s="58" t="s">
        <v>1464</v>
      </c>
      <c r="AB40" s="529" t="s">
        <v>1467</v>
      </c>
      <c r="AC40" s="3" t="s">
        <v>1469</v>
      </c>
      <c r="AD40" s="59" t="s">
        <v>1468</v>
      </c>
      <c r="AE40" s="59" t="s">
        <v>1441</v>
      </c>
      <c r="AF40" s="47"/>
      <c r="AG40" s="47"/>
      <c r="AH40" s="47"/>
    </row>
    <row r="41" spans="1:34" ht="85" customHeight="1">
      <c r="A41" s="1" t="s">
        <v>152</v>
      </c>
      <c r="B41" s="536"/>
      <c r="C41" s="535" t="s">
        <v>455</v>
      </c>
      <c r="D41" s="4" t="s">
        <v>249</v>
      </c>
      <c r="E41" s="4" t="s">
        <v>185</v>
      </c>
      <c r="F41" s="1" t="s">
        <v>152</v>
      </c>
      <c r="G41" s="1" t="s">
        <v>250</v>
      </c>
      <c r="H41" s="4" t="s">
        <v>1339</v>
      </c>
      <c r="I41" s="1" t="s">
        <v>172</v>
      </c>
      <c r="J41" s="1" t="s">
        <v>251</v>
      </c>
      <c r="K41" s="1" t="s">
        <v>1128</v>
      </c>
      <c r="L41" s="1" t="s">
        <v>153</v>
      </c>
      <c r="M41" s="1" t="s">
        <v>1166</v>
      </c>
      <c r="N41" s="1" t="s">
        <v>1133</v>
      </c>
      <c r="O41" s="4" t="s">
        <v>135</v>
      </c>
      <c r="P41" s="4" t="s">
        <v>135</v>
      </c>
      <c r="Q41" s="1" t="s">
        <v>1160</v>
      </c>
      <c r="R41" s="4" t="s">
        <v>14</v>
      </c>
      <c r="S41" s="4" t="s">
        <v>150</v>
      </c>
      <c r="T41" s="4" t="s">
        <v>151</v>
      </c>
      <c r="U41" s="46" t="s">
        <v>430</v>
      </c>
      <c r="V41" s="52" t="s">
        <v>1243</v>
      </c>
      <c r="W41" s="4"/>
      <c r="X41" s="54" t="s">
        <v>1303</v>
      </c>
      <c r="Y41" s="4"/>
      <c r="Z41" s="58" t="s">
        <v>1389</v>
      </c>
      <c r="AA41" s="58" t="s">
        <v>1470</v>
      </c>
      <c r="AB41" s="529" t="s">
        <v>1471</v>
      </c>
      <c r="AC41" s="58" t="s">
        <v>1472</v>
      </c>
      <c r="AD41" s="59" t="s">
        <v>1411</v>
      </c>
      <c r="AE41" s="59" t="s">
        <v>1463</v>
      </c>
      <c r="AF41" s="47"/>
      <c r="AG41" s="47"/>
      <c r="AH41" s="47"/>
    </row>
    <row r="42" spans="1:34" ht="66" customHeight="1">
      <c r="A42" s="1" t="s">
        <v>1980</v>
      </c>
      <c r="B42" s="536"/>
      <c r="C42" s="534" t="s">
        <v>455</v>
      </c>
      <c r="D42" s="1" t="s">
        <v>456</v>
      </c>
      <c r="E42" s="1" t="s">
        <v>455</v>
      </c>
      <c r="F42" s="1" t="s">
        <v>427</v>
      </c>
      <c r="G42" s="1" t="s">
        <v>428</v>
      </c>
      <c r="H42" s="4" t="s">
        <v>1339</v>
      </c>
      <c r="I42" s="1" t="s">
        <v>172</v>
      </c>
      <c r="J42" s="1" t="s">
        <v>429</v>
      </c>
      <c r="K42" s="1" t="s">
        <v>1128</v>
      </c>
      <c r="L42" s="1" t="s">
        <v>142</v>
      </c>
      <c r="M42" s="1" t="s">
        <v>1166</v>
      </c>
      <c r="N42" s="42" t="s">
        <v>1133</v>
      </c>
      <c r="O42" s="1" t="s">
        <v>135</v>
      </c>
      <c r="P42" s="1" t="s">
        <v>1073</v>
      </c>
      <c r="Q42" s="1" t="s">
        <v>14</v>
      </c>
      <c r="R42" s="1" t="s">
        <v>14</v>
      </c>
      <c r="S42" s="1" t="s">
        <v>1075</v>
      </c>
      <c r="T42" s="1" t="s">
        <v>14</v>
      </c>
      <c r="U42" s="39" t="s">
        <v>426</v>
      </c>
      <c r="V42" s="52" t="s">
        <v>1244</v>
      </c>
      <c r="W42" s="4"/>
      <c r="X42" s="54" t="s">
        <v>1318</v>
      </c>
      <c r="Y42" s="4"/>
      <c r="Z42" s="58" t="s">
        <v>1473</v>
      </c>
      <c r="AA42" s="58" t="s">
        <v>1464</v>
      </c>
      <c r="AB42" s="529" t="s">
        <v>1474</v>
      </c>
      <c r="AC42" s="58" t="s">
        <v>1475</v>
      </c>
      <c r="AD42" s="59" t="s">
        <v>1476</v>
      </c>
      <c r="AE42" s="47"/>
      <c r="AF42" s="47"/>
      <c r="AG42" s="47"/>
      <c r="AH42" s="47"/>
    </row>
    <row r="43" spans="1:34" ht="66" customHeight="1">
      <c r="A43" s="4" t="s">
        <v>2028</v>
      </c>
      <c r="B43" s="536" t="s">
        <v>2062</v>
      </c>
      <c r="C43" s="534" t="s">
        <v>134</v>
      </c>
      <c r="D43" s="4" t="s">
        <v>189</v>
      </c>
      <c r="E43" s="4" t="s">
        <v>1975</v>
      </c>
      <c r="F43" s="4" t="s">
        <v>110</v>
      </c>
      <c r="G43" s="4" t="s">
        <v>2018</v>
      </c>
      <c r="H43" s="4" t="s">
        <v>2019</v>
      </c>
      <c r="I43" s="4" t="s">
        <v>163</v>
      </c>
      <c r="J43" s="4" t="s">
        <v>1998</v>
      </c>
      <c r="K43" s="4" t="s">
        <v>1128</v>
      </c>
      <c r="L43" s="4" t="s">
        <v>11</v>
      </c>
      <c r="M43" s="4" t="s">
        <v>1166</v>
      </c>
      <c r="N43" s="4" t="s">
        <v>1133</v>
      </c>
      <c r="O43" s="4" t="s">
        <v>135</v>
      </c>
      <c r="P43" s="4" t="s">
        <v>1282</v>
      </c>
      <c r="Q43" s="4" t="s">
        <v>1281</v>
      </c>
      <c r="R43" s="4" t="s">
        <v>247</v>
      </c>
      <c r="S43" s="4" t="s">
        <v>1113</v>
      </c>
      <c r="T43" s="4" t="s">
        <v>1110</v>
      </c>
      <c r="U43" s="46" t="s">
        <v>383</v>
      </c>
      <c r="V43" s="52" t="s">
        <v>1220</v>
      </c>
      <c r="W43" s="52"/>
      <c r="X43" s="54" t="s">
        <v>1297</v>
      </c>
      <c r="Y43" s="4" t="s">
        <v>1358</v>
      </c>
      <c r="Z43" s="3" t="s">
        <v>1368</v>
      </c>
      <c r="AA43" s="3" t="s">
        <v>1366</v>
      </c>
      <c r="AB43" s="528" t="s">
        <v>1360</v>
      </c>
      <c r="AC43" s="3" t="s">
        <v>1365</v>
      </c>
      <c r="AD43" s="59" t="s">
        <v>1364</v>
      </c>
      <c r="AE43" s="59" t="s">
        <v>1386</v>
      </c>
      <c r="AF43" s="59" t="s">
        <v>1367</v>
      </c>
      <c r="AH43" s="522" t="s">
        <v>1373</v>
      </c>
    </row>
    <row r="44" spans="1:34" ht="66" customHeight="1">
      <c r="A44" s="1" t="s">
        <v>149</v>
      </c>
      <c r="B44" s="536"/>
      <c r="C44" s="534" t="s">
        <v>134</v>
      </c>
      <c r="D44" s="1" t="s">
        <v>215</v>
      </c>
      <c r="E44" s="4" t="s">
        <v>454</v>
      </c>
      <c r="F44" s="1" t="s">
        <v>149</v>
      </c>
      <c r="G44" s="1" t="s">
        <v>213</v>
      </c>
      <c r="H44" s="4" t="s">
        <v>1341</v>
      </c>
      <c r="I44" s="1" t="s">
        <v>209</v>
      </c>
      <c r="J44" s="1" t="s">
        <v>166</v>
      </c>
      <c r="K44" s="1" t="s">
        <v>1128</v>
      </c>
      <c r="L44" s="1" t="s">
        <v>134</v>
      </c>
      <c r="M44" s="1" t="s">
        <v>154</v>
      </c>
      <c r="N44" s="1" t="s">
        <v>1133</v>
      </c>
      <c r="O44" s="1" t="s">
        <v>135</v>
      </c>
      <c r="P44" s="1" t="s">
        <v>1207</v>
      </c>
      <c r="Q44" s="1" t="s">
        <v>1208</v>
      </c>
      <c r="R44" s="1" t="s">
        <v>92</v>
      </c>
      <c r="S44" s="1" t="s">
        <v>157</v>
      </c>
      <c r="T44" s="4" t="s">
        <v>1070</v>
      </c>
      <c r="U44" s="1" t="s">
        <v>1155</v>
      </c>
      <c r="V44" s="52" t="s">
        <v>1235</v>
      </c>
      <c r="W44" s="52"/>
      <c r="X44" s="54" t="s">
        <v>1311</v>
      </c>
      <c r="Y44" s="4"/>
    </row>
    <row r="45" spans="1:34" s="47" customFormat="1" ht="105" customHeight="1">
      <c r="A45" s="1" t="s">
        <v>1492</v>
      </c>
      <c r="B45" s="536" t="s">
        <v>2111</v>
      </c>
      <c r="C45" s="534" t="s">
        <v>134</v>
      </c>
      <c r="D45" s="1" t="s">
        <v>214</v>
      </c>
      <c r="E45" s="4" t="s">
        <v>453</v>
      </c>
      <c r="F45" s="4" t="s">
        <v>147</v>
      </c>
      <c r="G45" s="4" t="s">
        <v>211</v>
      </c>
      <c r="H45" s="4" t="s">
        <v>1347</v>
      </c>
      <c r="I45" s="4" t="s">
        <v>208</v>
      </c>
      <c r="J45" s="1" t="s">
        <v>166</v>
      </c>
      <c r="K45" s="1" t="s">
        <v>1128</v>
      </c>
      <c r="L45" s="1" t="s">
        <v>134</v>
      </c>
      <c r="M45" s="1" t="s">
        <v>154</v>
      </c>
      <c r="N45" s="1" t="s">
        <v>1133</v>
      </c>
      <c r="O45" s="1" t="s">
        <v>135</v>
      </c>
      <c r="P45" s="1" t="s">
        <v>1209</v>
      </c>
      <c r="Q45" s="1" t="s">
        <v>1210</v>
      </c>
      <c r="R45" s="1" t="s">
        <v>14</v>
      </c>
      <c r="S45" s="1" t="s">
        <v>156</v>
      </c>
      <c r="T45" s="4" t="s">
        <v>1108</v>
      </c>
      <c r="U45" s="43"/>
      <c r="V45" s="52" t="s">
        <v>1245</v>
      </c>
      <c r="W45" s="4"/>
      <c r="X45" s="54" t="s">
        <v>1321</v>
      </c>
      <c r="Y45" s="4"/>
      <c r="Z45" s="3" t="s">
        <v>1495</v>
      </c>
      <c r="AA45" s="3"/>
      <c r="AB45" s="528" t="s">
        <v>1494</v>
      </c>
      <c r="AC45" s="3" t="s">
        <v>1496</v>
      </c>
      <c r="AD45" s="59" t="s">
        <v>1498</v>
      </c>
      <c r="AE45" s="59" t="s">
        <v>1497</v>
      </c>
      <c r="AF45"/>
      <c r="AG45"/>
      <c r="AH45"/>
    </row>
    <row r="46" spans="1:34" ht="86" customHeight="1">
      <c r="A46" s="1" t="s">
        <v>62</v>
      </c>
      <c r="B46" s="536"/>
      <c r="C46" s="536" t="s">
        <v>64</v>
      </c>
      <c r="D46" s="1" t="s">
        <v>194</v>
      </c>
      <c r="E46" s="1" t="s">
        <v>285</v>
      </c>
      <c r="F46" s="1" t="s">
        <v>63</v>
      </c>
      <c r="G46" s="1" t="s">
        <v>181</v>
      </c>
      <c r="H46" s="4" t="s">
        <v>14</v>
      </c>
      <c r="I46" s="1" t="s">
        <v>163</v>
      </c>
      <c r="J46" s="1" t="s">
        <v>173</v>
      </c>
      <c r="K46" s="1" t="s">
        <v>64</v>
      </c>
      <c r="L46" s="1" t="s">
        <v>11</v>
      </c>
      <c r="M46" s="1" t="s">
        <v>1166</v>
      </c>
      <c r="N46" s="1" t="s">
        <v>1204</v>
      </c>
      <c r="O46" s="1" t="s">
        <v>65</v>
      </c>
      <c r="P46" s="4" t="s">
        <v>1193</v>
      </c>
      <c r="Q46" s="4" t="s">
        <v>1119</v>
      </c>
      <c r="R46" s="4" t="s">
        <v>14</v>
      </c>
      <c r="S46" s="4" t="s">
        <v>1070</v>
      </c>
      <c r="T46" s="4" t="s">
        <v>1090</v>
      </c>
      <c r="U46" s="43" t="s">
        <v>420</v>
      </c>
      <c r="V46" s="52" t="s">
        <v>14</v>
      </c>
      <c r="W46" s="4" t="s">
        <v>14</v>
      </c>
      <c r="X46" s="54" t="s">
        <v>2050</v>
      </c>
      <c r="Y46" s="4"/>
    </row>
    <row r="47" spans="1:34" ht="66" customHeight="1">
      <c r="A47" s="1" t="s">
        <v>84</v>
      </c>
      <c r="B47" s="536"/>
      <c r="C47" s="536" t="s">
        <v>64</v>
      </c>
      <c r="D47" s="1" t="s">
        <v>297</v>
      </c>
      <c r="E47" s="1" t="s">
        <v>298</v>
      </c>
      <c r="F47" s="1" t="s">
        <v>85</v>
      </c>
      <c r="G47" s="1" t="s">
        <v>316</v>
      </c>
      <c r="H47" s="4" t="s">
        <v>14</v>
      </c>
      <c r="I47" s="4" t="s">
        <v>374</v>
      </c>
      <c r="J47" s="4" t="s">
        <v>173</v>
      </c>
      <c r="K47" s="1" t="s">
        <v>64</v>
      </c>
      <c r="L47" s="1" t="s">
        <v>11</v>
      </c>
      <c r="M47" s="1" t="s">
        <v>1166</v>
      </c>
      <c r="N47" s="1" t="s">
        <v>1204</v>
      </c>
      <c r="O47" s="1" t="s">
        <v>65</v>
      </c>
      <c r="P47" s="4" t="s">
        <v>1193</v>
      </c>
      <c r="Q47" s="4" t="s">
        <v>1119</v>
      </c>
      <c r="R47" s="4" t="s">
        <v>14</v>
      </c>
      <c r="S47" s="4" t="s">
        <v>1070</v>
      </c>
      <c r="T47" s="4" t="s">
        <v>1070</v>
      </c>
      <c r="U47" s="43" t="s">
        <v>423</v>
      </c>
      <c r="V47" s="52" t="s">
        <v>14</v>
      </c>
      <c r="W47" s="4" t="s">
        <v>14</v>
      </c>
      <c r="X47" s="54" t="s">
        <v>2050</v>
      </c>
      <c r="Y47" s="4"/>
    </row>
    <row r="48" spans="1:34" ht="66" customHeight="1">
      <c r="A48" s="1" t="s">
        <v>82</v>
      </c>
      <c r="B48" s="536"/>
      <c r="C48" s="536" t="s">
        <v>64</v>
      </c>
      <c r="D48" s="1" t="s">
        <v>347</v>
      </c>
      <c r="E48" s="1" t="s">
        <v>286</v>
      </c>
      <c r="F48" s="1" t="s">
        <v>83</v>
      </c>
      <c r="G48" s="5" t="s">
        <v>315</v>
      </c>
      <c r="H48" s="4" t="s">
        <v>14</v>
      </c>
      <c r="I48" s="4" t="s">
        <v>374</v>
      </c>
      <c r="J48" s="4" t="s">
        <v>173</v>
      </c>
      <c r="K48" s="1" t="s">
        <v>64</v>
      </c>
      <c r="L48" s="1" t="s">
        <v>11</v>
      </c>
      <c r="M48" s="1" t="s">
        <v>1166</v>
      </c>
      <c r="N48" s="1" t="s">
        <v>1204</v>
      </c>
      <c r="O48" s="1" t="s">
        <v>65</v>
      </c>
      <c r="P48" s="4" t="s">
        <v>1193</v>
      </c>
      <c r="Q48" s="4" t="s">
        <v>1119</v>
      </c>
      <c r="R48" s="4" t="s">
        <v>14</v>
      </c>
      <c r="S48" s="4" t="s">
        <v>1070</v>
      </c>
      <c r="T48" s="4" t="s">
        <v>1070</v>
      </c>
      <c r="U48" s="43" t="s">
        <v>422</v>
      </c>
      <c r="V48" s="52" t="s">
        <v>1236</v>
      </c>
      <c r="W48" s="4"/>
      <c r="X48" s="54" t="s">
        <v>2050</v>
      </c>
      <c r="Y48" s="4"/>
    </row>
    <row r="49" spans="1:34" ht="66" customHeight="1">
      <c r="A49" s="1" t="s">
        <v>324</v>
      </c>
      <c r="B49" s="536"/>
      <c r="C49" s="534" t="s">
        <v>329</v>
      </c>
      <c r="D49" s="1" t="s">
        <v>325</v>
      </c>
      <c r="E49" s="1" t="s">
        <v>327</v>
      </c>
      <c r="F49" s="1" t="s">
        <v>324</v>
      </c>
      <c r="G49" s="1" t="s">
        <v>326</v>
      </c>
      <c r="H49" s="4" t="s">
        <v>14</v>
      </c>
      <c r="I49" s="1" t="s">
        <v>205</v>
      </c>
      <c r="J49" s="1" t="s">
        <v>328</v>
      </c>
      <c r="K49" s="1" t="s">
        <v>329</v>
      </c>
      <c r="L49" s="1" t="s">
        <v>11</v>
      </c>
      <c r="M49" s="4" t="s">
        <v>18</v>
      </c>
      <c r="N49" s="1" t="s">
        <v>1204</v>
      </c>
      <c r="O49" s="4" t="s">
        <v>1437</v>
      </c>
      <c r="P49" s="4" t="s">
        <v>1202</v>
      </c>
      <c r="Q49" s="1" t="s">
        <v>1160</v>
      </c>
      <c r="R49" s="4" t="s">
        <v>14</v>
      </c>
      <c r="S49" s="4" t="s">
        <v>14</v>
      </c>
      <c r="T49" s="4" t="s">
        <v>14</v>
      </c>
      <c r="U49" s="43" t="s">
        <v>447</v>
      </c>
      <c r="V49" s="52" t="s">
        <v>14</v>
      </c>
      <c r="W49" s="4" t="s">
        <v>14</v>
      </c>
      <c r="X49" s="54" t="s">
        <v>1313</v>
      </c>
      <c r="Y49" s="4"/>
    </row>
    <row r="50" spans="1:34" s="47" customFormat="1" ht="66" customHeight="1">
      <c r="A50" s="1" t="s">
        <v>90</v>
      </c>
      <c r="B50" s="536" t="s">
        <v>2077</v>
      </c>
      <c r="C50" s="534" t="s">
        <v>64</v>
      </c>
      <c r="D50" s="1" t="s">
        <v>196</v>
      </c>
      <c r="E50" s="1" t="s">
        <v>185</v>
      </c>
      <c r="F50" s="1" t="s">
        <v>91</v>
      </c>
      <c r="G50" s="4" t="s">
        <v>279</v>
      </c>
      <c r="H50" s="4" t="s">
        <v>14</v>
      </c>
      <c r="I50" s="4" t="s">
        <v>167</v>
      </c>
      <c r="J50" s="1" t="s">
        <v>79</v>
      </c>
      <c r="K50" s="1" t="s">
        <v>64</v>
      </c>
      <c r="L50" s="1" t="s">
        <v>11</v>
      </c>
      <c r="M50" s="1" t="s">
        <v>1166</v>
      </c>
      <c r="N50" s="1" t="s">
        <v>1204</v>
      </c>
      <c r="O50" s="42"/>
      <c r="P50" s="42" t="s">
        <v>1195</v>
      </c>
      <c r="Q50" s="42" t="s">
        <v>1139</v>
      </c>
      <c r="R50" s="4" t="s">
        <v>14</v>
      </c>
      <c r="S50" s="4" t="s">
        <v>1070</v>
      </c>
      <c r="T50" s="4" t="s">
        <v>1070</v>
      </c>
      <c r="U50" s="43" t="s">
        <v>401</v>
      </c>
      <c r="V50" s="52" t="s">
        <v>14</v>
      </c>
      <c r="W50" s="4" t="s">
        <v>14</v>
      </c>
      <c r="X50" s="54" t="s">
        <v>2050</v>
      </c>
      <c r="Y50" s="4" t="s">
        <v>1534</v>
      </c>
      <c r="Z50" s="3" t="s">
        <v>1383</v>
      </c>
      <c r="AA50" s="3"/>
      <c r="AB50" s="528"/>
      <c r="AC50" s="3"/>
      <c r="AD50"/>
      <c r="AE50"/>
      <c r="AF50"/>
      <c r="AG50"/>
      <c r="AH50"/>
    </row>
    <row r="51" spans="1:34" s="47" customFormat="1" ht="66" customHeight="1">
      <c r="A51" s="1" t="s">
        <v>103</v>
      </c>
      <c r="B51" s="536"/>
      <c r="C51" s="536" t="s">
        <v>2087</v>
      </c>
      <c r="D51" s="1" t="s">
        <v>349</v>
      </c>
      <c r="E51" s="1" t="s">
        <v>350</v>
      </c>
      <c r="F51" s="1" t="s">
        <v>104</v>
      </c>
      <c r="G51" s="5" t="s">
        <v>304</v>
      </c>
      <c r="H51" s="4" t="s">
        <v>14</v>
      </c>
      <c r="I51" s="1" t="s">
        <v>186</v>
      </c>
      <c r="J51" s="1" t="s">
        <v>78</v>
      </c>
      <c r="K51" s="1" t="s">
        <v>64</v>
      </c>
      <c r="L51" s="1" t="s">
        <v>11</v>
      </c>
      <c r="M51" s="1" t="s">
        <v>1166</v>
      </c>
      <c r="N51" s="1" t="s">
        <v>1204</v>
      </c>
      <c r="O51" s="4" t="s">
        <v>105</v>
      </c>
      <c r="P51" s="4" t="s">
        <v>1199</v>
      </c>
      <c r="Q51" s="4" t="s">
        <v>337</v>
      </c>
      <c r="R51" s="4" t="s">
        <v>14</v>
      </c>
      <c r="S51" s="4" t="s">
        <v>1070</v>
      </c>
      <c r="T51" s="4" t="s">
        <v>1070</v>
      </c>
      <c r="U51" s="43" t="s">
        <v>408</v>
      </c>
      <c r="V51" s="52" t="s">
        <v>14</v>
      </c>
      <c r="W51" s="4" t="s">
        <v>14</v>
      </c>
      <c r="X51" s="54" t="s">
        <v>2043</v>
      </c>
      <c r="Y51" s="4"/>
      <c r="Z51" s="3" t="s">
        <v>1368</v>
      </c>
      <c r="AA51" s="3"/>
      <c r="AB51" s="528"/>
      <c r="AC51" s="3"/>
      <c r="AD51"/>
      <c r="AE51"/>
      <c r="AF51"/>
      <c r="AG51"/>
      <c r="AH51"/>
    </row>
    <row r="52" spans="1:34" s="47" customFormat="1" ht="151.5" customHeight="1">
      <c r="A52" s="1" t="s">
        <v>67</v>
      </c>
      <c r="B52" s="536"/>
      <c r="C52" s="536" t="s">
        <v>2087</v>
      </c>
      <c r="D52" s="1" t="s">
        <v>195</v>
      </c>
      <c r="E52" s="1" t="s">
        <v>352</v>
      </c>
      <c r="F52" s="1" t="s">
        <v>68</v>
      </c>
      <c r="G52" s="1" t="s">
        <v>182</v>
      </c>
      <c r="H52" s="4" t="s">
        <v>14</v>
      </c>
      <c r="I52" s="1" t="s">
        <v>163</v>
      </c>
      <c r="J52" s="1" t="s">
        <v>78</v>
      </c>
      <c r="K52" s="1" t="s">
        <v>64</v>
      </c>
      <c r="L52" s="1" t="s">
        <v>11</v>
      </c>
      <c r="M52" s="1" t="s">
        <v>1166</v>
      </c>
      <c r="N52" s="1" t="s">
        <v>1205</v>
      </c>
      <c r="O52" s="1" t="s">
        <v>69</v>
      </c>
      <c r="P52" s="4" t="s">
        <v>1191</v>
      </c>
      <c r="Q52" s="4" t="s">
        <v>346</v>
      </c>
      <c r="R52" s="4" t="s">
        <v>14</v>
      </c>
      <c r="S52" s="4" t="s">
        <v>1070</v>
      </c>
      <c r="T52" s="4" t="s">
        <v>1090</v>
      </c>
      <c r="U52" s="43" t="s">
        <v>413</v>
      </c>
      <c r="V52" s="52" t="s">
        <v>14</v>
      </c>
      <c r="W52" s="4" t="s">
        <v>14</v>
      </c>
      <c r="X52" s="54" t="s">
        <v>2044</v>
      </c>
      <c r="Y52" s="4" t="s">
        <v>2045</v>
      </c>
      <c r="Z52" s="3"/>
      <c r="AA52" s="3"/>
      <c r="AB52" s="528"/>
      <c r="AC52" s="3"/>
      <c r="AD52"/>
      <c r="AE52"/>
      <c r="AF52"/>
      <c r="AG52"/>
      <c r="AH52"/>
    </row>
    <row r="53" spans="1:34" s="47" customFormat="1" ht="66" customHeight="1">
      <c r="A53" s="1" t="s">
        <v>74</v>
      </c>
      <c r="B53" s="536"/>
      <c r="C53" s="534" t="s">
        <v>2089</v>
      </c>
      <c r="D53" s="1" t="s">
        <v>319</v>
      </c>
      <c r="E53" s="1" t="s">
        <v>286</v>
      </c>
      <c r="F53" s="1" t="s">
        <v>75</v>
      </c>
      <c r="G53" s="5" t="s">
        <v>318</v>
      </c>
      <c r="H53" s="4" t="s">
        <v>14</v>
      </c>
      <c r="I53" s="1" t="s">
        <v>186</v>
      </c>
      <c r="J53" s="1" t="s">
        <v>1118</v>
      </c>
      <c r="K53" s="1" t="s">
        <v>64</v>
      </c>
      <c r="L53" s="1" t="s">
        <v>11</v>
      </c>
      <c r="M53" s="1" t="s">
        <v>1166</v>
      </c>
      <c r="N53" s="1" t="s">
        <v>1205</v>
      </c>
      <c r="O53" s="4" t="s">
        <v>100</v>
      </c>
      <c r="P53" s="4" t="s">
        <v>1192</v>
      </c>
      <c r="Q53" s="4" t="s">
        <v>346</v>
      </c>
      <c r="R53" s="4" t="s">
        <v>14</v>
      </c>
      <c r="S53" s="4" t="s">
        <v>1070</v>
      </c>
      <c r="T53" s="4" t="s">
        <v>1070</v>
      </c>
      <c r="U53" s="45" t="s">
        <v>409</v>
      </c>
      <c r="V53" s="52" t="s">
        <v>14</v>
      </c>
      <c r="W53" s="4" t="s">
        <v>14</v>
      </c>
      <c r="X53" s="54" t="s">
        <v>2053</v>
      </c>
      <c r="Y53" s="4"/>
      <c r="Z53" s="3" t="s">
        <v>1500</v>
      </c>
      <c r="AA53" s="3"/>
      <c r="AB53" s="528"/>
      <c r="AC53" s="3"/>
      <c r="AD53" s="59" t="s">
        <v>1499</v>
      </c>
      <c r="AE53" s="59" t="s">
        <v>1441</v>
      </c>
      <c r="AF53"/>
      <c r="AG53"/>
      <c r="AH53"/>
    </row>
    <row r="54" spans="1:34" s="47" customFormat="1" ht="66" customHeight="1">
      <c r="A54" s="1" t="s">
        <v>72</v>
      </c>
      <c r="B54" s="536"/>
      <c r="C54" s="534" t="s">
        <v>2089</v>
      </c>
      <c r="D54" s="4" t="s">
        <v>349</v>
      </c>
      <c r="E54" s="1" t="s">
        <v>294</v>
      </c>
      <c r="F54" s="1" t="s">
        <v>73</v>
      </c>
      <c r="G54" s="5" t="s">
        <v>293</v>
      </c>
      <c r="H54" s="4" t="s">
        <v>14</v>
      </c>
      <c r="I54" s="1" t="s">
        <v>186</v>
      </c>
      <c r="J54" s="1" t="s">
        <v>78</v>
      </c>
      <c r="K54" s="1" t="s">
        <v>64</v>
      </c>
      <c r="L54" s="1" t="s">
        <v>11</v>
      </c>
      <c r="M54" s="1" t="s">
        <v>1166</v>
      </c>
      <c r="N54" s="1" t="s">
        <v>1205</v>
      </c>
      <c r="O54" s="1" t="s">
        <v>69</v>
      </c>
      <c r="P54" s="4" t="s">
        <v>1191</v>
      </c>
      <c r="Q54" s="1" t="s">
        <v>346</v>
      </c>
      <c r="R54" s="4" t="s">
        <v>14</v>
      </c>
      <c r="S54" s="4" t="s">
        <v>1070</v>
      </c>
      <c r="T54" s="4" t="s">
        <v>1070</v>
      </c>
      <c r="U54" s="43" t="s">
        <v>412</v>
      </c>
      <c r="V54" s="52" t="s">
        <v>14</v>
      </c>
      <c r="W54" s="4" t="s">
        <v>14</v>
      </c>
      <c r="X54" s="54" t="s">
        <v>2053</v>
      </c>
      <c r="Y54" s="4" t="s">
        <v>1501</v>
      </c>
      <c r="Z54" s="3" t="s">
        <v>1502</v>
      </c>
      <c r="AA54" s="3"/>
      <c r="AB54" s="528"/>
      <c r="AC54" s="3" t="s">
        <v>1503</v>
      </c>
      <c r="AD54" s="59" t="s">
        <v>1487</v>
      </c>
      <c r="AE54"/>
      <c r="AF54"/>
      <c r="AG54"/>
      <c r="AH54"/>
    </row>
    <row r="55" spans="1:34" ht="66" customHeight="1">
      <c r="A55" s="1" t="s">
        <v>76</v>
      </c>
      <c r="B55" s="536"/>
      <c r="C55" s="534" t="s">
        <v>2087</v>
      </c>
      <c r="D55" s="4" t="s">
        <v>349</v>
      </c>
      <c r="E55" s="4" t="s">
        <v>457</v>
      </c>
      <c r="F55" s="1" t="s">
        <v>77</v>
      </c>
      <c r="G55" s="5" t="s">
        <v>295</v>
      </c>
      <c r="H55" s="4" t="s">
        <v>14</v>
      </c>
      <c r="I55" s="1" t="s">
        <v>186</v>
      </c>
      <c r="J55" s="1" t="s">
        <v>78</v>
      </c>
      <c r="K55" s="1" t="s">
        <v>64</v>
      </c>
      <c r="L55" s="1" t="s">
        <v>11</v>
      </c>
      <c r="M55" s="1" t="s">
        <v>1166</v>
      </c>
      <c r="N55" s="1" t="s">
        <v>1205</v>
      </c>
      <c r="O55" s="1" t="s">
        <v>69</v>
      </c>
      <c r="P55" s="4" t="s">
        <v>1191</v>
      </c>
      <c r="Q55" s="4" t="s">
        <v>346</v>
      </c>
      <c r="R55" s="4" t="s">
        <v>14</v>
      </c>
      <c r="S55" s="4" t="s">
        <v>1070</v>
      </c>
      <c r="T55" s="4" t="s">
        <v>1070</v>
      </c>
      <c r="U55" s="44" t="s">
        <v>413</v>
      </c>
      <c r="V55" s="52" t="s">
        <v>14</v>
      </c>
      <c r="W55" s="52" t="s">
        <v>14</v>
      </c>
      <c r="X55" s="54" t="s">
        <v>2054</v>
      </c>
      <c r="Y55" s="4" t="s">
        <v>1505</v>
      </c>
      <c r="Z55" s="3" t="s">
        <v>1368</v>
      </c>
      <c r="AA55" s="3" t="s">
        <v>1504</v>
      </c>
      <c r="AC55" s="3" t="s">
        <v>1506</v>
      </c>
      <c r="AD55" s="59" t="s">
        <v>1468</v>
      </c>
    </row>
    <row r="56" spans="1:34" ht="66" customHeight="1">
      <c r="A56" s="1" t="s">
        <v>444</v>
      </c>
      <c r="B56" s="536" t="s">
        <v>2112</v>
      </c>
      <c r="C56" s="534" t="s">
        <v>2089</v>
      </c>
      <c r="D56" s="1" t="s">
        <v>196</v>
      </c>
      <c r="E56" s="1" t="s">
        <v>286</v>
      </c>
      <c r="F56" s="1" t="s">
        <v>443</v>
      </c>
      <c r="G56" s="1" t="s">
        <v>445</v>
      </c>
      <c r="H56" s="4" t="s">
        <v>14</v>
      </c>
      <c r="I56" s="1" t="s">
        <v>186</v>
      </c>
      <c r="J56" s="1" t="s">
        <v>78</v>
      </c>
      <c r="K56" s="1" t="s">
        <v>66</v>
      </c>
      <c r="L56" s="1" t="s">
        <v>11</v>
      </c>
      <c r="M56" s="1" t="s">
        <v>1166</v>
      </c>
      <c r="N56" s="1" t="s">
        <v>1204</v>
      </c>
      <c r="O56" s="1" t="s">
        <v>69</v>
      </c>
      <c r="P56" s="1" t="s">
        <v>1203</v>
      </c>
      <c r="Q56" s="1" t="s">
        <v>1154</v>
      </c>
      <c r="R56" s="4" t="s">
        <v>14</v>
      </c>
      <c r="S56" s="1" t="s">
        <v>14</v>
      </c>
      <c r="T56" s="1" t="s">
        <v>14</v>
      </c>
      <c r="U56" s="39" t="s">
        <v>446</v>
      </c>
      <c r="V56" s="52" t="s">
        <v>14</v>
      </c>
      <c r="W56" s="4" t="s">
        <v>14</v>
      </c>
      <c r="X56" s="54" t="s">
        <v>2055</v>
      </c>
      <c r="Y56" s="4"/>
      <c r="Z56" s="3" t="s">
        <v>1383</v>
      </c>
      <c r="AB56" s="528" t="s">
        <v>1507</v>
      </c>
      <c r="AC56" s="3" t="s">
        <v>1508</v>
      </c>
      <c r="AD56" s="59" t="s">
        <v>1509</v>
      </c>
      <c r="AE56" s="59" t="s">
        <v>1510</v>
      </c>
    </row>
    <row r="57" spans="1:34" ht="66" customHeight="1">
      <c r="A57" s="1" t="s">
        <v>70</v>
      </c>
      <c r="B57" s="536" t="s">
        <v>2083</v>
      </c>
      <c r="C57" s="534" t="s">
        <v>2089</v>
      </c>
      <c r="D57" s="1" t="s">
        <v>161</v>
      </c>
      <c r="E57" s="1" t="s">
        <v>286</v>
      </c>
      <c r="F57" s="1" t="s">
        <v>71</v>
      </c>
      <c r="G57" s="1" t="s">
        <v>187</v>
      </c>
      <c r="H57" s="4" t="s">
        <v>14</v>
      </c>
      <c r="I57" s="1" t="s">
        <v>186</v>
      </c>
      <c r="J57" s="1" t="s">
        <v>78</v>
      </c>
      <c r="K57" s="1" t="s">
        <v>64</v>
      </c>
      <c r="L57" s="1" t="s">
        <v>11</v>
      </c>
      <c r="M57" s="1" t="s">
        <v>1166</v>
      </c>
      <c r="N57" s="1" t="s">
        <v>1205</v>
      </c>
      <c r="O57" s="1" t="s">
        <v>69</v>
      </c>
      <c r="P57" s="4" t="s">
        <v>1191</v>
      </c>
      <c r="Q57" s="1" t="s">
        <v>346</v>
      </c>
      <c r="R57" s="1" t="s">
        <v>14</v>
      </c>
      <c r="S57" s="4" t="s">
        <v>1070</v>
      </c>
      <c r="T57" s="4" t="s">
        <v>1090</v>
      </c>
      <c r="U57" s="43" t="s">
        <v>411</v>
      </c>
      <c r="V57" s="52" t="s">
        <v>14</v>
      </c>
      <c r="W57" s="4" t="s">
        <v>14</v>
      </c>
      <c r="X57" s="54" t="s">
        <v>2056</v>
      </c>
      <c r="Y57" s="4"/>
      <c r="Z57" s="3" t="s">
        <v>1368</v>
      </c>
      <c r="AB57" s="528" t="s">
        <v>1516</v>
      </c>
      <c r="AC57" s="3" t="s">
        <v>1517</v>
      </c>
      <c r="AD57" s="59" t="s">
        <v>1518</v>
      </c>
      <c r="AE57" s="59" t="s">
        <v>1441</v>
      </c>
    </row>
    <row r="58" spans="1:34" ht="66" customHeight="1">
      <c r="A58" s="512" t="s">
        <v>99</v>
      </c>
      <c r="B58" s="536" t="s">
        <v>78</v>
      </c>
      <c r="C58" s="534" t="s">
        <v>2089</v>
      </c>
      <c r="D58" s="1" t="s">
        <v>217</v>
      </c>
      <c r="E58" s="1" t="s">
        <v>276</v>
      </c>
      <c r="F58" s="1" t="s">
        <v>100</v>
      </c>
      <c r="G58" s="511" t="s">
        <v>375</v>
      </c>
      <c r="H58" s="511" t="s">
        <v>14</v>
      </c>
      <c r="I58" s="4" t="s">
        <v>163</v>
      </c>
      <c r="J58" s="1" t="s">
        <v>78</v>
      </c>
      <c r="K58" s="1" t="s">
        <v>64</v>
      </c>
      <c r="L58" s="1" t="s">
        <v>11</v>
      </c>
      <c r="M58" s="512" t="s">
        <v>1166</v>
      </c>
      <c r="N58" s="4" t="s">
        <v>102</v>
      </c>
      <c r="O58" s="42" t="s">
        <v>100</v>
      </c>
      <c r="P58" s="42" t="s">
        <v>1192</v>
      </c>
      <c r="Q58" s="42" t="s">
        <v>1136</v>
      </c>
      <c r="R58" s="511" t="s">
        <v>14</v>
      </c>
      <c r="S58" s="1" t="s">
        <v>101</v>
      </c>
      <c r="T58" s="1" t="s">
        <v>1070</v>
      </c>
      <c r="U58" s="43" t="s">
        <v>410</v>
      </c>
      <c r="V58" s="514" t="s">
        <v>14</v>
      </c>
      <c r="W58" s="511" t="s">
        <v>14</v>
      </c>
      <c r="X58" s="54" t="s">
        <v>2057</v>
      </c>
      <c r="Y58" s="511" t="s">
        <v>1520</v>
      </c>
      <c r="Z58" s="3" t="s">
        <v>1368</v>
      </c>
      <c r="AC58" s="3" t="s">
        <v>1519</v>
      </c>
      <c r="AE58" s="59" t="s">
        <v>1441</v>
      </c>
    </row>
    <row r="59" spans="1:34" ht="66" customHeight="1">
      <c r="A59" s="1" t="s">
        <v>1525</v>
      </c>
      <c r="B59" s="536" t="s">
        <v>2082</v>
      </c>
      <c r="C59" s="534" t="s">
        <v>2089</v>
      </c>
      <c r="D59" s="1" t="s">
        <v>287</v>
      </c>
      <c r="E59" s="1" t="s">
        <v>170</v>
      </c>
      <c r="F59" s="1" t="s">
        <v>331</v>
      </c>
      <c r="G59" s="1" t="s">
        <v>333</v>
      </c>
      <c r="H59" s="4" t="s">
        <v>14</v>
      </c>
      <c r="I59" s="1" t="s">
        <v>332</v>
      </c>
      <c r="J59" s="1" t="s">
        <v>78</v>
      </c>
      <c r="K59" s="1" t="s">
        <v>64</v>
      </c>
      <c r="L59" s="1" t="s">
        <v>11</v>
      </c>
      <c r="M59" s="1" t="s">
        <v>18</v>
      </c>
      <c r="N59" s="1" t="s">
        <v>1205</v>
      </c>
      <c r="O59" s="4"/>
      <c r="P59" s="4" t="s">
        <v>1150</v>
      </c>
      <c r="Q59" s="1" t="s">
        <v>14</v>
      </c>
      <c r="R59" s="1" t="s">
        <v>14</v>
      </c>
      <c r="S59" s="4" t="s">
        <v>1070</v>
      </c>
      <c r="T59" s="4" t="s">
        <v>1070</v>
      </c>
      <c r="U59" s="43" t="s">
        <v>407</v>
      </c>
      <c r="V59" s="52" t="s">
        <v>14</v>
      </c>
      <c r="W59" s="4" t="s">
        <v>14</v>
      </c>
      <c r="X59" s="54" t="s">
        <v>2050</v>
      </c>
      <c r="Y59" s="4" t="s">
        <v>1521</v>
      </c>
      <c r="Z59" s="3" t="s">
        <v>1495</v>
      </c>
      <c r="AA59" s="3" t="s">
        <v>1523</v>
      </c>
      <c r="AB59" s="528" t="s">
        <v>1522</v>
      </c>
      <c r="AC59" s="3" t="s">
        <v>1524</v>
      </c>
      <c r="AD59" s="59" t="s">
        <v>1487</v>
      </c>
    </row>
    <row r="60" spans="1:34" ht="66" customHeight="1">
      <c r="A60" s="1" t="s">
        <v>2002</v>
      </c>
      <c r="B60" s="536" t="s">
        <v>2065</v>
      </c>
      <c r="C60" s="534"/>
      <c r="D60" s="1" t="s">
        <v>272</v>
      </c>
      <c r="E60" s="1" t="s">
        <v>299</v>
      </c>
      <c r="F60" s="1" t="s">
        <v>136</v>
      </c>
      <c r="G60" s="4" t="s">
        <v>367</v>
      </c>
      <c r="H60" s="4" t="s">
        <v>1345</v>
      </c>
      <c r="I60" s="4" t="s">
        <v>163</v>
      </c>
      <c r="J60" s="1" t="s">
        <v>173</v>
      </c>
      <c r="K60" s="1" t="s">
        <v>1128</v>
      </c>
      <c r="L60" s="1" t="s">
        <v>11</v>
      </c>
      <c r="M60" s="1" t="s">
        <v>1166</v>
      </c>
      <c r="N60" s="1" t="s">
        <v>1133</v>
      </c>
      <c r="O60" s="1" t="s">
        <v>135</v>
      </c>
      <c r="P60" s="4" t="s">
        <v>1189</v>
      </c>
      <c r="Q60" s="4" t="s">
        <v>1159</v>
      </c>
      <c r="R60" s="4" t="s">
        <v>14</v>
      </c>
      <c r="S60" s="4" t="s">
        <v>1069</v>
      </c>
      <c r="T60" s="4" t="s">
        <v>1070</v>
      </c>
      <c r="U60" s="43" t="s">
        <v>392</v>
      </c>
      <c r="V60" s="52" t="s">
        <v>2001</v>
      </c>
      <c r="W60" s="52" t="s">
        <v>1257</v>
      </c>
      <c r="X60" s="4" t="s">
        <v>1300</v>
      </c>
      <c r="Y60" s="4" t="s">
        <v>1329</v>
      </c>
      <c r="Z60" s="3" t="s">
        <v>1383</v>
      </c>
      <c r="AB60" s="528" t="s">
        <v>1400</v>
      </c>
      <c r="AC60" s="3" t="s">
        <v>1401</v>
      </c>
      <c r="AE60" s="59" t="s">
        <v>1399</v>
      </c>
    </row>
    <row r="61" spans="1:34" ht="66" customHeight="1">
      <c r="A61" s="1" t="s">
        <v>1333</v>
      </c>
      <c r="B61" s="536"/>
      <c r="C61" s="534"/>
      <c r="D61" s="1" t="s">
        <v>174</v>
      </c>
      <c r="E61" s="1" t="s">
        <v>14</v>
      </c>
      <c r="F61" s="1" t="s">
        <v>1336</v>
      </c>
      <c r="G61" s="1" t="s">
        <v>1338</v>
      </c>
      <c r="H61" s="4" t="s">
        <v>14</v>
      </c>
      <c r="I61" s="1" t="s">
        <v>172</v>
      </c>
      <c r="J61" s="1" t="s">
        <v>176</v>
      </c>
      <c r="K61" s="1" t="s">
        <v>1128</v>
      </c>
      <c r="L61" s="1" t="s">
        <v>345</v>
      </c>
      <c r="M61" s="1" t="s">
        <v>1166</v>
      </c>
      <c r="N61" s="1" t="s">
        <v>1133</v>
      </c>
      <c r="O61" s="1" t="s">
        <v>135</v>
      </c>
      <c r="P61" s="1" t="s">
        <v>155</v>
      </c>
      <c r="Q61" s="1" t="s">
        <v>1160</v>
      </c>
      <c r="R61" s="4" t="s">
        <v>14</v>
      </c>
      <c r="S61" s="1" t="s">
        <v>58</v>
      </c>
      <c r="T61" s="1" t="s">
        <v>14</v>
      </c>
      <c r="U61" s="43" t="s">
        <v>391</v>
      </c>
      <c r="V61" s="52" t="s">
        <v>1352</v>
      </c>
      <c r="W61" s="52"/>
      <c r="X61" s="54" t="s">
        <v>2042</v>
      </c>
      <c r="Y61" s="4"/>
      <c r="Z61" s="3" t="s">
        <v>1419</v>
      </c>
      <c r="AB61" s="530" t="s">
        <v>1414</v>
      </c>
      <c r="AD61" t="s">
        <v>1420</v>
      </c>
    </row>
    <row r="62" spans="1:34" ht="66" customHeight="1">
      <c r="A62" s="516" t="s">
        <v>129</v>
      </c>
      <c r="B62" s="540" t="s">
        <v>2098</v>
      </c>
      <c r="C62" s="537"/>
      <c r="D62" s="516" t="s">
        <v>194</v>
      </c>
      <c r="E62" s="516"/>
      <c r="F62" s="516" t="s">
        <v>130</v>
      </c>
      <c r="G62" s="516" t="s">
        <v>377</v>
      </c>
      <c r="H62" s="516" t="s">
        <v>14</v>
      </c>
      <c r="I62" s="516" t="s">
        <v>167</v>
      </c>
      <c r="J62" s="516" t="s">
        <v>173</v>
      </c>
      <c r="K62" s="516" t="s">
        <v>1129</v>
      </c>
      <c r="L62" s="516" t="s">
        <v>11</v>
      </c>
      <c r="M62" s="516" t="s">
        <v>1166</v>
      </c>
      <c r="N62" s="516" t="s">
        <v>1137</v>
      </c>
      <c r="O62" s="516" t="s">
        <v>135</v>
      </c>
      <c r="P62" s="516" t="s">
        <v>1280</v>
      </c>
      <c r="Q62" s="516" t="s">
        <v>131</v>
      </c>
      <c r="R62" s="516" t="s">
        <v>14</v>
      </c>
      <c r="S62" s="516" t="s">
        <v>132</v>
      </c>
      <c r="T62" s="516" t="s">
        <v>133</v>
      </c>
      <c r="U62" s="516" t="s">
        <v>14</v>
      </c>
      <c r="V62" s="517" t="s">
        <v>1228</v>
      </c>
      <c r="W62" s="517" t="s">
        <v>1263</v>
      </c>
      <c r="X62" s="518" t="s">
        <v>1309</v>
      </c>
      <c r="Y62" s="516"/>
      <c r="Z62" s="519" t="s">
        <v>1428</v>
      </c>
      <c r="AA62" s="519"/>
      <c r="AB62" s="531"/>
      <c r="AC62" s="519"/>
      <c r="AD62" s="520" t="s">
        <v>1429</v>
      </c>
      <c r="AE62" s="520"/>
      <c r="AF62" s="520"/>
      <c r="AG62" s="520"/>
      <c r="AH62" s="520"/>
    </row>
    <row r="63" spans="1:34" ht="66" customHeight="1">
      <c r="A63" s="4" t="s">
        <v>88</v>
      </c>
      <c r="B63" s="536" t="s">
        <v>2099</v>
      </c>
      <c r="C63" s="534"/>
      <c r="D63" s="4" t="s">
        <v>201</v>
      </c>
      <c r="E63" s="4" t="s">
        <v>299</v>
      </c>
      <c r="F63" s="4" t="s">
        <v>89</v>
      </c>
      <c r="G63" s="4" t="s">
        <v>348</v>
      </c>
      <c r="H63" s="4" t="s">
        <v>1339</v>
      </c>
      <c r="I63" s="4" t="s">
        <v>167</v>
      </c>
      <c r="J63" s="4" t="s">
        <v>199</v>
      </c>
      <c r="K63" s="4" t="s">
        <v>452</v>
      </c>
      <c r="L63" s="4" t="s">
        <v>11</v>
      </c>
      <c r="M63" s="4" t="s">
        <v>1166</v>
      </c>
      <c r="N63" s="4" t="s">
        <v>1204</v>
      </c>
      <c r="O63" s="4" t="s">
        <v>1138</v>
      </c>
      <c r="P63" s="4" t="s">
        <v>1194</v>
      </c>
      <c r="Q63" s="4" t="s">
        <v>1138</v>
      </c>
      <c r="R63" s="4" t="s">
        <v>14</v>
      </c>
      <c r="S63" s="4" t="s">
        <v>1070</v>
      </c>
      <c r="T63" s="4" t="s">
        <v>1070</v>
      </c>
      <c r="U63" s="46" t="s">
        <v>400</v>
      </c>
      <c r="V63" s="52" t="s">
        <v>14</v>
      </c>
      <c r="W63" s="52" t="s">
        <v>14</v>
      </c>
      <c r="X63" s="54" t="s">
        <v>1310</v>
      </c>
      <c r="Y63" s="4"/>
      <c r="Z63" s="58"/>
      <c r="AA63" s="58"/>
      <c r="AB63" s="529"/>
      <c r="AC63" s="58"/>
      <c r="AD63" s="47"/>
      <c r="AE63" s="47"/>
      <c r="AF63" s="47"/>
      <c r="AG63" s="47"/>
      <c r="AH63" s="47"/>
    </row>
    <row r="64" spans="1:34" ht="66" customHeight="1">
      <c r="A64" s="4" t="s">
        <v>320</v>
      </c>
      <c r="B64" s="536"/>
      <c r="C64" s="534"/>
      <c r="D64" s="4" t="s">
        <v>325</v>
      </c>
      <c r="E64" s="4" t="s">
        <v>323</v>
      </c>
      <c r="F64" s="4" t="s">
        <v>321</v>
      </c>
      <c r="G64" s="4" t="s">
        <v>322</v>
      </c>
      <c r="H64" s="4" t="s">
        <v>14</v>
      </c>
      <c r="I64" s="4" t="s">
        <v>167</v>
      </c>
      <c r="J64" s="4" t="s">
        <v>173</v>
      </c>
      <c r="K64" s="4" t="s">
        <v>56</v>
      </c>
      <c r="L64" s="4" t="s">
        <v>11</v>
      </c>
      <c r="M64" s="4" t="s">
        <v>18</v>
      </c>
      <c r="N64" s="4" t="s">
        <v>1132</v>
      </c>
      <c r="O64" s="4" t="s">
        <v>1083</v>
      </c>
      <c r="P64" s="4" t="s">
        <v>1083</v>
      </c>
      <c r="Q64" s="4" t="s">
        <v>14</v>
      </c>
      <c r="R64" s="4" t="s">
        <v>14</v>
      </c>
      <c r="S64" s="4" t="s">
        <v>1070</v>
      </c>
      <c r="T64" s="4" t="s">
        <v>1082</v>
      </c>
      <c r="U64" s="46" t="s">
        <v>405</v>
      </c>
      <c r="V64" s="52" t="s">
        <v>14</v>
      </c>
      <c r="W64" s="52" t="s">
        <v>14</v>
      </c>
      <c r="X64" s="54" t="s">
        <v>2049</v>
      </c>
      <c r="Y64" s="4"/>
      <c r="Z64" s="58"/>
      <c r="AA64" s="58"/>
      <c r="AB64" s="529"/>
      <c r="AC64" s="58"/>
      <c r="AD64" s="47"/>
      <c r="AE64" s="47"/>
      <c r="AF64" s="47"/>
      <c r="AG64" s="47"/>
      <c r="AH64" s="47"/>
    </row>
    <row r="65" spans="1:34" ht="66" customHeight="1">
      <c r="A65" s="1" t="s">
        <v>93</v>
      </c>
      <c r="B65" s="536" t="s">
        <v>2103</v>
      </c>
      <c r="C65" s="534"/>
      <c r="D65" s="1" t="s">
        <v>289</v>
      </c>
      <c r="E65" s="1" t="s">
        <v>185</v>
      </c>
      <c r="F65" s="1" t="s">
        <v>94</v>
      </c>
      <c r="G65" s="4" t="s">
        <v>290</v>
      </c>
      <c r="H65" s="4" t="s">
        <v>14</v>
      </c>
      <c r="I65" s="4" t="s">
        <v>167</v>
      </c>
      <c r="J65" s="1" t="s">
        <v>291</v>
      </c>
      <c r="K65" s="1" t="s">
        <v>452</v>
      </c>
      <c r="L65" s="1" t="s">
        <v>11</v>
      </c>
      <c r="M65" s="1" t="s">
        <v>1166</v>
      </c>
      <c r="N65" s="1" t="s">
        <v>1204</v>
      </c>
      <c r="O65" s="42" t="s">
        <v>1087</v>
      </c>
      <c r="P65" s="42" t="s">
        <v>1197</v>
      </c>
      <c r="Q65" s="42" t="s">
        <v>1117</v>
      </c>
      <c r="R65" s="4" t="s">
        <v>14</v>
      </c>
      <c r="S65" s="4" t="s">
        <v>1089</v>
      </c>
      <c r="T65" s="1" t="s">
        <v>1070</v>
      </c>
      <c r="U65" s="43" t="s">
        <v>396</v>
      </c>
      <c r="V65" s="52" t="s">
        <v>14</v>
      </c>
      <c r="W65" s="52" t="s">
        <v>14</v>
      </c>
      <c r="X65" s="54" t="s">
        <v>1314</v>
      </c>
      <c r="Y65" s="4"/>
    </row>
    <row r="66" spans="1:34" ht="66" customHeight="1">
      <c r="A66" s="1" t="s">
        <v>124</v>
      </c>
      <c r="B66" s="536" t="s">
        <v>2106</v>
      </c>
      <c r="C66" s="534"/>
      <c r="D66" s="1" t="s">
        <v>274</v>
      </c>
      <c r="E66" s="1" t="s">
        <v>185</v>
      </c>
      <c r="F66" s="1" t="s">
        <v>124</v>
      </c>
      <c r="G66" s="4" t="s">
        <v>275</v>
      </c>
      <c r="H66" s="4" t="s">
        <v>14</v>
      </c>
      <c r="I66" s="4" t="s">
        <v>340</v>
      </c>
      <c r="J66" s="4" t="s">
        <v>173</v>
      </c>
      <c r="K66" s="1" t="s">
        <v>56</v>
      </c>
      <c r="L66" s="1" t="s">
        <v>11</v>
      </c>
      <c r="M66" s="1" t="s">
        <v>18</v>
      </c>
      <c r="N66" s="1" t="s">
        <v>40</v>
      </c>
      <c r="O66" s="1" t="s">
        <v>135</v>
      </c>
      <c r="P66" s="1" t="s">
        <v>14</v>
      </c>
      <c r="Q66" s="1" t="s">
        <v>14</v>
      </c>
      <c r="R66" s="1" t="s">
        <v>14</v>
      </c>
      <c r="S66" s="1" t="s">
        <v>14</v>
      </c>
      <c r="T66" s="1" t="s">
        <v>14</v>
      </c>
      <c r="U66" s="43" t="s">
        <v>388</v>
      </c>
      <c r="V66" s="52" t="s">
        <v>14</v>
      </c>
      <c r="W66" s="52" t="s">
        <v>14</v>
      </c>
      <c r="X66" s="54" t="s">
        <v>1319</v>
      </c>
      <c r="Y66" s="4"/>
      <c r="Z66" s="58" t="s">
        <v>1477</v>
      </c>
      <c r="AA66" s="58"/>
      <c r="AB66" s="529"/>
      <c r="AC66" s="58"/>
      <c r="AD66" s="59" t="s">
        <v>1478</v>
      </c>
      <c r="AE66" s="47"/>
      <c r="AF66" s="47"/>
      <c r="AG66" s="47"/>
      <c r="AH66" s="47"/>
    </row>
    <row r="67" spans="1:34" ht="66" customHeight="1">
      <c r="A67" s="4" t="s">
        <v>127</v>
      </c>
      <c r="B67" s="536" t="s">
        <v>2109</v>
      </c>
      <c r="C67" s="534"/>
      <c r="D67" s="4" t="s">
        <v>313</v>
      </c>
      <c r="E67" s="4" t="s">
        <v>170</v>
      </c>
      <c r="F67" s="4" t="s">
        <v>128</v>
      </c>
      <c r="G67" s="38" t="s">
        <v>330</v>
      </c>
      <c r="H67" s="4" t="s">
        <v>1342</v>
      </c>
      <c r="I67" s="4" t="s">
        <v>340</v>
      </c>
      <c r="J67" s="4" t="s">
        <v>23</v>
      </c>
      <c r="K67" s="4" t="s">
        <v>10</v>
      </c>
      <c r="L67" s="4" t="s">
        <v>11</v>
      </c>
      <c r="M67" s="1" t="s">
        <v>1165</v>
      </c>
      <c r="N67" s="4" t="s">
        <v>123</v>
      </c>
      <c r="O67" s="42" t="s">
        <v>135</v>
      </c>
      <c r="P67" s="42" t="s">
        <v>14</v>
      </c>
      <c r="Q67" s="42" t="s">
        <v>14</v>
      </c>
      <c r="R67" s="4" t="s">
        <v>14</v>
      </c>
      <c r="S67" s="4" t="s">
        <v>1115</v>
      </c>
      <c r="T67" s="4" t="s">
        <v>1116</v>
      </c>
      <c r="U67" s="46" t="s">
        <v>397</v>
      </c>
      <c r="V67" s="52" t="s">
        <v>14</v>
      </c>
      <c r="W67" s="52" t="s">
        <v>14</v>
      </c>
      <c r="X67" s="54" t="s">
        <v>1320</v>
      </c>
      <c r="Y67" s="4"/>
      <c r="Z67" s="3" t="s">
        <v>1383</v>
      </c>
      <c r="AB67" s="528" t="s">
        <v>1452</v>
      </c>
      <c r="AC67" s="3" t="s">
        <v>1486</v>
      </c>
      <c r="AD67" s="59" t="s">
        <v>1487</v>
      </c>
      <c r="AE67" t="s">
        <v>1453</v>
      </c>
    </row>
    <row r="68" spans="1:34" ht="66" customHeight="1">
      <c r="A68" s="1" t="s">
        <v>1983</v>
      </c>
      <c r="B68" s="536" t="s">
        <v>2110</v>
      </c>
      <c r="C68" s="534"/>
      <c r="D68" s="1" t="s">
        <v>189</v>
      </c>
      <c r="E68" s="1" t="s">
        <v>170</v>
      </c>
      <c r="F68" s="1" t="s">
        <v>16</v>
      </c>
      <c r="G68" s="1" t="s">
        <v>2015</v>
      </c>
      <c r="H68" s="4" t="s">
        <v>1174</v>
      </c>
      <c r="I68" s="1" t="s">
        <v>163</v>
      </c>
      <c r="J68" s="1" t="s">
        <v>166</v>
      </c>
      <c r="K68" s="1" t="s">
        <v>1128</v>
      </c>
      <c r="L68" s="1" t="s">
        <v>11</v>
      </c>
      <c r="M68" s="1" t="s">
        <v>18</v>
      </c>
      <c r="N68" s="1" t="s">
        <v>1131</v>
      </c>
      <c r="O68" s="1" t="s">
        <v>135</v>
      </c>
      <c r="P68" s="1" t="s">
        <v>1157</v>
      </c>
      <c r="Q68" s="1" t="s">
        <v>17</v>
      </c>
      <c r="R68" s="1" t="s">
        <v>14</v>
      </c>
      <c r="S68" s="1" t="s">
        <v>19</v>
      </c>
      <c r="T68" s="1" t="s">
        <v>19</v>
      </c>
      <c r="U68" s="43" t="s">
        <v>403</v>
      </c>
      <c r="V68" s="52" t="s">
        <v>1238</v>
      </c>
      <c r="W68" s="4"/>
      <c r="X68" s="54" t="s">
        <v>2017</v>
      </c>
      <c r="Y68" s="4"/>
      <c r="Z68" s="3" t="s">
        <v>1389</v>
      </c>
      <c r="AB68" s="528" t="s">
        <v>1488</v>
      </c>
      <c r="AC68" s="3" t="s">
        <v>1489</v>
      </c>
      <c r="AD68" s="59" t="s">
        <v>1490</v>
      </c>
      <c r="AE68" s="59" t="s">
        <v>1491</v>
      </c>
    </row>
    <row r="69" spans="1:34" ht="66" customHeight="1">
      <c r="A69" s="512" t="s">
        <v>1982</v>
      </c>
      <c r="B69" s="536"/>
      <c r="C69" s="534"/>
      <c r="D69" s="1" t="s">
        <v>189</v>
      </c>
      <c r="E69" s="1" t="s">
        <v>170</v>
      </c>
      <c r="F69" s="1" t="s">
        <v>16</v>
      </c>
      <c r="G69" s="1" t="s">
        <v>2014</v>
      </c>
      <c r="H69" s="511" t="s">
        <v>14</v>
      </c>
      <c r="I69" s="1" t="s">
        <v>163</v>
      </c>
      <c r="J69" s="1" t="s">
        <v>166</v>
      </c>
      <c r="K69" s="1" t="s">
        <v>1128</v>
      </c>
      <c r="L69" s="1" t="s">
        <v>11</v>
      </c>
      <c r="M69" s="1" t="s">
        <v>1166</v>
      </c>
      <c r="N69" s="1" t="s">
        <v>1131</v>
      </c>
      <c r="O69" s="1" t="s">
        <v>135</v>
      </c>
      <c r="P69" s="1" t="s">
        <v>1157</v>
      </c>
      <c r="Q69" s="1" t="s">
        <v>2016</v>
      </c>
      <c r="R69" s="1" t="s">
        <v>14</v>
      </c>
      <c r="S69" s="1" t="s">
        <v>19</v>
      </c>
      <c r="T69" s="1" t="s">
        <v>20</v>
      </c>
      <c r="U69" s="43" t="s">
        <v>403</v>
      </c>
      <c r="V69" s="52"/>
      <c r="W69" s="511"/>
      <c r="X69" s="515" t="s">
        <v>2017</v>
      </c>
      <c r="Y69" s="511"/>
      <c r="Z69" s="3" t="s">
        <v>1389</v>
      </c>
      <c r="AD69" s="59"/>
      <c r="AE69" s="59" t="s">
        <v>1491</v>
      </c>
    </row>
    <row r="70" spans="1:34" ht="66" customHeight="1">
      <c r="A70" s="512" t="s">
        <v>86</v>
      </c>
      <c r="B70" s="536" t="s">
        <v>2084</v>
      </c>
      <c r="C70" s="534"/>
      <c r="D70" s="1" t="s">
        <v>202</v>
      </c>
      <c r="E70" s="1" t="s">
        <v>216</v>
      </c>
      <c r="F70" s="1" t="s">
        <v>87</v>
      </c>
      <c r="G70" s="1" t="s">
        <v>200</v>
      </c>
      <c r="H70" s="511" t="s">
        <v>1339</v>
      </c>
      <c r="I70" s="1" t="s">
        <v>167</v>
      </c>
      <c r="J70" s="1" t="s">
        <v>199</v>
      </c>
      <c r="K70" s="1" t="s">
        <v>452</v>
      </c>
      <c r="L70" s="1" t="s">
        <v>11</v>
      </c>
      <c r="M70" s="1" t="s">
        <v>1165</v>
      </c>
      <c r="N70" s="1" t="s">
        <v>1204</v>
      </c>
      <c r="O70" s="42" t="s">
        <v>1138</v>
      </c>
      <c r="P70" s="42" t="s">
        <v>1194</v>
      </c>
      <c r="Q70" s="42" t="s">
        <v>1138</v>
      </c>
      <c r="R70" s="4" t="s">
        <v>14</v>
      </c>
      <c r="S70" s="4" t="s">
        <v>1070</v>
      </c>
      <c r="T70" s="4" t="s">
        <v>1070</v>
      </c>
      <c r="U70" s="43" t="s">
        <v>398</v>
      </c>
      <c r="V70" s="52" t="s">
        <v>14</v>
      </c>
      <c r="W70" s="511" t="s">
        <v>14</v>
      </c>
      <c r="X70" s="515" t="s">
        <v>1322</v>
      </c>
      <c r="Y70" s="511" t="s">
        <v>1514</v>
      </c>
      <c r="Z70" s="3" t="s">
        <v>1511</v>
      </c>
      <c r="AC70" s="3" t="s">
        <v>1515</v>
      </c>
      <c r="AD70" s="59" t="s">
        <v>1512</v>
      </c>
      <c r="AE70" s="59" t="s">
        <v>1513</v>
      </c>
    </row>
    <row r="71" spans="1:34" ht="66" customHeight="1">
      <c r="A71" s="512" t="s">
        <v>119</v>
      </c>
      <c r="B71" s="536" t="s">
        <v>2113</v>
      </c>
      <c r="C71" s="534"/>
      <c r="D71" s="1" t="s">
        <v>194</v>
      </c>
      <c r="E71" s="1" t="s">
        <v>303</v>
      </c>
      <c r="F71" s="1" t="s">
        <v>120</v>
      </c>
      <c r="G71" s="38" t="s">
        <v>302</v>
      </c>
      <c r="H71" s="511" t="s">
        <v>1339</v>
      </c>
      <c r="I71" s="4" t="s">
        <v>167</v>
      </c>
      <c r="J71" s="4" t="s">
        <v>2012</v>
      </c>
      <c r="K71" s="1" t="s">
        <v>1128</v>
      </c>
      <c r="L71" s="1" t="s">
        <v>11</v>
      </c>
      <c r="M71" s="1" t="s">
        <v>1166</v>
      </c>
      <c r="N71" s="1" t="s">
        <v>1133</v>
      </c>
      <c r="O71" s="1" t="s">
        <v>135</v>
      </c>
      <c r="P71" s="4" t="s">
        <v>2013</v>
      </c>
      <c r="Q71" s="4" t="s">
        <v>1098</v>
      </c>
      <c r="R71" s="4" t="s">
        <v>1111</v>
      </c>
      <c r="S71" s="4" t="s">
        <v>1112</v>
      </c>
      <c r="T71" s="4" t="s">
        <v>14</v>
      </c>
      <c r="U71" s="43" t="s">
        <v>399</v>
      </c>
      <c r="V71" s="52" t="s">
        <v>1246</v>
      </c>
      <c r="W71" s="511"/>
      <c r="X71" s="515" t="s">
        <v>1323</v>
      </c>
      <c r="Y71" s="511" t="s">
        <v>1526</v>
      </c>
      <c r="Z71" s="3" t="s">
        <v>1527</v>
      </c>
      <c r="AB71" s="528" t="s">
        <v>1530</v>
      </c>
      <c r="AC71" s="3" t="s">
        <v>1528</v>
      </c>
      <c r="AD71" s="59" t="s">
        <v>1529</v>
      </c>
    </row>
    <row r="72" spans="1:34" ht="66" customHeight="1">
      <c r="A72" s="512" t="s">
        <v>1985</v>
      </c>
      <c r="B72" s="536" t="s">
        <v>2114</v>
      </c>
      <c r="C72" s="534"/>
      <c r="D72" s="1" t="s">
        <v>2007</v>
      </c>
      <c r="E72" s="1" t="s">
        <v>303</v>
      </c>
      <c r="F72" s="1" t="s">
        <v>120</v>
      </c>
      <c r="G72" s="38" t="s">
        <v>2008</v>
      </c>
      <c r="H72" s="511" t="s">
        <v>1342</v>
      </c>
      <c r="I72" s="4" t="s">
        <v>167</v>
      </c>
      <c r="J72" s="4" t="s">
        <v>2012</v>
      </c>
      <c r="K72" s="1" t="s">
        <v>1128</v>
      </c>
      <c r="L72" s="1" t="s">
        <v>11</v>
      </c>
      <c r="M72" s="1" t="s">
        <v>1166</v>
      </c>
      <c r="N72" s="1" t="s">
        <v>1133</v>
      </c>
      <c r="O72" s="1" t="s">
        <v>135</v>
      </c>
      <c r="P72" s="4" t="s">
        <v>2013</v>
      </c>
      <c r="Q72" s="4" t="s">
        <v>1098</v>
      </c>
      <c r="R72" s="4" t="s">
        <v>1111</v>
      </c>
      <c r="S72" s="4" t="s">
        <v>1112</v>
      </c>
      <c r="T72" s="4" t="s">
        <v>14</v>
      </c>
      <c r="U72" s="43" t="s">
        <v>399</v>
      </c>
      <c r="V72" s="52" t="s">
        <v>1246</v>
      </c>
      <c r="W72" s="511"/>
      <c r="X72" s="515" t="s">
        <v>2058</v>
      </c>
      <c r="Y72" s="511"/>
      <c r="AD72" s="59"/>
    </row>
    <row r="73" spans="1:34" ht="66" customHeight="1">
      <c r="A73" s="512" t="s">
        <v>1988</v>
      </c>
      <c r="B73" s="536" t="s">
        <v>2080</v>
      </c>
      <c r="C73" s="534"/>
      <c r="D73" s="1" t="s">
        <v>2007</v>
      </c>
      <c r="E73" s="1" t="s">
        <v>303</v>
      </c>
      <c r="F73" s="1" t="s">
        <v>120</v>
      </c>
      <c r="G73" s="38" t="s">
        <v>2009</v>
      </c>
      <c r="H73" s="511" t="s">
        <v>38</v>
      </c>
      <c r="I73" s="4" t="s">
        <v>167</v>
      </c>
      <c r="J73" s="4" t="s">
        <v>2012</v>
      </c>
      <c r="K73" s="1" t="s">
        <v>1128</v>
      </c>
      <c r="L73" s="1" t="s">
        <v>11</v>
      </c>
      <c r="M73" s="1" t="s">
        <v>1166</v>
      </c>
      <c r="N73" s="1" t="s">
        <v>1133</v>
      </c>
      <c r="O73" s="1" t="s">
        <v>135</v>
      </c>
      <c r="P73" s="4" t="s">
        <v>2013</v>
      </c>
      <c r="Q73" s="4" t="s">
        <v>1098</v>
      </c>
      <c r="R73" s="4" t="s">
        <v>1111</v>
      </c>
      <c r="S73" s="4" t="s">
        <v>1112</v>
      </c>
      <c r="T73" s="4" t="s">
        <v>14</v>
      </c>
      <c r="U73" s="43" t="s">
        <v>399</v>
      </c>
      <c r="V73" s="52" t="s">
        <v>1246</v>
      </c>
      <c r="W73" s="511"/>
      <c r="X73" s="515" t="s">
        <v>2058</v>
      </c>
      <c r="Y73" s="511"/>
      <c r="AD73" s="59"/>
    </row>
    <row r="74" spans="1:34" ht="66" customHeight="1">
      <c r="A74" s="1" t="s">
        <v>1984</v>
      </c>
      <c r="B74" s="536" t="s">
        <v>245</v>
      </c>
      <c r="C74" s="534"/>
      <c r="D74" s="1" t="s">
        <v>2007</v>
      </c>
      <c r="E74" s="1" t="s">
        <v>303</v>
      </c>
      <c r="F74" s="1" t="s">
        <v>120</v>
      </c>
      <c r="G74" s="38" t="s">
        <v>2009</v>
      </c>
      <c r="H74" s="4" t="s">
        <v>38</v>
      </c>
      <c r="I74" s="4" t="s">
        <v>167</v>
      </c>
      <c r="J74" s="4" t="s">
        <v>2012</v>
      </c>
      <c r="K74" s="1" t="s">
        <v>1128</v>
      </c>
      <c r="L74" s="1" t="s">
        <v>11</v>
      </c>
      <c r="M74" s="1" t="s">
        <v>1166</v>
      </c>
      <c r="N74" s="1" t="s">
        <v>1133</v>
      </c>
      <c r="O74" s="1" t="s">
        <v>135</v>
      </c>
      <c r="P74" s="4" t="s">
        <v>2013</v>
      </c>
      <c r="Q74" s="4" t="s">
        <v>1098</v>
      </c>
      <c r="R74" s="4" t="s">
        <v>1111</v>
      </c>
      <c r="S74" s="4" t="s">
        <v>1112</v>
      </c>
      <c r="T74" s="4" t="s">
        <v>14</v>
      </c>
      <c r="U74" s="43" t="s">
        <v>399</v>
      </c>
      <c r="V74" s="52" t="s">
        <v>1246</v>
      </c>
      <c r="W74" s="4"/>
      <c r="X74" s="54" t="s">
        <v>2058</v>
      </c>
      <c r="Y74" s="4"/>
      <c r="AD74" s="59"/>
    </row>
    <row r="75" spans="1:34" ht="66" customHeight="1">
      <c r="A75" s="1" t="s">
        <v>1986</v>
      </c>
      <c r="B75" s="536" t="s">
        <v>2115</v>
      </c>
      <c r="C75" s="534"/>
      <c r="D75" s="1" t="s">
        <v>2007</v>
      </c>
      <c r="E75" s="1" t="s">
        <v>303</v>
      </c>
      <c r="F75" s="1" t="s">
        <v>120</v>
      </c>
      <c r="G75" s="38" t="s">
        <v>2010</v>
      </c>
      <c r="H75" s="4" t="s">
        <v>38</v>
      </c>
      <c r="I75" s="4" t="s">
        <v>167</v>
      </c>
      <c r="J75" s="4" t="s">
        <v>2012</v>
      </c>
      <c r="K75" s="1" t="s">
        <v>1128</v>
      </c>
      <c r="L75" s="1" t="s">
        <v>11</v>
      </c>
      <c r="M75" s="1" t="s">
        <v>1166</v>
      </c>
      <c r="N75" s="1" t="s">
        <v>1133</v>
      </c>
      <c r="O75" s="1" t="s">
        <v>135</v>
      </c>
      <c r="P75" s="4" t="s">
        <v>2013</v>
      </c>
      <c r="Q75" s="4" t="s">
        <v>1098</v>
      </c>
      <c r="R75" s="4" t="s">
        <v>1111</v>
      </c>
      <c r="S75" s="4" t="s">
        <v>1112</v>
      </c>
      <c r="T75" s="4" t="s">
        <v>14</v>
      </c>
      <c r="U75" s="43" t="s">
        <v>399</v>
      </c>
      <c r="V75" s="52" t="s">
        <v>1246</v>
      </c>
      <c r="W75" s="52"/>
      <c r="X75" s="54" t="s">
        <v>2058</v>
      </c>
      <c r="Y75" s="4"/>
      <c r="AD75" s="59"/>
    </row>
    <row r="76" spans="1:34" ht="48">
      <c r="A76" s="1" t="s">
        <v>1987</v>
      </c>
      <c r="B76" s="536" t="s">
        <v>2079</v>
      </c>
      <c r="C76" s="534"/>
      <c r="D76" s="1" t="s">
        <v>2007</v>
      </c>
      <c r="E76" s="1" t="s">
        <v>303</v>
      </c>
      <c r="F76" s="1" t="s">
        <v>120</v>
      </c>
      <c r="G76" s="38" t="s">
        <v>2011</v>
      </c>
      <c r="H76" s="4" t="s">
        <v>38</v>
      </c>
      <c r="I76" s="4" t="s">
        <v>167</v>
      </c>
      <c r="J76" s="4" t="s">
        <v>2012</v>
      </c>
      <c r="K76" s="1" t="s">
        <v>1128</v>
      </c>
      <c r="L76" s="1" t="s">
        <v>11</v>
      </c>
      <c r="M76" s="1" t="s">
        <v>1166</v>
      </c>
      <c r="N76" s="1" t="s">
        <v>1133</v>
      </c>
      <c r="O76" s="1" t="s">
        <v>135</v>
      </c>
      <c r="P76" s="4" t="s">
        <v>2013</v>
      </c>
      <c r="Q76" s="4" t="s">
        <v>1098</v>
      </c>
      <c r="R76" s="4" t="s">
        <v>1111</v>
      </c>
      <c r="S76" s="4" t="s">
        <v>1112</v>
      </c>
      <c r="T76" s="4" t="s">
        <v>14</v>
      </c>
      <c r="U76" s="43" t="s">
        <v>399</v>
      </c>
      <c r="V76" s="52" t="s">
        <v>1246</v>
      </c>
      <c r="W76" s="4"/>
      <c r="X76" s="54" t="s">
        <v>2058</v>
      </c>
      <c r="Y76" s="4"/>
      <c r="AD76" s="59"/>
    </row>
    <row r="77" spans="1:34" ht="66" customHeight="1">
      <c r="A77" s="1" t="s">
        <v>440</v>
      </c>
      <c r="B77" s="536" t="s">
        <v>2078</v>
      </c>
      <c r="C77" s="534"/>
      <c r="D77" s="4" t="s">
        <v>249</v>
      </c>
      <c r="E77" s="4" t="s">
        <v>185</v>
      </c>
      <c r="F77" s="1" t="s">
        <v>441</v>
      </c>
      <c r="G77" s="1" t="s">
        <v>442</v>
      </c>
      <c r="H77" s="4" t="s">
        <v>1339</v>
      </c>
      <c r="I77" s="1" t="s">
        <v>172</v>
      </c>
      <c r="J77" s="1" t="s">
        <v>251</v>
      </c>
      <c r="K77" s="1" t="s">
        <v>1128</v>
      </c>
      <c r="L77" s="1" t="s">
        <v>142</v>
      </c>
      <c r="M77" s="1" t="s">
        <v>1166</v>
      </c>
      <c r="N77" s="1" t="s">
        <v>1133</v>
      </c>
      <c r="O77" s="4" t="s">
        <v>135</v>
      </c>
      <c r="P77" s="4" t="s">
        <v>1073</v>
      </c>
      <c r="Q77" s="1" t="s">
        <v>1160</v>
      </c>
      <c r="R77" s="4" t="s">
        <v>14</v>
      </c>
      <c r="S77" s="4" t="s">
        <v>150</v>
      </c>
      <c r="T77" s="4" t="s">
        <v>151</v>
      </c>
      <c r="U77" s="4" t="s">
        <v>439</v>
      </c>
      <c r="V77" s="52" t="s">
        <v>1247</v>
      </c>
      <c r="W77" s="4"/>
      <c r="X77" s="54" t="s">
        <v>1324</v>
      </c>
      <c r="Y77" s="4" t="s">
        <v>1533</v>
      </c>
      <c r="Z77" s="3" t="s">
        <v>1532</v>
      </c>
      <c r="AC77" s="3" t="s">
        <v>1531</v>
      </c>
    </row>
    <row r="78" spans="1:34" ht="66" customHeight="1">
      <c r="A78" s="512" t="s">
        <v>1990</v>
      </c>
      <c r="B78" s="536" t="s">
        <v>2073</v>
      </c>
      <c r="C78" s="534"/>
      <c r="D78" s="512" t="s">
        <v>1992</v>
      </c>
      <c r="E78" s="512" t="s">
        <v>298</v>
      </c>
      <c r="F78" s="512" t="s">
        <v>1990</v>
      </c>
      <c r="G78" s="511" t="s">
        <v>1991</v>
      </c>
      <c r="H78" s="511" t="s">
        <v>1993</v>
      </c>
      <c r="I78" s="511"/>
      <c r="J78" s="511"/>
      <c r="K78" s="512"/>
      <c r="L78" s="512"/>
      <c r="M78" s="512"/>
      <c r="N78" s="512"/>
      <c r="O78" s="512"/>
      <c r="P78" s="511"/>
      <c r="Q78" s="512"/>
      <c r="R78" s="511"/>
      <c r="S78" s="511"/>
      <c r="T78" s="511"/>
      <c r="U78" s="513"/>
      <c r="V78" s="514"/>
      <c r="W78" s="511"/>
      <c r="X78" s="515" t="s">
        <v>2059</v>
      </c>
      <c r="Y78" s="511"/>
    </row>
    <row r="79" spans="1:34" ht="66" customHeight="1">
      <c r="A79" s="1" t="s">
        <v>1493</v>
      </c>
      <c r="B79" s="536" t="s">
        <v>2072</v>
      </c>
      <c r="C79" s="534"/>
      <c r="D79" s="1" t="s">
        <v>214</v>
      </c>
      <c r="E79" s="4" t="s">
        <v>453</v>
      </c>
      <c r="F79" s="1" t="s">
        <v>148</v>
      </c>
      <c r="G79" s="1" t="s">
        <v>212</v>
      </c>
      <c r="H79" s="4" t="s">
        <v>1350</v>
      </c>
      <c r="I79" s="1" t="s">
        <v>209</v>
      </c>
      <c r="J79" s="1" t="s">
        <v>166</v>
      </c>
      <c r="K79" s="1" t="s">
        <v>1128</v>
      </c>
      <c r="L79" s="1" t="s">
        <v>134</v>
      </c>
      <c r="M79" s="1" t="s">
        <v>154</v>
      </c>
      <c r="N79" s="1" t="s">
        <v>1133</v>
      </c>
      <c r="O79" s="1" t="s">
        <v>135</v>
      </c>
      <c r="P79" s="1" t="s">
        <v>155</v>
      </c>
      <c r="Q79" s="1" t="s">
        <v>1160</v>
      </c>
      <c r="R79" s="1" t="s">
        <v>14</v>
      </c>
      <c r="S79" s="1" t="s">
        <v>1106</v>
      </c>
      <c r="T79" s="4" t="s">
        <v>1107</v>
      </c>
      <c r="U79" s="43"/>
      <c r="V79" s="52" t="s">
        <v>1248</v>
      </c>
      <c r="W79" s="4"/>
      <c r="X79" s="54" t="s">
        <v>1327</v>
      </c>
      <c r="Y79" s="4" t="s">
        <v>1539</v>
      </c>
      <c r="Z79" s="3" t="s">
        <v>1541</v>
      </c>
      <c r="AE79" t="s">
        <v>1540</v>
      </c>
    </row>
    <row r="80" spans="1:34" ht="66" customHeight="1">
      <c r="A80" s="1" t="s">
        <v>97</v>
      </c>
      <c r="B80" s="536" t="s">
        <v>2071</v>
      </c>
      <c r="C80" s="534"/>
      <c r="D80" s="1" t="s">
        <v>161</v>
      </c>
      <c r="E80" s="1" t="s">
        <v>296</v>
      </c>
      <c r="F80" s="1" t="s">
        <v>98</v>
      </c>
      <c r="G80" s="4" t="s">
        <v>288</v>
      </c>
      <c r="H80" s="4" t="s">
        <v>1339</v>
      </c>
      <c r="I80" s="4" t="s">
        <v>163</v>
      </c>
      <c r="J80" s="1" t="s">
        <v>164</v>
      </c>
      <c r="K80" s="1" t="s">
        <v>452</v>
      </c>
      <c r="L80" s="1" t="s">
        <v>11</v>
      </c>
      <c r="M80" s="1" t="s">
        <v>1165</v>
      </c>
      <c r="N80" s="1" t="s">
        <v>1204</v>
      </c>
      <c r="O80" s="42" t="s">
        <v>98</v>
      </c>
      <c r="P80" s="42" t="s">
        <v>1198</v>
      </c>
      <c r="Q80" s="42" t="s">
        <v>1140</v>
      </c>
      <c r="R80" s="4" t="s">
        <v>14</v>
      </c>
      <c r="S80" s="42" t="s">
        <v>1135</v>
      </c>
      <c r="T80" s="1" t="s">
        <v>1070</v>
      </c>
      <c r="U80" s="43" t="s">
        <v>404</v>
      </c>
      <c r="V80" s="52" t="s">
        <v>14</v>
      </c>
      <c r="W80" s="52" t="s">
        <v>14</v>
      </c>
      <c r="X80" s="54" t="s">
        <v>1328</v>
      </c>
      <c r="Y80" s="4"/>
      <c r="Z80" s="3" t="s">
        <v>1542</v>
      </c>
    </row>
    <row r="81" spans="1:3">
      <c r="A81" s="55"/>
      <c r="B81" s="541"/>
      <c r="C81" s="538"/>
    </row>
    <row r="82" spans="1:3">
      <c r="A82" s="55"/>
      <c r="B82" s="541"/>
      <c r="C82" s="538"/>
    </row>
  </sheetData>
  <sortState ref="A3:AH80">
    <sortCondition ref="C3:C80"/>
  </sortState>
  <phoneticPr fontId="74" type="noConversion"/>
  <pageMargins left="0.7" right="0.7" top="0.75" bottom="0.75" header="0.3" footer="0.3"/>
  <pageSetup scale="40" fitToWidth="2" fitToHeight="5" orientation="landscape"/>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3"/>
  <sheetViews>
    <sheetView zoomScale="70" zoomScaleNormal="70" zoomScalePageLayoutView="70" workbookViewId="0">
      <selection activeCell="A3" sqref="A3"/>
    </sheetView>
  </sheetViews>
  <sheetFormatPr baseColWidth="10" defaultColWidth="8.83203125" defaultRowHeight="14" x14ac:dyDescent="0"/>
  <cols>
    <col min="1" max="1" width="255.6640625" customWidth="1"/>
    <col min="2" max="2" width="18.33203125" customWidth="1"/>
  </cols>
  <sheetData>
    <row r="1" spans="1:2">
      <c r="A1" s="60" t="s">
        <v>1359</v>
      </c>
      <c r="B1" t="s">
        <v>1548</v>
      </c>
    </row>
    <row r="3" spans="1:2">
      <c r="A3" s="60" t="s">
        <v>1543</v>
      </c>
    </row>
    <row r="4" spans="1:2">
      <c r="A4" s="11" t="s">
        <v>106</v>
      </c>
    </row>
    <row r="5" spans="1:2">
      <c r="A5" s="61" t="s">
        <v>219</v>
      </c>
    </row>
    <row r="6" spans="1:2">
      <c r="A6" s="30" t="s">
        <v>107</v>
      </c>
    </row>
    <row r="7" spans="1:2">
      <c r="A7" s="62" t="s">
        <v>1379</v>
      </c>
    </row>
    <row r="8" spans="1:2">
      <c r="A8" s="63" t="s">
        <v>135</v>
      </c>
    </row>
    <row r="9" spans="1:2">
      <c r="A9" s="64" t="s">
        <v>1206</v>
      </c>
    </row>
    <row r="10" spans="1:2" ht="28">
      <c r="A10" s="67" t="s">
        <v>1382</v>
      </c>
    </row>
    <row r="11" spans="1:2">
      <c r="A11" s="66" t="s">
        <v>1298</v>
      </c>
    </row>
    <row r="12" spans="1:2">
      <c r="A12" s="11" t="s">
        <v>108</v>
      </c>
    </row>
    <row r="13" spans="1:2">
      <c r="A13" s="61" t="s">
        <v>220</v>
      </c>
    </row>
    <row r="14" spans="1:2">
      <c r="A14" s="30" t="s">
        <v>109</v>
      </c>
    </row>
    <row r="15" spans="1:2">
      <c r="A15" s="62" t="s">
        <v>1390</v>
      </c>
    </row>
    <row r="16" spans="1:2">
      <c r="A16" s="63" t="s">
        <v>135</v>
      </c>
    </row>
    <row r="17" spans="1:1">
      <c r="A17" s="64" t="s">
        <v>1211</v>
      </c>
    </row>
    <row r="18" spans="1:1">
      <c r="A18" s="65" t="s">
        <v>1392</v>
      </c>
    </row>
    <row r="19" spans="1:1">
      <c r="A19" s="66" t="s">
        <v>1298</v>
      </c>
    </row>
    <row r="20" spans="1:1">
      <c r="A20" s="11" t="s">
        <v>8</v>
      </c>
    </row>
    <row r="21" spans="1:1">
      <c r="A21" s="61" t="s">
        <v>161</v>
      </c>
    </row>
    <row r="22" spans="1:1">
      <c r="A22" s="30" t="s">
        <v>9</v>
      </c>
    </row>
    <row r="23" spans="1:1">
      <c r="A23" s="62" t="s">
        <v>1423</v>
      </c>
    </row>
    <row r="24" spans="1:1">
      <c r="A24" s="63" t="s">
        <v>135</v>
      </c>
    </row>
    <row r="25" spans="1:1">
      <c r="A25" s="64" t="s">
        <v>1187</v>
      </c>
    </row>
    <row r="26" spans="1:1">
      <c r="A26" s="65" t="s">
        <v>1421</v>
      </c>
    </row>
    <row r="27" spans="1:1">
      <c r="A27" s="66" t="s">
        <v>1299</v>
      </c>
    </row>
    <row r="28" spans="1:1">
      <c r="A28" s="11" t="s">
        <v>21</v>
      </c>
    </row>
    <row r="29" spans="1:1">
      <c r="A29" s="61" t="s">
        <v>270</v>
      </c>
    </row>
    <row r="30" spans="1:1">
      <c r="A30" s="30" t="s">
        <v>28</v>
      </c>
    </row>
    <row r="31" spans="1:1">
      <c r="A31" s="62" t="s">
        <v>1547</v>
      </c>
    </row>
    <row r="32" spans="1:1">
      <c r="A32" s="63" t="s">
        <v>135</v>
      </c>
    </row>
    <row r="33" spans="1:1">
      <c r="A33" s="64" t="s">
        <v>1188</v>
      </c>
    </row>
    <row r="34" spans="1:1">
      <c r="A34" s="65" t="s">
        <v>1432</v>
      </c>
    </row>
    <row r="35" spans="1:1">
      <c r="A35" s="66" t="s">
        <v>1273</v>
      </c>
    </row>
    <row r="36" spans="1:1">
      <c r="A36" s="61" t="s">
        <v>272</v>
      </c>
    </row>
    <row r="37" spans="1:1">
      <c r="A37" s="30" t="s">
        <v>136</v>
      </c>
    </row>
    <row r="38" spans="1:1">
      <c r="A38" s="62" t="s">
        <v>1547</v>
      </c>
    </row>
    <row r="39" spans="1:1">
      <c r="A39" s="63" t="s">
        <v>135</v>
      </c>
    </row>
    <row r="40" spans="1:1">
      <c r="A40" s="64" t="s">
        <v>1189</v>
      </c>
    </row>
    <row r="41" spans="1:1">
      <c r="A41" s="65" t="s">
        <v>1400</v>
      </c>
    </row>
    <row r="42" spans="1:1">
      <c r="A42" s="66" t="s">
        <v>1300</v>
      </c>
    </row>
    <row r="43" spans="1:1">
      <c r="A43" s="11" t="s">
        <v>15</v>
      </c>
    </row>
    <row r="44" spans="1:1">
      <c r="A44" s="61" t="s">
        <v>189</v>
      </c>
    </row>
    <row r="45" spans="1:1">
      <c r="A45" s="30" t="s">
        <v>16</v>
      </c>
    </row>
    <row r="46" spans="1:1">
      <c r="A46" s="62" t="s">
        <v>1390</v>
      </c>
    </row>
    <row r="47" spans="1:1">
      <c r="A47" s="63" t="s">
        <v>135</v>
      </c>
    </row>
    <row r="48" spans="1:1">
      <c r="A48" s="64" t="s">
        <v>1157</v>
      </c>
    </row>
    <row r="49" spans="1:1">
      <c r="A49" s="65" t="s">
        <v>1488</v>
      </c>
    </row>
    <row r="50" spans="1:1">
      <c r="A50" s="66" t="s">
        <v>1311</v>
      </c>
    </row>
    <row r="51" spans="1:1">
      <c r="A51" s="11" t="s">
        <v>119</v>
      </c>
    </row>
    <row r="52" spans="1:1">
      <c r="A52" s="61" t="s">
        <v>194</v>
      </c>
    </row>
    <row r="53" spans="1:1">
      <c r="A53" s="30" t="s">
        <v>120</v>
      </c>
    </row>
    <row r="54" spans="1:1">
      <c r="A54" s="62" t="s">
        <v>1468</v>
      </c>
    </row>
    <row r="55" spans="1:1">
      <c r="A55" s="63" t="s">
        <v>120</v>
      </c>
    </row>
    <row r="56" spans="1:1">
      <c r="A56" s="64" t="s">
        <v>135</v>
      </c>
    </row>
    <row r="57" spans="1:1">
      <c r="A57" s="65" t="s">
        <v>1530</v>
      </c>
    </row>
    <row r="58" spans="1:1">
      <c r="A58" s="66" t="s">
        <v>1323</v>
      </c>
    </row>
    <row r="59" spans="1:1">
      <c r="A59" s="11" t="s">
        <v>140</v>
      </c>
    </row>
    <row r="60" spans="1:1">
      <c r="A60" s="61" t="s">
        <v>451</v>
      </c>
    </row>
    <row r="61" spans="1:1">
      <c r="A61" s="30" t="s">
        <v>141</v>
      </c>
    </row>
    <row r="62" spans="1:1">
      <c r="A62" s="62" t="s">
        <v>1468</v>
      </c>
    </row>
    <row r="63" spans="1:1">
      <c r="A63" s="63" t="s">
        <v>135</v>
      </c>
    </row>
    <row r="64" spans="1:1">
      <c r="A64" s="64" t="s">
        <v>155</v>
      </c>
    </row>
    <row r="65" spans="1:1">
      <c r="A65" s="65" t="s">
        <v>1467</v>
      </c>
    </row>
    <row r="66" spans="1:1">
      <c r="A66" s="66" t="s">
        <v>1317</v>
      </c>
    </row>
    <row r="67" spans="1:1">
      <c r="A67" s="11" t="s">
        <v>146</v>
      </c>
    </row>
    <row r="68" spans="1:1">
      <c r="A68" s="61" t="s">
        <v>193</v>
      </c>
    </row>
    <row r="69" spans="1:1">
      <c r="A69" s="30" t="s">
        <v>146</v>
      </c>
    </row>
    <row r="70" spans="1:1">
      <c r="A70" s="62" t="s">
        <v>1390</v>
      </c>
    </row>
    <row r="71" spans="1:1">
      <c r="A71" s="63" t="s">
        <v>135</v>
      </c>
    </row>
    <row r="72" spans="1:1">
      <c r="A72" s="64" t="s">
        <v>155</v>
      </c>
    </row>
    <row r="73" spans="1:1">
      <c r="A73" s="65" t="s">
        <v>1547</v>
      </c>
    </row>
    <row r="74" spans="1:1">
      <c r="A74" s="66" t="s">
        <v>1316</v>
      </c>
    </row>
    <row r="75" spans="1:1">
      <c r="A75" s="11" t="s">
        <v>307</v>
      </c>
    </row>
    <row r="76" spans="1:1">
      <c r="A76" s="61" t="s">
        <v>192</v>
      </c>
    </row>
    <row r="77" spans="1:1">
      <c r="A77" s="30" t="s">
        <v>51</v>
      </c>
    </row>
    <row r="78" spans="1:1">
      <c r="A78" s="62" t="s">
        <v>1423</v>
      </c>
    </row>
    <row r="79" spans="1:1">
      <c r="A79" s="63" t="s">
        <v>135</v>
      </c>
    </row>
    <row r="80" spans="1:1">
      <c r="A80" s="64" t="s">
        <v>155</v>
      </c>
    </row>
    <row r="81" spans="1:1">
      <c r="A81" s="65" t="s">
        <v>1439</v>
      </c>
    </row>
    <row r="82" spans="1:1">
      <c r="A82" s="66" t="s">
        <v>1315</v>
      </c>
    </row>
    <row r="83" spans="1:1">
      <c r="A83" s="11" t="s">
        <v>139</v>
      </c>
    </row>
    <row r="84" spans="1:1">
      <c r="A84" s="61" t="s">
        <v>192</v>
      </c>
    </row>
    <row r="85" spans="1:1">
      <c r="A85" s="30" t="s">
        <v>139</v>
      </c>
    </row>
    <row r="86" spans="1:1">
      <c r="A86" s="62" t="s">
        <v>1390</v>
      </c>
    </row>
    <row r="87" spans="1:1">
      <c r="A87" s="63" t="s">
        <v>135</v>
      </c>
    </row>
    <row r="88" spans="1:1">
      <c r="A88" s="64" t="s">
        <v>155</v>
      </c>
    </row>
    <row r="89" spans="1:1">
      <c r="A89" s="65" t="s">
        <v>1461</v>
      </c>
    </row>
    <row r="90" spans="1:1">
      <c r="A90" s="66" t="s">
        <v>1317</v>
      </c>
    </row>
    <row r="91" spans="1:1">
      <c r="A91" s="11" t="s">
        <v>143</v>
      </c>
    </row>
    <row r="92" spans="1:1">
      <c r="A92" s="61" t="s">
        <v>189</v>
      </c>
    </row>
    <row r="93" spans="1:1">
      <c r="A93" s="30" t="s">
        <v>143</v>
      </c>
    </row>
    <row r="94" spans="1:1">
      <c r="A94" s="62" t="s">
        <v>1390</v>
      </c>
    </row>
    <row r="95" spans="1:1">
      <c r="A95" s="63" t="s">
        <v>135</v>
      </c>
    </row>
    <row r="96" spans="1:1">
      <c r="A96" s="64" t="s">
        <v>155</v>
      </c>
    </row>
    <row r="97" spans="1:1">
      <c r="A97" s="65" t="s">
        <v>1466</v>
      </c>
    </row>
    <row r="98" spans="1:1">
      <c r="A98" s="66" t="s">
        <v>1311</v>
      </c>
    </row>
    <row r="99" spans="1:1">
      <c r="A99" s="11" t="s">
        <v>152</v>
      </c>
    </row>
    <row r="100" spans="1:1">
      <c r="A100" s="61" t="s">
        <v>249</v>
      </c>
    </row>
    <row r="101" spans="1:1">
      <c r="A101" s="30" t="s">
        <v>152</v>
      </c>
    </row>
    <row r="102" spans="1:1">
      <c r="A102" s="62" t="s">
        <v>1411</v>
      </c>
    </row>
    <row r="103" spans="1:1">
      <c r="A103" s="63" t="s">
        <v>135</v>
      </c>
    </row>
    <row r="104" spans="1:1">
      <c r="A104" s="64" t="s">
        <v>135</v>
      </c>
    </row>
    <row r="105" spans="1:1">
      <c r="A105" s="65" t="s">
        <v>1471</v>
      </c>
    </row>
    <row r="106" spans="1:1">
      <c r="A106" s="66" t="s">
        <v>1303</v>
      </c>
    </row>
    <row r="107" spans="1:1">
      <c r="A107" s="11" t="s">
        <v>1544</v>
      </c>
    </row>
    <row r="108" spans="1:1">
      <c r="A108" s="61" t="s">
        <v>174</v>
      </c>
    </row>
    <row r="109" spans="1:1">
      <c r="A109" s="30" t="s">
        <v>57</v>
      </c>
    </row>
    <row r="110" spans="1:1">
      <c r="A110" s="62" t="s">
        <v>1411</v>
      </c>
    </row>
    <row r="111" spans="1:1">
      <c r="A111" s="63" t="s">
        <v>135</v>
      </c>
    </row>
    <row r="112" spans="1:1">
      <c r="A112" s="64" t="s">
        <v>155</v>
      </c>
    </row>
    <row r="113" spans="1:1">
      <c r="A113" s="65" t="s">
        <v>1409</v>
      </c>
    </row>
    <row r="114" spans="1:1">
      <c r="A114" s="66" t="s">
        <v>1303</v>
      </c>
    </row>
    <row r="115" spans="1:1">
      <c r="A115" s="11" t="s">
        <v>427</v>
      </c>
    </row>
    <row r="116" spans="1:1">
      <c r="A116" s="61" t="s">
        <v>456</v>
      </c>
    </row>
    <row r="117" spans="1:1">
      <c r="A117" s="30" t="s">
        <v>427</v>
      </c>
    </row>
    <row r="118" spans="1:1">
      <c r="A118" s="62" t="s">
        <v>1476</v>
      </c>
    </row>
    <row r="119" spans="1:1">
      <c r="A119" s="63" t="s">
        <v>135</v>
      </c>
    </row>
    <row r="120" spans="1:1">
      <c r="A120" s="64" t="s">
        <v>1073</v>
      </c>
    </row>
    <row r="121" spans="1:1">
      <c r="A121" s="65" t="s">
        <v>1474</v>
      </c>
    </row>
    <row r="122" spans="1:1">
      <c r="A122" s="66" t="s">
        <v>1318</v>
      </c>
    </row>
    <row r="123" spans="1:1">
      <c r="A123" s="11" t="s">
        <v>111</v>
      </c>
    </row>
    <row r="124" spans="1:1">
      <c r="A124" s="61" t="s">
        <v>312</v>
      </c>
    </row>
    <row r="125" spans="1:1">
      <c r="A125" s="30" t="s">
        <v>112</v>
      </c>
    </row>
    <row r="126" spans="1:1">
      <c r="A126" s="62" t="s">
        <v>1482</v>
      </c>
    </row>
    <row r="127" spans="1:1">
      <c r="A127" s="63" t="s">
        <v>113</v>
      </c>
    </row>
    <row r="128" spans="1:1">
      <c r="A128" s="64" t="s">
        <v>1200</v>
      </c>
    </row>
    <row r="129" spans="1:1">
      <c r="A129" s="65" t="s">
        <v>1547</v>
      </c>
    </row>
    <row r="130" spans="1:1">
      <c r="A130" s="66" t="s">
        <v>1484</v>
      </c>
    </row>
    <row r="131" spans="1:1">
      <c r="A131" s="11" t="s">
        <v>127</v>
      </c>
    </row>
    <row r="132" spans="1:1">
      <c r="A132" s="61" t="s">
        <v>313</v>
      </c>
    </row>
    <row r="133" spans="1:1">
      <c r="A133" s="30" t="s">
        <v>128</v>
      </c>
    </row>
    <row r="134" spans="1:1">
      <c r="A134" s="62" t="s">
        <v>1487</v>
      </c>
    </row>
    <row r="135" spans="1:1">
      <c r="A135" s="63" t="s">
        <v>135</v>
      </c>
    </row>
    <row r="136" spans="1:1">
      <c r="A136" s="64" t="s">
        <v>14</v>
      </c>
    </row>
    <row r="137" spans="1:1">
      <c r="A137" s="65" t="s">
        <v>1452</v>
      </c>
    </row>
    <row r="138" spans="1:1">
      <c r="A138" s="66" t="s">
        <v>1320</v>
      </c>
    </row>
    <row r="139" spans="1:1">
      <c r="A139" s="11" t="s">
        <v>444</v>
      </c>
    </row>
    <row r="140" spans="1:1">
      <c r="A140" s="61" t="s">
        <v>196</v>
      </c>
    </row>
    <row r="141" spans="1:1">
      <c r="A141" s="30" t="s">
        <v>443</v>
      </c>
    </row>
    <row r="142" spans="1:1">
      <c r="A142" s="62" t="s">
        <v>1509</v>
      </c>
    </row>
    <row r="143" spans="1:1">
      <c r="A143" s="63" t="s">
        <v>69</v>
      </c>
    </row>
    <row r="144" spans="1:1">
      <c r="A144" s="64" t="s">
        <v>1203</v>
      </c>
    </row>
    <row r="145" spans="1:1">
      <c r="A145" s="65" t="s">
        <v>1507</v>
      </c>
    </row>
    <row r="146" spans="1:1">
      <c r="A146" s="66" t="s">
        <v>1546</v>
      </c>
    </row>
    <row r="147" spans="1:1">
      <c r="A147" s="11" t="s">
        <v>90</v>
      </c>
    </row>
    <row r="148" spans="1:1">
      <c r="A148" s="61" t="s">
        <v>196</v>
      </c>
    </row>
    <row r="149" spans="1:1">
      <c r="A149" s="30" t="s">
        <v>91</v>
      </c>
    </row>
    <row r="150" spans="1:1">
      <c r="A150" s="62" t="s">
        <v>1547</v>
      </c>
    </row>
    <row r="151" spans="1:1">
      <c r="A151" s="63" t="s">
        <v>1547</v>
      </c>
    </row>
    <row r="152" spans="1:1">
      <c r="A152" s="64" t="s">
        <v>1195</v>
      </c>
    </row>
    <row r="153" spans="1:1">
      <c r="A153" s="65" t="s">
        <v>1547</v>
      </c>
    </row>
    <row r="154" spans="1:1">
      <c r="A154" s="66" t="s">
        <v>14</v>
      </c>
    </row>
    <row r="155" spans="1:1">
      <c r="A155" s="11" t="s">
        <v>263</v>
      </c>
    </row>
    <row r="156" spans="1:1">
      <c r="A156" s="61" t="s">
        <v>262</v>
      </c>
    </row>
    <row r="157" spans="1:1">
      <c r="A157" s="30" t="s">
        <v>261</v>
      </c>
    </row>
    <row r="158" spans="1:1">
      <c r="A158" s="62" t="s">
        <v>1396</v>
      </c>
    </row>
    <row r="159" spans="1:1">
      <c r="A159" s="63" t="s">
        <v>135</v>
      </c>
    </row>
    <row r="160" spans="1:1">
      <c r="A160" s="64" t="s">
        <v>1206</v>
      </c>
    </row>
    <row r="161" spans="1:1">
      <c r="A161" s="65" t="s">
        <v>1394</v>
      </c>
    </row>
    <row r="162" spans="1:1">
      <c r="A162" s="66" t="s">
        <v>1299</v>
      </c>
    </row>
    <row r="163" spans="1:1">
      <c r="A163" s="11" t="s">
        <v>1545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D7" sqref="D7"/>
    </sheetView>
  </sheetViews>
  <sheetFormatPr baseColWidth="10" defaultColWidth="8.83203125" defaultRowHeight="14" x14ac:dyDescent="0"/>
  <cols>
    <col min="1" max="1" width="14.5" style="72" customWidth="1"/>
    <col min="2" max="2" width="17.1640625" style="72" customWidth="1"/>
    <col min="3" max="3" width="60" style="72" customWidth="1"/>
    <col min="4" max="4" width="48.83203125" style="72" customWidth="1"/>
    <col min="5" max="5" width="17.33203125" style="72" customWidth="1"/>
    <col min="6" max="6" width="19.83203125" style="72" customWidth="1"/>
    <col min="7" max="7" width="10.83203125" style="72" customWidth="1"/>
    <col min="8" max="16384" width="8.83203125" style="72"/>
  </cols>
  <sheetData>
    <row r="1" spans="1:9" s="69" customFormat="1">
      <c r="A1" s="68" t="s">
        <v>1549</v>
      </c>
      <c r="B1" s="68" t="s">
        <v>1550</v>
      </c>
      <c r="C1" s="68" t="s">
        <v>1099</v>
      </c>
      <c r="D1" s="68" t="s">
        <v>1551</v>
      </c>
      <c r="E1" s="68" t="s">
        <v>1552</v>
      </c>
      <c r="F1" s="68" t="s">
        <v>1553</v>
      </c>
    </row>
    <row r="2" spans="1:9" ht="70">
      <c r="A2" s="70" t="s">
        <v>1554</v>
      </c>
      <c r="B2" s="70" t="s">
        <v>1555</v>
      </c>
      <c r="C2" s="70" t="s">
        <v>1556</v>
      </c>
      <c r="D2" s="70" t="s">
        <v>1557</v>
      </c>
      <c r="E2" s="70" t="s">
        <v>1558</v>
      </c>
      <c r="F2" s="71" t="s">
        <v>1559</v>
      </c>
    </row>
    <row r="3" spans="1:9" ht="56">
      <c r="A3" s="73" t="s">
        <v>1560</v>
      </c>
      <c r="B3" s="73" t="s">
        <v>1561</v>
      </c>
      <c r="C3" s="73" t="s">
        <v>1562</v>
      </c>
      <c r="D3" s="73" t="s">
        <v>1563</v>
      </c>
      <c r="E3" s="73" t="s">
        <v>1564</v>
      </c>
      <c r="F3" s="74" t="s">
        <v>1565</v>
      </c>
    </row>
    <row r="4" spans="1:9" ht="70">
      <c r="A4" s="73" t="s">
        <v>1566</v>
      </c>
      <c r="B4" s="73" t="s">
        <v>1567</v>
      </c>
      <c r="C4" s="73" t="s">
        <v>1568</v>
      </c>
      <c r="D4" s="73" t="s">
        <v>1569</v>
      </c>
      <c r="E4" s="73" t="s">
        <v>1564</v>
      </c>
      <c r="F4" s="74" t="s">
        <v>1565</v>
      </c>
    </row>
    <row r="5" spans="1:9" ht="56">
      <c r="A5" s="73" t="s">
        <v>1570</v>
      </c>
      <c r="B5" s="73" t="s">
        <v>1571</v>
      </c>
      <c r="C5" s="73" t="s">
        <v>1572</v>
      </c>
      <c r="D5" s="73" t="s">
        <v>1573</v>
      </c>
      <c r="E5" s="73" t="s">
        <v>1564</v>
      </c>
      <c r="F5" s="74" t="s">
        <v>1565</v>
      </c>
    </row>
    <row r="6" spans="1:9" ht="56">
      <c r="A6" s="73" t="s">
        <v>1574</v>
      </c>
      <c r="B6" s="73" t="s">
        <v>478</v>
      </c>
      <c r="C6" s="73" t="s">
        <v>1575</v>
      </c>
      <c r="D6" s="73" t="s">
        <v>1573</v>
      </c>
      <c r="E6" s="73" t="s">
        <v>1564</v>
      </c>
      <c r="F6" s="74" t="s">
        <v>1565</v>
      </c>
    </row>
    <row r="7" spans="1:9" s="75" customFormat="1" ht="140">
      <c r="A7" s="70" t="s">
        <v>1576</v>
      </c>
      <c r="B7" s="70" t="s">
        <v>1577</v>
      </c>
      <c r="C7" s="70" t="s">
        <v>1578</v>
      </c>
      <c r="D7" s="70" t="s">
        <v>1573</v>
      </c>
      <c r="E7" s="70"/>
      <c r="F7" s="70"/>
      <c r="I7" s="75" t="s">
        <v>1579</v>
      </c>
    </row>
    <row r="8" spans="1:9" ht="56">
      <c r="A8" s="76" t="s">
        <v>1580</v>
      </c>
      <c r="B8" s="76" t="s">
        <v>1581</v>
      </c>
      <c r="C8" s="76" t="s">
        <v>1582</v>
      </c>
      <c r="D8" s="73" t="s">
        <v>1573</v>
      </c>
      <c r="E8" s="76"/>
      <c r="F8" s="76"/>
    </row>
    <row r="9" spans="1:9" ht="42">
      <c r="A9" s="76" t="s">
        <v>1583</v>
      </c>
      <c r="B9" s="76"/>
      <c r="C9" s="76"/>
      <c r="D9" s="73"/>
      <c r="E9" s="76"/>
      <c r="F9" s="76"/>
    </row>
    <row r="10" spans="1:9" ht="42">
      <c r="A10" s="77" t="s">
        <v>1584</v>
      </c>
      <c r="B10" s="77" t="s">
        <v>1585</v>
      </c>
      <c r="C10" s="77" t="s">
        <v>1586</v>
      </c>
      <c r="D10" s="77" t="s">
        <v>14</v>
      </c>
      <c r="E10" s="77"/>
      <c r="F10" s="77"/>
    </row>
    <row r="11" spans="1:9" ht="42">
      <c r="A11" s="77"/>
      <c r="B11" s="77" t="s">
        <v>1587</v>
      </c>
      <c r="C11" s="77" t="s">
        <v>1588</v>
      </c>
      <c r="D11" s="77" t="s">
        <v>14</v>
      </c>
      <c r="E11" s="77"/>
      <c r="F11" s="77"/>
    </row>
    <row r="12" spans="1:9" ht="28">
      <c r="A12" s="77" t="s">
        <v>620</v>
      </c>
      <c r="B12" s="77" t="s">
        <v>1589</v>
      </c>
      <c r="C12" s="77"/>
      <c r="D12" s="77" t="s">
        <v>14</v>
      </c>
      <c r="E12" s="77"/>
      <c r="F12" s="77"/>
    </row>
  </sheetData>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W44"/>
  <sheetViews>
    <sheetView topLeftCell="FL1" workbookViewId="0">
      <selection activeCell="I26" sqref="I26"/>
    </sheetView>
  </sheetViews>
  <sheetFormatPr baseColWidth="10" defaultColWidth="8.83203125" defaultRowHeight="14" x14ac:dyDescent="0"/>
  <cols>
    <col min="1" max="1" width="4.6640625" customWidth="1"/>
    <col min="2" max="2" width="19.33203125" customWidth="1"/>
    <col min="3" max="3" width="6.33203125" customWidth="1"/>
    <col min="4" max="4" width="8.5" customWidth="1"/>
    <col min="5" max="5" width="8.83203125" customWidth="1"/>
    <col min="6" max="6" width="4.6640625" customWidth="1"/>
    <col min="7" max="7" width="19.1640625" customWidth="1"/>
    <col min="8" max="8" width="6.33203125" customWidth="1"/>
    <col min="9" max="9" width="8.1640625" customWidth="1"/>
    <col min="10" max="10" width="7.5" customWidth="1"/>
    <col min="11" max="11" width="4.6640625" customWidth="1"/>
    <col min="12" max="12" width="19.1640625" customWidth="1"/>
    <col min="13" max="13" width="6.33203125" customWidth="1"/>
    <col min="14" max="14" width="8" customWidth="1"/>
    <col min="15" max="15" width="8.1640625" customWidth="1"/>
    <col min="16" max="16" width="4.6640625" customWidth="1"/>
    <col min="17" max="17" width="19.1640625" customWidth="1"/>
    <col min="18" max="18" width="7.5" customWidth="1"/>
    <col min="19" max="19" width="7.1640625" customWidth="1"/>
    <col min="20" max="20" width="8.6640625" customWidth="1"/>
    <col min="21" max="21" width="4.6640625" customWidth="1"/>
    <col min="22" max="22" width="19.1640625" customWidth="1"/>
    <col min="23" max="23" width="7.5" customWidth="1"/>
    <col min="24" max="24" width="7.1640625" customWidth="1"/>
    <col min="25" max="25" width="7.5" customWidth="1"/>
    <col min="26" max="26" width="4.6640625" customWidth="1"/>
    <col min="27" max="27" width="19.1640625" customWidth="1"/>
    <col min="28" max="28" width="6.1640625" customWidth="1"/>
    <col min="29" max="29" width="7" customWidth="1"/>
    <col min="30" max="30" width="7.5" customWidth="1"/>
    <col min="31" max="31" width="4.6640625" customWidth="1"/>
    <col min="32" max="32" width="22.1640625" customWidth="1"/>
    <col min="33" max="33" width="6.5" customWidth="1"/>
    <col min="34" max="34" width="8.1640625" customWidth="1"/>
    <col min="36" max="36" width="7.83203125" customWidth="1"/>
    <col min="37" max="37" width="21.33203125" customWidth="1"/>
    <col min="38" max="38" width="7.33203125" customWidth="1"/>
    <col min="40" max="40" width="11.1640625" customWidth="1"/>
    <col min="42" max="42" width="20.5" customWidth="1"/>
    <col min="44" max="44" width="10.1640625" customWidth="1"/>
    <col min="46" max="46" width="20.1640625" customWidth="1"/>
    <col min="47" max="47" width="10.1640625" customWidth="1"/>
    <col min="49" max="49" width="23.1640625" customWidth="1"/>
    <col min="53" max="53" width="19.5" customWidth="1"/>
    <col min="54" max="54" width="17.5" customWidth="1"/>
    <col min="55" max="55" width="13.33203125" customWidth="1"/>
    <col min="57" max="57" width="23.83203125" customWidth="1"/>
    <col min="61" max="61" width="21.6640625" customWidth="1"/>
    <col min="62" max="62" width="10.1640625" customWidth="1"/>
    <col min="63" max="63" width="8.6640625" customWidth="1"/>
    <col min="65" max="65" width="23.83203125" customWidth="1"/>
    <col min="69" max="69" width="21.6640625" customWidth="1"/>
    <col min="70" max="70" width="10.1640625" customWidth="1"/>
    <col min="71" max="71" width="8.6640625" customWidth="1"/>
    <col min="73" max="73" width="23.83203125" customWidth="1"/>
    <col min="77" max="77" width="21.6640625" customWidth="1"/>
    <col min="78" max="78" width="10.1640625" customWidth="1"/>
    <col min="79" max="79" width="8.6640625" customWidth="1"/>
    <col min="81" max="81" width="26.5" customWidth="1"/>
    <col min="85" max="85" width="21.6640625" customWidth="1"/>
    <col min="86" max="86" width="10.1640625" customWidth="1"/>
    <col min="87" max="87" width="8.6640625" customWidth="1"/>
    <col min="89" max="89" width="23.83203125" customWidth="1"/>
    <col min="92" max="92" width="9.83203125" customWidth="1"/>
    <col min="93" max="93" width="21.6640625" customWidth="1"/>
    <col min="94" max="94" width="10.1640625" customWidth="1"/>
    <col min="95" max="95" width="8.6640625" customWidth="1"/>
    <col min="97" max="97" width="23.83203125" customWidth="1"/>
    <col min="100" max="100" width="10.1640625" customWidth="1"/>
    <col min="101" max="101" width="21.6640625" customWidth="1"/>
    <col min="102" max="102" width="10.1640625" customWidth="1"/>
    <col min="103" max="103" width="8.6640625" customWidth="1"/>
    <col min="105" max="105" width="30.33203125" customWidth="1"/>
    <col min="108" max="108" width="12.5" customWidth="1"/>
    <col min="114" max="114" width="30.33203125" customWidth="1"/>
    <col min="115" max="115" width="8.5" customWidth="1"/>
    <col min="116" max="116" width="7.6640625" customWidth="1"/>
    <col min="117" max="117" width="10.5" customWidth="1"/>
    <col min="118" max="118" width="12.33203125" customWidth="1"/>
    <col min="119" max="119" width="11.5" customWidth="1"/>
    <col min="120" max="120" width="15.5" customWidth="1"/>
    <col min="123" max="123" width="30.33203125" customWidth="1"/>
    <col min="124" max="124" width="8.5" customWidth="1"/>
    <col min="125" max="125" width="7.6640625" customWidth="1"/>
    <col min="126" max="126" width="10.5" customWidth="1"/>
    <col min="127" max="127" width="12.33203125" customWidth="1"/>
    <col min="128" max="128" width="11.5" customWidth="1"/>
    <col min="129" max="129" width="15.5" customWidth="1"/>
    <col min="132" max="132" width="30.33203125" customWidth="1"/>
    <col min="133" max="133" width="8.5" customWidth="1"/>
    <col min="134" max="134" width="7.6640625" customWidth="1"/>
    <col min="135" max="135" width="10" customWidth="1"/>
    <col min="136" max="136" width="12.33203125" customWidth="1"/>
    <col min="137" max="137" width="11.5" customWidth="1"/>
    <col min="138" max="138" width="15.5" customWidth="1"/>
    <col min="141" max="141" width="30.33203125" customWidth="1"/>
    <col min="142" max="142" width="8.5" customWidth="1"/>
    <col min="143" max="143" width="7.6640625" customWidth="1"/>
    <col min="144" max="144" width="10.5" customWidth="1"/>
    <col min="145" max="145" width="12.33203125" customWidth="1"/>
    <col min="146" max="146" width="11.5" customWidth="1"/>
    <col min="147" max="147" width="15.5" customWidth="1"/>
    <col min="149" max="149" width="30.33203125" customWidth="1"/>
    <col min="150" max="151" width="8.5" customWidth="1"/>
    <col min="152" max="152" width="10" customWidth="1"/>
    <col min="153" max="153" width="12.33203125" customWidth="1"/>
    <col min="154" max="154" width="11.5" customWidth="1"/>
    <col min="155" max="155" width="15.5" customWidth="1"/>
    <col min="157" max="157" width="30.33203125" bestFit="1" customWidth="1"/>
    <col min="158" max="159" width="8.5" bestFit="1" customWidth="1"/>
    <col min="160" max="160" width="10.5" bestFit="1" customWidth="1"/>
    <col min="161" max="161" width="12.33203125" bestFit="1" customWidth="1"/>
    <col min="162" max="162" width="11.5" bestFit="1" customWidth="1"/>
    <col min="163" max="163" width="15.5" bestFit="1" customWidth="1"/>
    <col min="165" max="165" width="30.33203125" bestFit="1" customWidth="1"/>
    <col min="166" max="166" width="8.5" bestFit="1" customWidth="1"/>
    <col min="168" max="168" width="11.83203125" customWidth="1"/>
    <col min="169" max="169" width="14.1640625" customWidth="1"/>
    <col min="170" max="170" width="11.33203125" customWidth="1"/>
    <col min="171" max="171" width="18.5" customWidth="1"/>
    <col min="173" max="173" width="30.33203125" bestFit="1" customWidth="1"/>
    <col min="174" max="174" width="15.6640625" customWidth="1"/>
    <col min="175" max="175" width="15" customWidth="1"/>
    <col min="176" max="176" width="18.83203125" customWidth="1"/>
  </cols>
  <sheetData>
    <row r="1" spans="2:179" s="78" customFormat="1" ht="15" customHeight="1">
      <c r="B1" s="78" t="s">
        <v>1590</v>
      </c>
      <c r="G1" s="78" t="s">
        <v>1591</v>
      </c>
      <c r="L1" s="78" t="s">
        <v>1592</v>
      </c>
      <c r="Q1" s="78" t="s">
        <v>1593</v>
      </c>
      <c r="V1" s="78" t="s">
        <v>1594</v>
      </c>
      <c r="AA1" s="78" t="s">
        <v>1595</v>
      </c>
      <c r="AF1" s="78" t="s">
        <v>1596</v>
      </c>
      <c r="AK1" s="78" t="s">
        <v>1597</v>
      </c>
      <c r="AP1" s="78" t="s">
        <v>1598</v>
      </c>
      <c r="AW1" s="78" t="s">
        <v>1599</v>
      </c>
      <c r="BE1" s="78" t="s">
        <v>1600</v>
      </c>
      <c r="BM1" s="78" t="s">
        <v>1601</v>
      </c>
      <c r="BU1" s="78" t="s">
        <v>1602</v>
      </c>
      <c r="CC1" s="78" t="s">
        <v>1603</v>
      </c>
      <c r="CK1" s="78" t="s">
        <v>1604</v>
      </c>
      <c r="CS1" s="78" t="s">
        <v>1605</v>
      </c>
    </row>
    <row r="2" spans="2:179" s="78" customFormat="1" ht="19.5" customHeight="1">
      <c r="B2" s="78" t="s">
        <v>1606</v>
      </c>
      <c r="G2" s="78" t="s">
        <v>1607</v>
      </c>
      <c r="H2" s="79"/>
      <c r="I2" s="79"/>
      <c r="J2" s="79"/>
      <c r="L2" s="78" t="s">
        <v>1608</v>
      </c>
      <c r="M2" s="79"/>
      <c r="N2" s="79"/>
      <c r="O2" s="79"/>
      <c r="Q2" s="78" t="s">
        <v>1609</v>
      </c>
      <c r="R2" s="80"/>
      <c r="S2" s="80"/>
      <c r="T2" s="80"/>
      <c r="V2" s="78" t="s">
        <v>1610</v>
      </c>
      <c r="W2" s="79"/>
      <c r="X2" s="79"/>
      <c r="Y2" s="79"/>
      <c r="AA2" s="78" t="s">
        <v>1611</v>
      </c>
      <c r="AB2" s="79"/>
      <c r="AC2" s="79"/>
      <c r="AD2" s="79"/>
      <c r="AF2" s="81" t="s">
        <v>1612</v>
      </c>
      <c r="AG2" s="545" t="s">
        <v>245</v>
      </c>
      <c r="AH2" s="546"/>
      <c r="AI2" s="546"/>
      <c r="AK2" s="81" t="s">
        <v>1613</v>
      </c>
      <c r="AL2" s="547" t="s">
        <v>245</v>
      </c>
      <c r="AM2" s="548"/>
      <c r="AN2" s="549"/>
      <c r="AP2" s="81" t="s">
        <v>1614</v>
      </c>
      <c r="AQ2" s="545" t="s">
        <v>1615</v>
      </c>
      <c r="AR2" s="546"/>
      <c r="AS2" s="546"/>
      <c r="AT2" s="550" t="s">
        <v>1616</v>
      </c>
      <c r="AU2" s="550" t="s">
        <v>1617</v>
      </c>
      <c r="AW2" s="82">
        <v>40663</v>
      </c>
      <c r="AX2" s="552" t="s">
        <v>1615</v>
      </c>
      <c r="AY2" s="553"/>
      <c r="AZ2" s="553"/>
      <c r="BA2" s="557" t="s">
        <v>1618</v>
      </c>
      <c r="BB2" s="557" t="s">
        <v>1617</v>
      </c>
      <c r="BC2" s="550" t="s">
        <v>1619</v>
      </c>
      <c r="BE2" s="82">
        <v>40694</v>
      </c>
      <c r="BF2" s="552" t="s">
        <v>1615</v>
      </c>
      <c r="BG2" s="553"/>
      <c r="BH2" s="553"/>
      <c r="BI2" s="550" t="s">
        <v>1620</v>
      </c>
      <c r="BJ2" s="550" t="s">
        <v>1617</v>
      </c>
      <c r="BK2" s="550" t="s">
        <v>1619</v>
      </c>
      <c r="BM2" s="82">
        <v>40724</v>
      </c>
      <c r="BN2" s="552" t="s">
        <v>1615</v>
      </c>
      <c r="BO2" s="555"/>
      <c r="BP2" s="555"/>
      <c r="BQ2" s="550" t="s">
        <v>1621</v>
      </c>
      <c r="BR2" s="550" t="s">
        <v>1617</v>
      </c>
      <c r="BS2" s="550" t="s">
        <v>1619</v>
      </c>
      <c r="BU2" s="82">
        <v>40755</v>
      </c>
      <c r="BV2" s="552" t="s">
        <v>1615</v>
      </c>
      <c r="BW2" s="553"/>
      <c r="BX2" s="553"/>
      <c r="BY2" s="550" t="s">
        <v>1621</v>
      </c>
      <c r="BZ2" s="550" t="s">
        <v>1617</v>
      </c>
      <c r="CA2" s="550" t="s">
        <v>1619</v>
      </c>
      <c r="CC2" s="82">
        <v>40786</v>
      </c>
      <c r="CD2" s="552" t="s">
        <v>1615</v>
      </c>
      <c r="CE2" s="553"/>
      <c r="CF2" s="553"/>
      <c r="CG2" s="550" t="s">
        <v>1622</v>
      </c>
      <c r="CH2" s="550" t="s">
        <v>1617</v>
      </c>
      <c r="CI2" s="550" t="s">
        <v>1619</v>
      </c>
      <c r="CK2" s="82">
        <v>40816</v>
      </c>
      <c r="CL2" s="552" t="s">
        <v>1615</v>
      </c>
      <c r="CM2" s="553"/>
      <c r="CN2" s="553"/>
      <c r="CO2" s="550" t="s">
        <v>1623</v>
      </c>
      <c r="CP2" s="550" t="s">
        <v>1617</v>
      </c>
      <c r="CQ2" s="550" t="s">
        <v>1619</v>
      </c>
      <c r="CS2" s="82">
        <v>40847</v>
      </c>
      <c r="CT2" s="552" t="s">
        <v>1615</v>
      </c>
      <c r="CU2" s="553"/>
      <c r="CV2" s="553"/>
      <c r="CW2" s="550" t="s">
        <v>1624</v>
      </c>
      <c r="CX2" s="550" t="s">
        <v>1617</v>
      </c>
      <c r="CY2" s="550" t="s">
        <v>1619</v>
      </c>
      <c r="DA2" s="82">
        <v>40877</v>
      </c>
      <c r="DB2" s="552" t="s">
        <v>1615</v>
      </c>
      <c r="DC2" s="553"/>
      <c r="DD2" s="553"/>
      <c r="DE2" s="550" t="s">
        <v>1625</v>
      </c>
      <c r="DF2" s="550" t="s">
        <v>1617</v>
      </c>
      <c r="DG2" s="550" t="s">
        <v>1619</v>
      </c>
      <c r="DJ2" s="82">
        <v>40908</v>
      </c>
      <c r="DK2" s="552" t="s">
        <v>1615</v>
      </c>
      <c r="DL2" s="553"/>
      <c r="DM2" s="553"/>
      <c r="DN2" s="550" t="s">
        <v>1626</v>
      </c>
      <c r="DO2" s="550" t="s">
        <v>1617</v>
      </c>
      <c r="DP2" s="550" t="s">
        <v>1619</v>
      </c>
      <c r="DS2" s="82">
        <v>40939</v>
      </c>
      <c r="DT2" s="552" t="s">
        <v>1615</v>
      </c>
      <c r="DU2" s="553"/>
      <c r="DV2" s="553"/>
      <c r="DW2" s="550" t="s">
        <v>1626</v>
      </c>
      <c r="DX2" s="550" t="s">
        <v>1617</v>
      </c>
      <c r="DY2" s="550" t="s">
        <v>1619</v>
      </c>
      <c r="EB2" s="82">
        <v>40968</v>
      </c>
      <c r="EC2" s="552" t="s">
        <v>1615</v>
      </c>
      <c r="ED2" s="553"/>
      <c r="EE2" s="553"/>
      <c r="EF2" s="550" t="s">
        <v>1627</v>
      </c>
      <c r="EG2" s="550" t="s">
        <v>1617</v>
      </c>
      <c r="EH2" s="550" t="s">
        <v>1619</v>
      </c>
      <c r="EK2" s="82">
        <v>40999</v>
      </c>
      <c r="EL2" s="552" t="s">
        <v>1615</v>
      </c>
      <c r="EM2" s="553"/>
      <c r="EN2" s="553"/>
      <c r="EO2" s="550" t="s">
        <v>1627</v>
      </c>
      <c r="EP2" s="550" t="s">
        <v>1617</v>
      </c>
      <c r="EQ2" s="550" t="s">
        <v>1619</v>
      </c>
      <c r="ES2" s="82">
        <v>41029</v>
      </c>
      <c r="ET2" s="552" t="s">
        <v>1615</v>
      </c>
      <c r="EU2" s="553"/>
      <c r="EV2" s="553"/>
      <c r="EW2" s="550" t="s">
        <v>1628</v>
      </c>
      <c r="EX2" s="550" t="s">
        <v>1617</v>
      </c>
      <c r="EY2" s="550" t="s">
        <v>1619</v>
      </c>
      <c r="FA2" s="82">
        <v>41060</v>
      </c>
      <c r="FB2" s="552" t="s">
        <v>1615</v>
      </c>
      <c r="FC2" s="553"/>
      <c r="FD2" s="553"/>
      <c r="FE2" s="550" t="s">
        <v>1629</v>
      </c>
      <c r="FF2" s="550" t="s">
        <v>1617</v>
      </c>
      <c r="FG2" s="550" t="s">
        <v>1619</v>
      </c>
      <c r="FI2" s="82">
        <v>41090</v>
      </c>
      <c r="FJ2" s="552" t="s">
        <v>1615</v>
      </c>
      <c r="FK2" s="553"/>
      <c r="FL2" s="553"/>
      <c r="FM2" s="550" t="s">
        <v>1630</v>
      </c>
      <c r="FN2" s="550" t="s">
        <v>1617</v>
      </c>
      <c r="FO2" s="550" t="s">
        <v>1619</v>
      </c>
      <c r="FQ2" s="82">
        <v>41121</v>
      </c>
      <c r="FR2" s="552" t="s">
        <v>1615</v>
      </c>
      <c r="FS2" s="553"/>
      <c r="FT2" s="553"/>
      <c r="FU2" s="550" t="s">
        <v>1630</v>
      </c>
      <c r="FV2" s="550" t="s">
        <v>1617</v>
      </c>
      <c r="FW2" s="550" t="s">
        <v>1619</v>
      </c>
    </row>
    <row r="3" spans="2:179" ht="15" customHeight="1" thickBot="1">
      <c r="B3" s="83" t="s">
        <v>1631</v>
      </c>
      <c r="C3" s="83" t="s">
        <v>1632</v>
      </c>
      <c r="D3" s="83" t="s">
        <v>1633</v>
      </c>
      <c r="E3" s="83" t="s">
        <v>1634</v>
      </c>
      <c r="G3" s="83" t="s">
        <v>1631</v>
      </c>
      <c r="H3" s="83" t="s">
        <v>1632</v>
      </c>
      <c r="I3" s="83" t="s">
        <v>1633</v>
      </c>
      <c r="J3" s="83" t="s">
        <v>1634</v>
      </c>
      <c r="L3" s="83" t="s">
        <v>1631</v>
      </c>
      <c r="M3" s="83" t="s">
        <v>1632</v>
      </c>
      <c r="N3" s="83" t="s">
        <v>1633</v>
      </c>
      <c r="O3" s="83" t="s">
        <v>1634</v>
      </c>
      <c r="Q3" s="83" t="s">
        <v>1631</v>
      </c>
      <c r="R3" s="83" t="s">
        <v>1632</v>
      </c>
      <c r="S3" s="83" t="s">
        <v>1633</v>
      </c>
      <c r="T3" s="83" t="s">
        <v>1634</v>
      </c>
      <c r="V3" s="83" t="s">
        <v>1631</v>
      </c>
      <c r="W3" s="83" t="s">
        <v>1632</v>
      </c>
      <c r="X3" s="83" t="s">
        <v>1633</v>
      </c>
      <c r="Y3" s="83" t="s">
        <v>1634</v>
      </c>
      <c r="AA3" s="83" t="s">
        <v>1631</v>
      </c>
      <c r="AB3" s="83" t="s">
        <v>1632</v>
      </c>
      <c r="AC3" s="83" t="s">
        <v>1633</v>
      </c>
      <c r="AD3" s="83" t="s">
        <v>1634</v>
      </c>
      <c r="AF3" s="83" t="s">
        <v>1631</v>
      </c>
      <c r="AG3" s="83" t="s">
        <v>1632</v>
      </c>
      <c r="AH3" s="83" t="s">
        <v>1633</v>
      </c>
      <c r="AI3" s="83" t="s">
        <v>1634</v>
      </c>
      <c r="AK3" s="83" t="s">
        <v>1631</v>
      </c>
      <c r="AL3" s="83" t="s">
        <v>1632</v>
      </c>
      <c r="AM3" s="83" t="s">
        <v>1633</v>
      </c>
      <c r="AN3" s="83" t="s">
        <v>1634</v>
      </c>
      <c r="AP3" s="84" t="s">
        <v>1631</v>
      </c>
      <c r="AQ3" s="84" t="s">
        <v>1632</v>
      </c>
      <c r="AR3" s="84" t="s">
        <v>1633</v>
      </c>
      <c r="AS3" s="84" t="s">
        <v>1634</v>
      </c>
      <c r="AT3" s="551"/>
      <c r="AU3" s="551"/>
      <c r="AW3" s="84" t="s">
        <v>1631</v>
      </c>
      <c r="AX3" s="84" t="s">
        <v>1632</v>
      </c>
      <c r="AY3" s="84" t="s">
        <v>1633</v>
      </c>
      <c r="AZ3" s="84" t="s">
        <v>1634</v>
      </c>
      <c r="BA3" s="558"/>
      <c r="BB3" s="558"/>
      <c r="BC3" s="551"/>
      <c r="BE3" s="85" t="s">
        <v>1631</v>
      </c>
      <c r="BF3" s="85" t="s">
        <v>1632</v>
      </c>
      <c r="BG3" s="85" t="s">
        <v>1633</v>
      </c>
      <c r="BH3" s="85" t="s">
        <v>1634</v>
      </c>
      <c r="BI3" s="554"/>
      <c r="BJ3" s="554"/>
      <c r="BK3" s="554"/>
      <c r="BM3" s="85" t="s">
        <v>1631</v>
      </c>
      <c r="BN3" s="85" t="s">
        <v>1632</v>
      </c>
      <c r="BO3" s="85" t="s">
        <v>1633</v>
      </c>
      <c r="BP3" s="85" t="s">
        <v>1634</v>
      </c>
      <c r="BQ3" s="556"/>
      <c r="BR3" s="556"/>
      <c r="BS3" s="556"/>
      <c r="BU3" s="85" t="s">
        <v>1631</v>
      </c>
      <c r="BV3" s="85" t="s">
        <v>1632</v>
      </c>
      <c r="BW3" s="85" t="s">
        <v>1633</v>
      </c>
      <c r="BX3" s="85" t="s">
        <v>1634</v>
      </c>
      <c r="BY3" s="554"/>
      <c r="BZ3" s="554"/>
      <c r="CA3" s="554"/>
      <c r="CC3" s="85" t="s">
        <v>1631</v>
      </c>
      <c r="CD3" s="85" t="s">
        <v>1632</v>
      </c>
      <c r="CE3" s="85" t="s">
        <v>1633</v>
      </c>
      <c r="CF3" s="85" t="s">
        <v>1634</v>
      </c>
      <c r="CG3" s="554"/>
      <c r="CH3" s="554"/>
      <c r="CI3" s="554"/>
      <c r="CK3" s="85" t="s">
        <v>1631</v>
      </c>
      <c r="CL3" s="85" t="s">
        <v>1632</v>
      </c>
      <c r="CM3" s="85" t="s">
        <v>1633</v>
      </c>
      <c r="CN3" s="85" t="s">
        <v>1634</v>
      </c>
      <c r="CO3" s="554"/>
      <c r="CP3" s="554"/>
      <c r="CQ3" s="554"/>
      <c r="CS3" s="85" t="s">
        <v>1631</v>
      </c>
      <c r="CT3" s="85" t="s">
        <v>1632</v>
      </c>
      <c r="CU3" s="85" t="s">
        <v>1633</v>
      </c>
      <c r="CV3" s="85" t="s">
        <v>1634</v>
      </c>
      <c r="CW3" s="554"/>
      <c r="CX3" s="554"/>
      <c r="CY3" s="554"/>
      <c r="DA3" s="85" t="s">
        <v>1631</v>
      </c>
      <c r="DB3" s="85" t="s">
        <v>1632</v>
      </c>
      <c r="DC3" s="85" t="s">
        <v>1633</v>
      </c>
      <c r="DD3" s="85" t="s">
        <v>1634</v>
      </c>
      <c r="DE3" s="554"/>
      <c r="DF3" s="554"/>
      <c r="DG3" s="554"/>
      <c r="DJ3" s="85" t="s">
        <v>1631</v>
      </c>
      <c r="DK3" s="85" t="s">
        <v>1632</v>
      </c>
      <c r="DL3" s="85" t="s">
        <v>1633</v>
      </c>
      <c r="DM3" s="85" t="s">
        <v>1634</v>
      </c>
      <c r="DN3" s="554"/>
      <c r="DO3" s="554"/>
      <c r="DP3" s="554"/>
      <c r="DS3" s="85" t="s">
        <v>1631</v>
      </c>
      <c r="DT3" s="85" t="s">
        <v>1632</v>
      </c>
      <c r="DU3" s="85" t="s">
        <v>1633</v>
      </c>
      <c r="DV3" s="85" t="s">
        <v>1634</v>
      </c>
      <c r="DW3" s="554"/>
      <c r="DX3" s="554"/>
      <c r="DY3" s="554"/>
      <c r="EB3" s="85" t="s">
        <v>1631</v>
      </c>
      <c r="EC3" s="85" t="s">
        <v>1632</v>
      </c>
      <c r="ED3" s="85" t="s">
        <v>1633</v>
      </c>
      <c r="EE3" s="85" t="s">
        <v>1634</v>
      </c>
      <c r="EF3" s="554"/>
      <c r="EG3" s="554"/>
      <c r="EH3" s="554"/>
      <c r="EK3" s="85" t="s">
        <v>1631</v>
      </c>
      <c r="EL3" s="85" t="s">
        <v>1632</v>
      </c>
      <c r="EM3" s="85" t="s">
        <v>1633</v>
      </c>
      <c r="EN3" s="85" t="s">
        <v>1634</v>
      </c>
      <c r="EO3" s="554"/>
      <c r="EP3" s="554"/>
      <c r="EQ3" s="554"/>
      <c r="ES3" s="85" t="s">
        <v>1631</v>
      </c>
      <c r="ET3" s="85" t="s">
        <v>1632</v>
      </c>
      <c r="EU3" s="85" t="s">
        <v>1633</v>
      </c>
      <c r="EV3" s="85" t="s">
        <v>1634</v>
      </c>
      <c r="EW3" s="554"/>
      <c r="EX3" s="554"/>
      <c r="EY3" s="554"/>
      <c r="FA3" s="85" t="s">
        <v>1631</v>
      </c>
      <c r="FB3" s="85" t="s">
        <v>1632</v>
      </c>
      <c r="FC3" s="85" t="s">
        <v>1633</v>
      </c>
      <c r="FD3" s="85" t="s">
        <v>1634</v>
      </c>
      <c r="FE3" s="554"/>
      <c r="FF3" s="554"/>
      <c r="FG3" s="554"/>
      <c r="FI3" s="85" t="s">
        <v>1631</v>
      </c>
      <c r="FJ3" s="85" t="s">
        <v>1632</v>
      </c>
      <c r="FK3" s="85" t="s">
        <v>1633</v>
      </c>
      <c r="FL3" s="85" t="s">
        <v>1634</v>
      </c>
      <c r="FM3" s="554"/>
      <c r="FN3" s="554"/>
      <c r="FO3" s="554"/>
      <c r="FQ3" s="85" t="s">
        <v>1631</v>
      </c>
      <c r="FR3" s="85" t="s">
        <v>1632</v>
      </c>
      <c r="FS3" s="85" t="s">
        <v>1633</v>
      </c>
      <c r="FT3" s="85" t="s">
        <v>1634</v>
      </c>
      <c r="FU3" s="554"/>
      <c r="FV3" s="554"/>
      <c r="FW3" s="554"/>
    </row>
    <row r="4" spans="2:179" ht="15" thickTop="1">
      <c r="B4" s="86" t="s">
        <v>1635</v>
      </c>
      <c r="C4" s="87">
        <f>SUM(9+49+27)</f>
        <v>85</v>
      </c>
      <c r="D4" s="88">
        <f>SUM(7807+3546+2767)</f>
        <v>14120</v>
      </c>
      <c r="E4" s="88">
        <f t="shared" ref="E4:E9" si="0">SUM(C4:D4)</f>
        <v>14205</v>
      </c>
      <c r="G4" s="86" t="s">
        <v>1635</v>
      </c>
      <c r="H4" s="87">
        <f>SUM(18+102+45)</f>
        <v>165</v>
      </c>
      <c r="I4" s="88">
        <f>SUM(8122+3723+2913)</f>
        <v>14758</v>
      </c>
      <c r="J4" s="88">
        <f t="shared" ref="J4:J9" si="1">SUM(H4:I4)</f>
        <v>14923</v>
      </c>
      <c r="L4" s="86" t="s">
        <v>1635</v>
      </c>
      <c r="M4" s="89">
        <f>SUM(650+960+837)</f>
        <v>2447</v>
      </c>
      <c r="N4" s="88">
        <f>SUM(9630+4495+3532)</f>
        <v>17657</v>
      </c>
      <c r="O4" s="88">
        <f>SUM(M4:N4)</f>
        <v>20104</v>
      </c>
      <c r="Q4" s="86" t="s">
        <v>1635</v>
      </c>
      <c r="R4" s="89">
        <f>SUM(720+1101+958)</f>
        <v>2779</v>
      </c>
      <c r="S4" s="88">
        <f>SUM(10074+4733+3760)</f>
        <v>18567</v>
      </c>
      <c r="T4" s="88">
        <f>SUM(R4:S4)</f>
        <v>21346</v>
      </c>
      <c r="V4" s="86" t="s">
        <v>1635</v>
      </c>
      <c r="W4" s="89">
        <f>SUM(721+1238+1044)</f>
        <v>3003</v>
      </c>
      <c r="X4" s="88">
        <f>SUM(10510+4961+3971)</f>
        <v>19442</v>
      </c>
      <c r="Y4" s="88">
        <f>SUM(W4:X4)</f>
        <v>22445</v>
      </c>
      <c r="AA4" s="86" t="s">
        <v>1635</v>
      </c>
      <c r="AB4" s="89">
        <f>SUM(756+1681+1318)</f>
        <v>3755</v>
      </c>
      <c r="AC4" s="88">
        <f>SUM(10878+5581+4430)</f>
        <v>20889</v>
      </c>
      <c r="AD4" s="88">
        <f>SUM(AB4:AC4)</f>
        <v>24644</v>
      </c>
      <c r="AF4" s="86" t="s">
        <v>1635</v>
      </c>
      <c r="AG4" s="89">
        <f>SUM(835+2244+1666)</f>
        <v>4745</v>
      </c>
      <c r="AH4" s="88">
        <f>SUM(11543+6233+5035)</f>
        <v>22811</v>
      </c>
      <c r="AI4" s="88">
        <f>SUM(AG4:AH4)</f>
        <v>27556</v>
      </c>
      <c r="AK4" s="86" t="s">
        <v>1635</v>
      </c>
      <c r="AL4" s="89">
        <f>SUM(905+2700+1933)</f>
        <v>5538</v>
      </c>
      <c r="AM4" s="88">
        <f>SUM(12369+7009+5738)</f>
        <v>25116</v>
      </c>
      <c r="AN4" s="88">
        <f>SUM(AL4:AM4)</f>
        <v>30654</v>
      </c>
      <c r="AP4" s="86" t="s">
        <v>1635</v>
      </c>
      <c r="AQ4" s="89">
        <f>SUM(988+3077+2198)</f>
        <v>6263</v>
      </c>
      <c r="AR4" s="88">
        <f>SUM(13587+7948+6725)</f>
        <v>28260</v>
      </c>
      <c r="AS4" s="88">
        <f>SUM(AQ4:AR4)</f>
        <v>34523</v>
      </c>
      <c r="AT4" s="90">
        <f>SUM(741346+421514)</f>
        <v>1162860</v>
      </c>
      <c r="AU4" s="91">
        <f>SUM(AS4/AT4)</f>
        <v>2.9688010594568565E-2</v>
      </c>
      <c r="AW4" s="92" t="s">
        <v>1635</v>
      </c>
      <c r="AX4" s="93">
        <f>SUM(1114+3544+2492)</f>
        <v>7150</v>
      </c>
      <c r="AY4" s="94">
        <f>SUM(14830+9012+7705)</f>
        <v>31547</v>
      </c>
      <c r="AZ4" s="94">
        <f>SUM(AX4:AY4)</f>
        <v>38697</v>
      </c>
      <c r="BA4" s="95">
        <f>SUM(741819+419387)</f>
        <v>1161206</v>
      </c>
      <c r="BB4" s="96">
        <f>SUM(AZ4/BA4)</f>
        <v>3.3324836420066721E-2</v>
      </c>
      <c r="BC4" s="97" t="s">
        <v>1636</v>
      </c>
      <c r="BE4" s="561" t="s">
        <v>1637</v>
      </c>
      <c r="BF4" s="562"/>
      <c r="BG4" s="562"/>
      <c r="BH4" s="562"/>
      <c r="BI4" s="562"/>
      <c r="BJ4" s="562"/>
      <c r="BK4" s="563"/>
      <c r="BM4" s="561" t="s">
        <v>1637</v>
      </c>
      <c r="BN4" s="562"/>
      <c r="BO4" s="562"/>
      <c r="BP4" s="562"/>
      <c r="BQ4" s="562"/>
      <c r="BR4" s="562"/>
      <c r="BS4" s="564"/>
      <c r="BU4" s="561" t="s">
        <v>1637</v>
      </c>
      <c r="BV4" s="562"/>
      <c r="BW4" s="562"/>
      <c r="BX4" s="562"/>
      <c r="BY4" s="562"/>
      <c r="BZ4" s="562"/>
      <c r="CA4" s="563"/>
      <c r="CC4" s="561" t="s">
        <v>1637</v>
      </c>
      <c r="CD4" s="562"/>
      <c r="CE4" s="562"/>
      <c r="CF4" s="562"/>
      <c r="CG4" s="562"/>
      <c r="CH4" s="562"/>
      <c r="CI4" s="563"/>
      <c r="CK4" s="561" t="s">
        <v>1637</v>
      </c>
      <c r="CL4" s="562"/>
      <c r="CM4" s="562"/>
      <c r="CN4" s="562"/>
      <c r="CO4" s="562"/>
      <c r="CP4" s="562"/>
      <c r="CQ4" s="563"/>
      <c r="CS4" s="561" t="s">
        <v>1637</v>
      </c>
      <c r="CT4" s="562"/>
      <c r="CU4" s="562"/>
      <c r="CV4" s="562"/>
      <c r="CW4" s="562"/>
      <c r="CX4" s="562"/>
      <c r="CY4" s="563"/>
      <c r="DA4" s="561" t="s">
        <v>1637</v>
      </c>
      <c r="DB4" s="562"/>
      <c r="DC4" s="562"/>
      <c r="DD4" s="562"/>
      <c r="DE4" s="562"/>
      <c r="DF4" s="562"/>
      <c r="DG4" s="563"/>
      <c r="DJ4" s="561" t="s">
        <v>1637</v>
      </c>
      <c r="DK4" s="562"/>
      <c r="DL4" s="562"/>
      <c r="DM4" s="562"/>
      <c r="DN4" s="562"/>
      <c r="DO4" s="562"/>
      <c r="DP4" s="563"/>
      <c r="DS4" s="561" t="s">
        <v>1637</v>
      </c>
      <c r="DT4" s="562"/>
      <c r="DU4" s="562"/>
      <c r="DV4" s="562"/>
      <c r="DW4" s="562"/>
      <c r="DX4" s="562"/>
      <c r="DY4" s="563"/>
      <c r="EB4" s="561" t="s">
        <v>1637</v>
      </c>
      <c r="EC4" s="562"/>
      <c r="ED4" s="562"/>
      <c r="EE4" s="562"/>
      <c r="EF4" s="562"/>
      <c r="EG4" s="562"/>
      <c r="EH4" s="563"/>
      <c r="EK4" s="561" t="s">
        <v>1637</v>
      </c>
      <c r="EL4" s="562"/>
      <c r="EM4" s="562"/>
      <c r="EN4" s="562"/>
      <c r="EO4" s="562"/>
      <c r="EP4" s="562"/>
      <c r="EQ4" s="563"/>
      <c r="ES4" s="561" t="s">
        <v>1637</v>
      </c>
      <c r="ET4" s="562"/>
      <c r="EU4" s="562"/>
      <c r="EV4" s="562"/>
      <c r="EW4" s="562"/>
      <c r="EX4" s="562"/>
      <c r="EY4" s="563"/>
      <c r="FA4" s="561" t="s">
        <v>1637</v>
      </c>
      <c r="FB4" s="562"/>
      <c r="FC4" s="562"/>
      <c r="FD4" s="562"/>
      <c r="FE4" s="562"/>
      <c r="FF4" s="562"/>
      <c r="FG4" s="563"/>
      <c r="FI4" s="561" t="s">
        <v>1637</v>
      </c>
      <c r="FJ4" s="562"/>
      <c r="FK4" s="562"/>
      <c r="FL4" s="562"/>
      <c r="FM4" s="562"/>
      <c r="FN4" s="562"/>
      <c r="FO4" s="563"/>
      <c r="FQ4" s="561" t="s">
        <v>1637</v>
      </c>
      <c r="FR4" s="562"/>
      <c r="FS4" s="562"/>
      <c r="FT4" s="562"/>
      <c r="FU4" s="562"/>
      <c r="FV4" s="562"/>
      <c r="FW4" s="563"/>
    </row>
    <row r="5" spans="2:179">
      <c r="B5" s="86" t="s">
        <v>1638</v>
      </c>
      <c r="C5" s="87">
        <f>SUM(16+20+9)</f>
        <v>45</v>
      </c>
      <c r="D5" s="88">
        <f>SUM(9642+2074+1519)</f>
        <v>13235</v>
      </c>
      <c r="E5" s="88">
        <f t="shared" si="0"/>
        <v>13280</v>
      </c>
      <c r="G5" s="86" t="s">
        <v>1638</v>
      </c>
      <c r="H5" s="87">
        <f>SUM(15+35+25)</f>
        <v>75</v>
      </c>
      <c r="I5" s="88">
        <f>SUM(10026+2210+1647)</f>
        <v>13883</v>
      </c>
      <c r="J5" s="88">
        <f t="shared" si="1"/>
        <v>13958</v>
      </c>
      <c r="L5" s="86" t="s">
        <v>1638</v>
      </c>
      <c r="M5" s="89">
        <f>SUM(226+345+231)</f>
        <v>802</v>
      </c>
      <c r="N5" s="88">
        <f>SUM(10414+2449+1807)</f>
        <v>14670</v>
      </c>
      <c r="O5" s="88">
        <f t="shared" ref="O5:O10" si="2">SUM(M5:N5)</f>
        <v>15472</v>
      </c>
      <c r="Q5" s="86" t="s">
        <v>1638</v>
      </c>
      <c r="R5" s="89">
        <f>SUM(239+410+256)</f>
        <v>905</v>
      </c>
      <c r="S5" s="88">
        <f>SUM(10824+2686+1930)</f>
        <v>15440</v>
      </c>
      <c r="T5" s="88">
        <f t="shared" ref="T5:T10" si="3">SUM(R5:S5)</f>
        <v>16345</v>
      </c>
      <c r="V5" s="86" t="s">
        <v>1638</v>
      </c>
      <c r="W5" s="89">
        <f>SUM(234+477+262)</f>
        <v>973</v>
      </c>
      <c r="X5" s="88">
        <f>SUM(11228+2839+2102)</f>
        <v>16169</v>
      </c>
      <c r="Y5" s="88">
        <f t="shared" ref="Y5:Y10" si="4">SUM(W5:X5)</f>
        <v>17142</v>
      </c>
      <c r="AA5" s="86" t="s">
        <v>1638</v>
      </c>
      <c r="AB5" s="89">
        <f>SUM(242+658+292)</f>
        <v>1192</v>
      </c>
      <c r="AC5" s="88">
        <f>SUM(11582+3212+2284)</f>
        <v>17078</v>
      </c>
      <c r="AD5" s="88">
        <f t="shared" ref="AD5:AD10" si="5">SUM(AB5:AC5)</f>
        <v>18270</v>
      </c>
      <c r="AF5" s="86" t="s">
        <v>1638</v>
      </c>
      <c r="AG5" s="89">
        <f>SUM(261+922+347)</f>
        <v>1530</v>
      </c>
      <c r="AH5" s="88">
        <f>SUM(12330+3648+2517)</f>
        <v>18495</v>
      </c>
      <c r="AI5" s="88">
        <f t="shared" ref="AI5:AI10" si="6">SUM(AG5:AH5)</f>
        <v>20025</v>
      </c>
      <c r="AK5" s="86" t="s">
        <v>1638</v>
      </c>
      <c r="AL5" s="89">
        <f>SUM(301+1134+381)</f>
        <v>1816</v>
      </c>
      <c r="AM5" s="88">
        <f>SUM(13264+4165+2806)</f>
        <v>20235</v>
      </c>
      <c r="AN5" s="88">
        <f t="shared" ref="AN5:AN10" si="7">SUM(AL5:AM5)</f>
        <v>22051</v>
      </c>
      <c r="AP5" s="86" t="s">
        <v>1638</v>
      </c>
      <c r="AQ5" s="89">
        <f>SUM(329+1275+429)</f>
        <v>2033</v>
      </c>
      <c r="AR5" s="88">
        <f>SUM(14223+4733+3203)</f>
        <v>22159</v>
      </c>
      <c r="AS5" s="88">
        <f t="shared" ref="AS5:AS10" si="8">SUM(AQ5:AR5)</f>
        <v>24192</v>
      </c>
      <c r="AT5" s="90">
        <f>SUM(352022+46041)</f>
        <v>398063</v>
      </c>
      <c r="AU5" s="91">
        <f>SUM(AS5/AT5)</f>
        <v>6.0774299545549325E-2</v>
      </c>
      <c r="AW5" s="86" t="s">
        <v>1638</v>
      </c>
      <c r="AX5" s="89">
        <f>SUM(374+1455+484)</f>
        <v>2313</v>
      </c>
      <c r="AY5" s="88">
        <f>SUM(15384+5310+3634)</f>
        <v>24328</v>
      </c>
      <c r="AZ5" s="88">
        <f t="shared" ref="AZ5:AZ10" si="9">SUM(AX5:AY5)</f>
        <v>26641</v>
      </c>
      <c r="BA5" s="90">
        <f>SUM(352323+46192)</f>
        <v>398515</v>
      </c>
      <c r="BB5" s="91">
        <f>SUM(AZ5/BA5)</f>
        <v>6.6850683161236088E-2</v>
      </c>
      <c r="BC5" s="97" t="s">
        <v>1639</v>
      </c>
      <c r="BE5" s="92" t="s">
        <v>1635</v>
      </c>
      <c r="BF5" s="93">
        <v>1259</v>
      </c>
      <c r="BG5" s="94">
        <v>16194</v>
      </c>
      <c r="BH5" s="94">
        <f t="shared" ref="BH5:BH11" si="10">SUM(BF5:BG5)</f>
        <v>17453</v>
      </c>
      <c r="BI5" s="95">
        <v>740442</v>
      </c>
      <c r="BJ5" s="96">
        <f>SUM(BH5/BI5)</f>
        <v>2.3571056206968269E-2</v>
      </c>
      <c r="BK5" s="97" t="s">
        <v>1640</v>
      </c>
      <c r="BM5" s="98" t="s">
        <v>1635</v>
      </c>
      <c r="BN5" s="99">
        <v>1440</v>
      </c>
      <c r="BO5" s="100">
        <v>17694</v>
      </c>
      <c r="BP5" s="100">
        <f t="shared" ref="BP5:BP11" si="11">SUM(BN5:BO5)</f>
        <v>19134</v>
      </c>
      <c r="BQ5" s="101">
        <v>743217</v>
      </c>
      <c r="BR5" s="102">
        <f>SUM(BP5/BQ5)</f>
        <v>2.5744836299492611E-2</v>
      </c>
      <c r="BS5" s="103" t="s">
        <v>1641</v>
      </c>
      <c r="BU5" s="92" t="s">
        <v>1635</v>
      </c>
      <c r="BV5" s="93">
        <v>1821</v>
      </c>
      <c r="BW5" s="94">
        <v>19095</v>
      </c>
      <c r="BX5" s="94">
        <f t="shared" ref="BX5:BX11" si="12">SUM(BV5:BW5)</f>
        <v>20916</v>
      </c>
      <c r="BY5" s="95">
        <v>750139</v>
      </c>
      <c r="BZ5" s="96">
        <f>SUM(BX5/BY5)</f>
        <v>2.788283238173192E-2</v>
      </c>
      <c r="CA5" s="97" t="s">
        <v>1642</v>
      </c>
      <c r="CC5" s="92" t="s">
        <v>1635</v>
      </c>
      <c r="CD5" s="93">
        <v>5616</v>
      </c>
      <c r="CE5" s="94">
        <v>20543</v>
      </c>
      <c r="CF5" s="94">
        <f t="shared" ref="CF5:CF10" si="13">SUM(CD5:CE5)</f>
        <v>26159</v>
      </c>
      <c r="CG5" s="95">
        <v>752401</v>
      </c>
      <c r="CH5" s="96">
        <f>SUM(CF5/CG5)</f>
        <v>3.4767364743002731E-2</v>
      </c>
      <c r="CI5" s="97" t="s">
        <v>1643</v>
      </c>
      <c r="CK5" s="92" t="s">
        <v>1635</v>
      </c>
      <c r="CL5" s="93">
        <v>11865</v>
      </c>
      <c r="CM5" s="94">
        <v>21873</v>
      </c>
      <c r="CN5" s="94">
        <f t="shared" ref="CN5:CN10" si="14">SUM(CL5:CM5)</f>
        <v>33738</v>
      </c>
      <c r="CO5" s="95">
        <v>751138</v>
      </c>
      <c r="CP5" s="96">
        <f>SUM(CN5/CO5)</f>
        <v>4.4915847687109427E-2</v>
      </c>
      <c r="CQ5" s="97" t="s">
        <v>1644</v>
      </c>
      <c r="CS5" s="92" t="s">
        <v>1635</v>
      </c>
      <c r="CT5" s="93">
        <v>12514</v>
      </c>
      <c r="CU5" s="94">
        <v>23432</v>
      </c>
      <c r="CV5" s="94">
        <f t="shared" ref="CV5:CV10" si="15">SUM(CT5:CU5)</f>
        <v>35946</v>
      </c>
      <c r="CW5" s="95">
        <v>744724</v>
      </c>
      <c r="CX5" s="96">
        <f>SUM(CV5/CW5)</f>
        <v>4.8267546097614689E-2</v>
      </c>
      <c r="CY5" s="97" t="s">
        <v>1645</v>
      </c>
      <c r="DA5" s="92" t="s">
        <v>1635</v>
      </c>
      <c r="DB5" s="93">
        <v>13465</v>
      </c>
      <c r="DC5" s="94">
        <v>25815</v>
      </c>
      <c r="DD5" s="94">
        <f t="shared" ref="DD5:DD10" si="16">SUM(DB5:DC5)</f>
        <v>39280</v>
      </c>
      <c r="DE5" s="104">
        <v>735893</v>
      </c>
      <c r="DF5" s="96">
        <f>SUM(DD5/DE5)</f>
        <v>5.3377325236141665E-2</v>
      </c>
      <c r="DG5" s="97" t="s">
        <v>1646</v>
      </c>
      <c r="DJ5" s="92" t="s">
        <v>1635</v>
      </c>
      <c r="DK5" s="93">
        <v>13938</v>
      </c>
      <c r="DL5" s="94">
        <v>27366</v>
      </c>
      <c r="DM5" s="94">
        <f t="shared" ref="DM5:DM10" si="17">SUM(DK5:DL5)</f>
        <v>41304</v>
      </c>
      <c r="DN5" s="104">
        <v>729958</v>
      </c>
      <c r="DO5" s="96">
        <f>SUM(DM5/DN5)</f>
        <v>5.6584077440071892E-2</v>
      </c>
      <c r="DP5" s="97" t="s">
        <v>1647</v>
      </c>
      <c r="DS5" s="92" t="s">
        <v>1635</v>
      </c>
      <c r="DT5" s="93">
        <v>14490</v>
      </c>
      <c r="DU5" s="94">
        <v>29951</v>
      </c>
      <c r="DV5" s="94">
        <f t="shared" ref="DV5:DV10" si="18">SUM(DT5:DU5)</f>
        <v>44441</v>
      </c>
      <c r="DW5" s="104">
        <v>729958</v>
      </c>
      <c r="DX5" s="96">
        <f>SUM(DV5/DW5)</f>
        <v>6.0881584967902261E-2</v>
      </c>
      <c r="DY5" s="97" t="s">
        <v>1648</v>
      </c>
      <c r="EB5" s="92" t="s">
        <v>1635</v>
      </c>
      <c r="EC5" s="93">
        <v>14744</v>
      </c>
      <c r="ED5" s="94">
        <v>31490</v>
      </c>
      <c r="EE5" s="94">
        <f t="shared" ref="EE5:EE10" si="19">SUM(EC5:ED5)</f>
        <v>46234</v>
      </c>
      <c r="EF5" s="104">
        <v>715422</v>
      </c>
      <c r="EG5" s="96">
        <f>SUM(EE5/EF5)</f>
        <v>6.4624794876310759E-2</v>
      </c>
      <c r="EH5" s="105">
        <v>6.0900000000000003E-2</v>
      </c>
      <c r="EK5" s="92" t="s">
        <v>1635</v>
      </c>
      <c r="EL5" s="93">
        <v>15363</v>
      </c>
      <c r="EM5" s="94">
        <v>34601</v>
      </c>
      <c r="EN5" s="94">
        <f t="shared" ref="EN5:EN10" si="20">SUM(EL5:EM5)</f>
        <v>49964</v>
      </c>
      <c r="EO5" s="104">
        <v>715422</v>
      </c>
      <c r="EP5" s="96">
        <f>SUM(EN5/EO5)</f>
        <v>6.9838500912748E-2</v>
      </c>
      <c r="EQ5" s="105">
        <v>6.4624794876310759E-2</v>
      </c>
      <c r="ES5" s="92" t="s">
        <v>1635</v>
      </c>
      <c r="ET5" s="106">
        <v>20736</v>
      </c>
      <c r="EU5" s="107">
        <v>42401</v>
      </c>
      <c r="EV5" s="108">
        <f t="shared" ref="EV5:EV10" si="21">SUM(ET5:EU5)</f>
        <v>63137</v>
      </c>
      <c r="EW5" s="104">
        <v>708706</v>
      </c>
      <c r="EX5" s="96">
        <f>SUM(EV5/EW5)</f>
        <v>8.9087717614920708E-2</v>
      </c>
      <c r="EY5" s="105">
        <v>6.9838500912748E-2</v>
      </c>
      <c r="FA5" s="92" t="s">
        <v>1635</v>
      </c>
      <c r="FB5" s="106">
        <f>17676+2593</f>
        <v>20269</v>
      </c>
      <c r="FC5" s="107">
        <f>72+24664+1594+24920</f>
        <v>51250</v>
      </c>
      <c r="FD5" s="108">
        <f t="shared" ref="FD5:FD10" si="22">SUM(FB5:FC5)</f>
        <v>71519</v>
      </c>
      <c r="FE5" s="104">
        <v>703961</v>
      </c>
      <c r="FF5" s="96">
        <f>SUM(FD5/FE5)</f>
        <v>0.10159511677493498</v>
      </c>
      <c r="FG5" s="105">
        <v>8.9099999999999999E-2</v>
      </c>
      <c r="FI5" s="92" t="s">
        <v>1635</v>
      </c>
      <c r="FJ5" s="106">
        <v>19868</v>
      </c>
      <c r="FK5" s="107">
        <v>56434</v>
      </c>
      <c r="FL5" s="108">
        <f t="shared" ref="FL5:FL10" si="23">SUM(FJ5:FK5)</f>
        <v>76302</v>
      </c>
      <c r="FM5" s="104">
        <v>707055</v>
      </c>
      <c r="FN5" s="96">
        <f>SUM(FL5/FM5)</f>
        <v>0.1079152258310881</v>
      </c>
      <c r="FO5" s="105">
        <v>0.1016</v>
      </c>
      <c r="FQ5" s="92" t="s">
        <v>1635</v>
      </c>
      <c r="FR5" s="106">
        <f>[1]actrpt!B159+[1]actrpt!B300</f>
        <v>19097</v>
      </c>
      <c r="FS5" s="107">
        <f>[1]actrpt!B75+[1]actrpt!B117+[1]actrpt!B202+[1]actrpt!B251</f>
        <v>64012</v>
      </c>
      <c r="FT5" s="108">
        <f t="shared" ref="FT5:FT10" si="24">SUM(FR5:FS5)</f>
        <v>83109</v>
      </c>
      <c r="FU5" s="104">
        <f>[1]html!N10</f>
        <v>707055</v>
      </c>
      <c r="FV5" s="96">
        <f>SUM(FT5/FU5)</f>
        <v>0.11754248255086237</v>
      </c>
      <c r="FW5" s="105">
        <v>0.10478240110598816</v>
      </c>
    </row>
    <row r="6" spans="2:179" ht="15" customHeight="1">
      <c r="B6" s="86" t="s">
        <v>1649</v>
      </c>
      <c r="C6" s="87">
        <f>SUM(8+18+0)</f>
        <v>26</v>
      </c>
      <c r="D6" s="88">
        <f>SUM(4170+1538+0)</f>
        <v>5708</v>
      </c>
      <c r="E6" s="88">
        <f t="shared" si="0"/>
        <v>5734</v>
      </c>
      <c r="G6" s="86" t="s">
        <v>1649</v>
      </c>
      <c r="H6" s="87">
        <f>SUM(12+35+0)</f>
        <v>47</v>
      </c>
      <c r="I6" s="88">
        <f>SUM(4363+1618+0)</f>
        <v>5981</v>
      </c>
      <c r="J6" s="88">
        <f t="shared" si="1"/>
        <v>6028</v>
      </c>
      <c r="L6" s="86" t="s">
        <v>1649</v>
      </c>
      <c r="M6" s="89">
        <f>SUM(230+363+0)</f>
        <v>593</v>
      </c>
      <c r="N6" s="88">
        <f>SUM(4601+1784+0)</f>
        <v>6385</v>
      </c>
      <c r="O6" s="88">
        <f t="shared" si="2"/>
        <v>6978</v>
      </c>
      <c r="Q6" s="86" t="s">
        <v>1649</v>
      </c>
      <c r="R6" s="89">
        <f>SUM(252+412+0)</f>
        <v>664</v>
      </c>
      <c r="S6" s="88">
        <f>SUM(4879+1916+0)</f>
        <v>6795</v>
      </c>
      <c r="T6" s="88">
        <f t="shared" si="3"/>
        <v>7459</v>
      </c>
      <c r="V6" s="86" t="s">
        <v>1649</v>
      </c>
      <c r="W6" s="89">
        <f>SUM(251+455+0)</f>
        <v>706</v>
      </c>
      <c r="X6" s="88">
        <f>SUM(5111+2045+0)</f>
        <v>7156</v>
      </c>
      <c r="Y6" s="88">
        <f t="shared" si="4"/>
        <v>7862</v>
      </c>
      <c r="AA6" s="86" t="s">
        <v>1649</v>
      </c>
      <c r="AB6" s="89">
        <f>SUM(252+616+0)</f>
        <v>868</v>
      </c>
      <c r="AC6" s="88">
        <f>SUM(5387+2260+0)</f>
        <v>7647</v>
      </c>
      <c r="AD6" s="88">
        <f t="shared" si="5"/>
        <v>8515</v>
      </c>
      <c r="AF6" s="86" t="s">
        <v>1649</v>
      </c>
      <c r="AG6" s="89">
        <f>SUM(278+828+0)</f>
        <v>1106</v>
      </c>
      <c r="AH6" s="88">
        <f>SUM(5845+2560+0)</f>
        <v>8405</v>
      </c>
      <c r="AI6" s="88">
        <f t="shared" si="6"/>
        <v>9511</v>
      </c>
      <c r="AK6" s="86" t="s">
        <v>1649</v>
      </c>
      <c r="AL6" s="89">
        <f>SUM(322+1039+0)</f>
        <v>1361</v>
      </c>
      <c r="AM6" s="88">
        <f>SUM(6390+2935+0)</f>
        <v>9325</v>
      </c>
      <c r="AN6" s="88">
        <f t="shared" si="7"/>
        <v>10686</v>
      </c>
      <c r="AP6" s="86" t="s">
        <v>1649</v>
      </c>
      <c r="AQ6" s="89">
        <f>SUM(389+1187+0)</f>
        <v>1576</v>
      </c>
      <c r="AR6" s="88">
        <f>SUM(7606+3441+0)</f>
        <v>11047</v>
      </c>
      <c r="AS6" s="88">
        <f t="shared" si="8"/>
        <v>12623</v>
      </c>
      <c r="AT6" s="90">
        <f>SUM(378218+136150)</f>
        <v>514368</v>
      </c>
      <c r="AU6" s="91">
        <f>SUM(AS6/AT6)</f>
        <v>2.4540795694911036E-2</v>
      </c>
      <c r="AW6" s="86" t="s">
        <v>1649</v>
      </c>
      <c r="AX6" s="89">
        <f>SUM(455+1373+0)</f>
        <v>1828</v>
      </c>
      <c r="AY6" s="88">
        <f>SUM(8503+3913+0)</f>
        <v>12416</v>
      </c>
      <c r="AZ6" s="88">
        <f t="shared" si="9"/>
        <v>14244</v>
      </c>
      <c r="BA6" s="90">
        <f>SUM(377607+135859)</f>
        <v>513466</v>
      </c>
      <c r="BB6" s="91">
        <f>SUM(AZ6/BA6)</f>
        <v>2.7740882551132891E-2</v>
      </c>
      <c r="BC6" s="97" t="s">
        <v>1650</v>
      </c>
      <c r="BE6" s="86" t="s">
        <v>1638</v>
      </c>
      <c r="BF6" s="89">
        <v>531</v>
      </c>
      <c r="BG6" s="88">
        <v>9550</v>
      </c>
      <c r="BH6" s="88">
        <f t="shared" si="10"/>
        <v>10081</v>
      </c>
      <c r="BI6" s="90">
        <v>351484</v>
      </c>
      <c r="BJ6" s="91">
        <f>SUM(BH6/BI6)</f>
        <v>2.8681248648587135E-2</v>
      </c>
      <c r="BK6" s="97" t="s">
        <v>1640</v>
      </c>
      <c r="BM6" s="109" t="s">
        <v>1638</v>
      </c>
      <c r="BN6" s="110">
        <v>644</v>
      </c>
      <c r="BO6" s="111">
        <v>10397</v>
      </c>
      <c r="BP6" s="111">
        <f t="shared" si="11"/>
        <v>11041</v>
      </c>
      <c r="BQ6" s="112">
        <v>351029</v>
      </c>
      <c r="BR6" s="113">
        <f>SUM(BP6/BQ6)</f>
        <v>3.1453241754954717E-2</v>
      </c>
      <c r="BS6" s="103" t="s">
        <v>1651</v>
      </c>
      <c r="BU6" s="86" t="s">
        <v>1638</v>
      </c>
      <c r="BV6" s="89">
        <v>831</v>
      </c>
      <c r="BW6" s="88">
        <v>11262</v>
      </c>
      <c r="BX6" s="88">
        <f t="shared" si="12"/>
        <v>12093</v>
      </c>
      <c r="BY6" s="90">
        <v>350616</v>
      </c>
      <c r="BZ6" s="91">
        <f>SUM(BX6/BY6)</f>
        <v>3.4490724895612293E-2</v>
      </c>
      <c r="CA6" s="97" t="s">
        <v>1652</v>
      </c>
      <c r="CC6" s="86" t="s">
        <v>1638</v>
      </c>
      <c r="CD6" s="89">
        <v>2852</v>
      </c>
      <c r="CE6" s="88">
        <v>12057</v>
      </c>
      <c r="CF6" s="88">
        <f t="shared" si="13"/>
        <v>14909</v>
      </c>
      <c r="CG6" s="90">
        <v>351715</v>
      </c>
      <c r="CH6" s="91">
        <f>SUM(CF6/CG6)</f>
        <v>4.2389434627468262E-2</v>
      </c>
      <c r="CI6" s="97" t="s">
        <v>1653</v>
      </c>
      <c r="CK6" s="86" t="s">
        <v>1638</v>
      </c>
      <c r="CL6" s="89">
        <v>6028</v>
      </c>
      <c r="CM6" s="88">
        <v>12600</v>
      </c>
      <c r="CN6" s="88">
        <f t="shared" si="14"/>
        <v>18628</v>
      </c>
      <c r="CO6" s="90">
        <v>350374</v>
      </c>
      <c r="CP6" s="91">
        <f>SUM(CN6/CO6)</f>
        <v>5.3166045425745059E-2</v>
      </c>
      <c r="CQ6" s="97" t="s">
        <v>1654</v>
      </c>
      <c r="CS6" s="86" t="s">
        <v>1638</v>
      </c>
      <c r="CT6" s="89">
        <v>6476</v>
      </c>
      <c r="CU6" s="88">
        <v>13548</v>
      </c>
      <c r="CV6" s="88">
        <f t="shared" si="15"/>
        <v>20024</v>
      </c>
      <c r="CW6" s="90">
        <v>348580</v>
      </c>
      <c r="CX6" s="91">
        <f>SUM(CV6/CW6)</f>
        <v>5.7444489069940902E-2</v>
      </c>
      <c r="CY6" s="97" t="s">
        <v>1655</v>
      </c>
      <c r="DA6" s="86" t="s">
        <v>1638</v>
      </c>
      <c r="DB6" s="89">
        <v>7120</v>
      </c>
      <c r="DC6" s="88">
        <v>15440</v>
      </c>
      <c r="DD6" s="88">
        <f t="shared" si="16"/>
        <v>22560</v>
      </c>
      <c r="DE6" s="104">
        <v>346628</v>
      </c>
      <c r="DF6" s="91">
        <f>SUM(DD6/DE6)</f>
        <v>6.508418246650588E-2</v>
      </c>
      <c r="DG6" s="97" t="s">
        <v>1656</v>
      </c>
      <c r="DJ6" s="86" t="s">
        <v>1638</v>
      </c>
      <c r="DK6" s="89">
        <v>7470</v>
      </c>
      <c r="DL6" s="88">
        <v>16631</v>
      </c>
      <c r="DM6" s="88">
        <f t="shared" si="17"/>
        <v>24101</v>
      </c>
      <c r="DN6" s="104">
        <v>345105</v>
      </c>
      <c r="DO6" s="91">
        <f>SUM(DM6/DN6)</f>
        <v>6.9836716361687021E-2</v>
      </c>
      <c r="DP6" s="97" t="s">
        <v>1657</v>
      </c>
      <c r="DS6" s="86" t="s">
        <v>1638</v>
      </c>
      <c r="DT6" s="89">
        <v>7773</v>
      </c>
      <c r="DU6" s="88">
        <v>18118</v>
      </c>
      <c r="DV6" s="88">
        <f t="shared" si="18"/>
        <v>25891</v>
      </c>
      <c r="DW6" s="104">
        <v>345105</v>
      </c>
      <c r="DX6" s="91">
        <f>SUM(DV6/DW6)</f>
        <v>7.5023543559206624E-2</v>
      </c>
      <c r="DY6" s="97" t="s">
        <v>1658</v>
      </c>
      <c r="EB6" s="86" t="s">
        <v>1638</v>
      </c>
      <c r="EC6" s="89">
        <v>7827</v>
      </c>
      <c r="ED6" s="88">
        <v>19177</v>
      </c>
      <c r="EE6" s="88">
        <f t="shared" si="19"/>
        <v>27004</v>
      </c>
      <c r="EF6" s="104">
        <v>343767</v>
      </c>
      <c r="EG6" s="91">
        <f>SUM(EE6/EF6)</f>
        <v>7.8553206095989439E-2</v>
      </c>
      <c r="EH6" s="105">
        <v>7.5023543559206624E-2</v>
      </c>
      <c r="EK6" s="86" t="s">
        <v>1638</v>
      </c>
      <c r="EL6" s="89">
        <v>8102</v>
      </c>
      <c r="EM6" s="88">
        <v>20466</v>
      </c>
      <c r="EN6" s="88">
        <f t="shared" si="20"/>
        <v>28568</v>
      </c>
      <c r="EO6" s="104">
        <v>343767</v>
      </c>
      <c r="EP6" s="91">
        <f>SUM(EN6/EO6)</f>
        <v>8.3102799279744705E-2</v>
      </c>
      <c r="EQ6" s="105">
        <v>7.8553206095989439E-2</v>
      </c>
      <c r="ES6" s="86" t="s">
        <v>1638</v>
      </c>
      <c r="ET6" s="114">
        <v>9676</v>
      </c>
      <c r="EU6" s="108">
        <v>26770</v>
      </c>
      <c r="EV6" s="108">
        <f t="shared" si="21"/>
        <v>36446</v>
      </c>
      <c r="EW6" s="104">
        <v>342697</v>
      </c>
      <c r="EX6" s="91">
        <f>SUM(EV6/EW6)</f>
        <v>0.10635050788305704</v>
      </c>
      <c r="EY6" s="105">
        <v>8.3102799279744705E-2</v>
      </c>
      <c r="FA6" s="86" t="s">
        <v>1638</v>
      </c>
      <c r="FB6" s="114">
        <f>8266+1608</f>
        <v>9874</v>
      </c>
      <c r="FC6" s="108">
        <f>38+14505+724+22095</f>
        <v>37362</v>
      </c>
      <c r="FD6" s="108">
        <f t="shared" si="22"/>
        <v>47236</v>
      </c>
      <c r="FE6" s="104">
        <v>342432</v>
      </c>
      <c r="FF6" s="91">
        <f>SUM(FD6/FE6)</f>
        <v>0.13794271563405289</v>
      </c>
      <c r="FG6" s="105">
        <v>0.10639999999999999</v>
      </c>
      <c r="FI6" s="86" t="s">
        <v>1638</v>
      </c>
      <c r="FJ6" s="114">
        <v>9700</v>
      </c>
      <c r="FK6" s="108">
        <v>39988</v>
      </c>
      <c r="FL6" s="108">
        <f t="shared" si="23"/>
        <v>49688</v>
      </c>
      <c r="FM6" s="104">
        <v>342914</v>
      </c>
      <c r="FN6" s="91">
        <f>SUM(FL6/FM6)</f>
        <v>0.14489930419872038</v>
      </c>
      <c r="FO6" s="105">
        <v>0.13789999999999999</v>
      </c>
      <c r="FQ6" s="86" t="s">
        <v>1638</v>
      </c>
      <c r="FR6" s="114">
        <f>[1]actrpt!B161+[1]actrpt!B302</f>
        <v>9405</v>
      </c>
      <c r="FS6" s="108">
        <f>[1]actrpt!B77+[1]actrpt!B119+[1]actrpt!B204+[1]actrpt!B253</f>
        <v>48930</v>
      </c>
      <c r="FT6" s="108">
        <f t="shared" si="24"/>
        <v>58335</v>
      </c>
      <c r="FU6" s="104">
        <f>[1]html!N11</f>
        <v>342914</v>
      </c>
      <c r="FV6" s="91">
        <f>SUM(FT6/FU6)</f>
        <v>0.17011553917308714</v>
      </c>
      <c r="FW6" s="105">
        <v>0.14820786959950924</v>
      </c>
    </row>
    <row r="7" spans="2:179">
      <c r="B7" s="86" t="s">
        <v>1659</v>
      </c>
      <c r="C7" s="87">
        <f>SUM(13+18+0)</f>
        <v>31</v>
      </c>
      <c r="D7" s="88">
        <f>SUM(1090+499+0)</f>
        <v>1589</v>
      </c>
      <c r="E7" s="88">
        <f t="shared" si="0"/>
        <v>1620</v>
      </c>
      <c r="G7" s="86" t="s">
        <v>1659</v>
      </c>
      <c r="H7" s="87">
        <f>SUM(17+39+0)</f>
        <v>56</v>
      </c>
      <c r="I7" s="88">
        <f>SUM(1163+539+0)</f>
        <v>1702</v>
      </c>
      <c r="J7" s="88">
        <f t="shared" si="1"/>
        <v>1758</v>
      </c>
      <c r="L7" s="86" t="s">
        <v>1659</v>
      </c>
      <c r="M7" s="89">
        <f>SUM(109+335+0)</f>
        <v>444</v>
      </c>
      <c r="N7" s="88">
        <f>SUM(1228+610+0)</f>
        <v>1838</v>
      </c>
      <c r="O7" s="88">
        <f t="shared" si="2"/>
        <v>2282</v>
      </c>
      <c r="Q7" s="86" t="s">
        <v>1659</v>
      </c>
      <c r="R7" s="89">
        <f>SUM(109+392+0)</f>
        <v>501</v>
      </c>
      <c r="S7" s="88">
        <f>SUM(1332+642+0)</f>
        <v>1974</v>
      </c>
      <c r="T7" s="88">
        <f t="shared" si="3"/>
        <v>2475</v>
      </c>
      <c r="V7" s="86" t="s">
        <v>1659</v>
      </c>
      <c r="W7" s="89">
        <f>SUM(110+444+0)</f>
        <v>554</v>
      </c>
      <c r="X7" s="88">
        <f>SUM(1400+682+0)</f>
        <v>2082</v>
      </c>
      <c r="Y7" s="88">
        <f t="shared" si="4"/>
        <v>2636</v>
      </c>
      <c r="AA7" s="86" t="s">
        <v>1659</v>
      </c>
      <c r="AB7" s="89">
        <f>SUM(115+630+0)</f>
        <v>745</v>
      </c>
      <c r="AC7" s="88">
        <f>SUM(1490+784+0)</f>
        <v>2274</v>
      </c>
      <c r="AD7" s="88">
        <f t="shared" si="5"/>
        <v>3019</v>
      </c>
      <c r="AF7" s="86" t="s">
        <v>1659</v>
      </c>
      <c r="AG7" s="89">
        <f>SUM(126+923+0)</f>
        <v>1049</v>
      </c>
      <c r="AH7" s="88">
        <f>SUM(1637+917+0)</f>
        <v>2554</v>
      </c>
      <c r="AI7" s="88">
        <f t="shared" si="6"/>
        <v>3603</v>
      </c>
      <c r="AK7" s="86" t="s">
        <v>1659</v>
      </c>
      <c r="AL7" s="89">
        <f>SUM(134+1157+0)</f>
        <v>1291</v>
      </c>
      <c r="AM7" s="88">
        <f>SUM(1942+1089+0)</f>
        <v>3031</v>
      </c>
      <c r="AN7" s="88">
        <f t="shared" si="7"/>
        <v>4322</v>
      </c>
      <c r="AP7" s="86" t="s">
        <v>1659</v>
      </c>
      <c r="AQ7" s="89">
        <f>SUM(180+1359+0)</f>
        <v>1539</v>
      </c>
      <c r="AR7" s="88">
        <f>SUM(2241+1332+0)</f>
        <v>3573</v>
      </c>
      <c r="AS7" s="88">
        <f t="shared" si="8"/>
        <v>5112</v>
      </c>
      <c r="AT7" s="90">
        <f>SUM(213850+30948)</f>
        <v>244798</v>
      </c>
      <c r="AU7" s="91">
        <f>SUM(AS7/AT7)</f>
        <v>2.0882523550029005E-2</v>
      </c>
      <c r="AW7" s="86" t="s">
        <v>1659</v>
      </c>
      <c r="AX7" s="89">
        <f>SUM(217+1535+0)</f>
        <v>1752</v>
      </c>
      <c r="AY7" s="88">
        <f>SUM(2599+1522+0)</f>
        <v>4121</v>
      </c>
      <c r="AZ7" s="88">
        <f t="shared" si="9"/>
        <v>5873</v>
      </c>
      <c r="BA7" s="90">
        <f>SUM(214146+30352)</f>
        <v>244498</v>
      </c>
      <c r="BB7" s="91">
        <f>SUM(AZ7/BA7)</f>
        <v>2.4020646385655507E-2</v>
      </c>
      <c r="BC7" s="97" t="s">
        <v>1660</v>
      </c>
      <c r="BE7" s="86" t="s">
        <v>1649</v>
      </c>
      <c r="BF7" s="89">
        <v>445</v>
      </c>
      <c r="BG7" s="88">
        <v>16410</v>
      </c>
      <c r="BH7" s="88">
        <f t="shared" si="10"/>
        <v>16855</v>
      </c>
      <c r="BI7" s="90">
        <v>377964</v>
      </c>
      <c r="BJ7" s="91">
        <f>SUM(BH7/BI7)</f>
        <v>4.4594194156057192E-2</v>
      </c>
      <c r="BK7" s="97" t="s">
        <v>1640</v>
      </c>
      <c r="BM7" s="109" t="s">
        <v>1649</v>
      </c>
      <c r="BN7" s="110">
        <v>550</v>
      </c>
      <c r="BO7" s="111">
        <v>17578</v>
      </c>
      <c r="BP7" s="111">
        <f t="shared" si="11"/>
        <v>18128</v>
      </c>
      <c r="BQ7" s="112">
        <v>378586</v>
      </c>
      <c r="BR7" s="113">
        <f>SUM(BP7/BQ7)</f>
        <v>4.78834399581601E-2</v>
      </c>
      <c r="BS7" s="103" t="s">
        <v>1661</v>
      </c>
      <c r="BU7" s="86" t="s">
        <v>1649</v>
      </c>
      <c r="BV7" s="89">
        <v>705</v>
      </c>
      <c r="BW7" s="88">
        <v>18727</v>
      </c>
      <c r="BX7" s="88">
        <f t="shared" si="12"/>
        <v>19432</v>
      </c>
      <c r="BY7" s="90">
        <v>379077</v>
      </c>
      <c r="BZ7" s="91">
        <f>SUM(BX7/BY7)</f>
        <v>5.1261353234303322E-2</v>
      </c>
      <c r="CA7" s="97" t="s">
        <v>1662</v>
      </c>
      <c r="CC7" s="86" t="s">
        <v>1649</v>
      </c>
      <c r="CD7" s="89">
        <v>2426</v>
      </c>
      <c r="CE7" s="88">
        <v>19999</v>
      </c>
      <c r="CF7" s="88">
        <f t="shared" si="13"/>
        <v>22425</v>
      </c>
      <c r="CG7" s="90">
        <v>378861</v>
      </c>
      <c r="CH7" s="91">
        <f>SUM(CF7/CG7)</f>
        <v>5.9190573851623685E-2</v>
      </c>
      <c r="CI7" s="97" t="s">
        <v>1663</v>
      </c>
      <c r="CK7" s="86" t="s">
        <v>1649</v>
      </c>
      <c r="CL7" s="89">
        <v>5655</v>
      </c>
      <c r="CM7" s="88">
        <v>20779</v>
      </c>
      <c r="CN7" s="88">
        <f t="shared" si="14"/>
        <v>26434</v>
      </c>
      <c r="CO7" s="90">
        <v>379965</v>
      </c>
      <c r="CP7" s="91">
        <f>SUM(CN7/CO7)</f>
        <v>6.9569565617885853E-2</v>
      </c>
      <c r="CQ7" s="97" t="s">
        <v>1663</v>
      </c>
      <c r="CS7" s="86" t="s">
        <v>1649</v>
      </c>
      <c r="CT7" s="89">
        <v>5922</v>
      </c>
      <c r="CU7" s="88">
        <v>21748</v>
      </c>
      <c r="CV7" s="88">
        <f t="shared" si="15"/>
        <v>27670</v>
      </c>
      <c r="CW7" s="90">
        <v>378735</v>
      </c>
      <c r="CX7" s="91">
        <f>SUM(CV7/CW7)</f>
        <v>7.3058999036265462E-2</v>
      </c>
      <c r="CY7" s="97" t="s">
        <v>1664</v>
      </c>
      <c r="DA7" s="86" t="s">
        <v>1649</v>
      </c>
      <c r="DB7" s="89">
        <v>6420</v>
      </c>
      <c r="DC7" s="88">
        <v>23730</v>
      </c>
      <c r="DD7" s="88">
        <f t="shared" si="16"/>
        <v>30150</v>
      </c>
      <c r="DE7" s="104">
        <v>375586</v>
      </c>
      <c r="DF7" s="91">
        <f>SUM(DD7/DE7)</f>
        <v>8.0274557624618589E-2</v>
      </c>
      <c r="DG7" s="97" t="s">
        <v>1665</v>
      </c>
      <c r="DJ7" s="86" t="s">
        <v>1649</v>
      </c>
      <c r="DK7" s="89">
        <v>6614</v>
      </c>
      <c r="DL7" s="88">
        <v>24751</v>
      </c>
      <c r="DM7" s="88">
        <f t="shared" si="17"/>
        <v>31365</v>
      </c>
      <c r="DN7" s="104">
        <v>375353</v>
      </c>
      <c r="DO7" s="91">
        <f>SUM(DM7/DN7)</f>
        <v>8.3561340924409824E-2</v>
      </c>
      <c r="DP7" s="97" t="s">
        <v>1666</v>
      </c>
      <c r="DS7" s="86" t="s">
        <v>1649</v>
      </c>
      <c r="DT7" s="89">
        <v>6891</v>
      </c>
      <c r="DU7" s="88">
        <v>26980</v>
      </c>
      <c r="DV7" s="88">
        <f t="shared" si="18"/>
        <v>33871</v>
      </c>
      <c r="DW7" s="104">
        <v>375353</v>
      </c>
      <c r="DX7" s="91">
        <f>SUM(DV7/DW7)</f>
        <v>9.0237722890186042E-2</v>
      </c>
      <c r="DY7" s="97" t="s">
        <v>1667</v>
      </c>
      <c r="EB7" s="86" t="s">
        <v>1649</v>
      </c>
      <c r="EC7" s="89">
        <v>7245</v>
      </c>
      <c r="ED7" s="88">
        <v>28204</v>
      </c>
      <c r="EE7" s="88">
        <f t="shared" si="19"/>
        <v>35449</v>
      </c>
      <c r="EF7" s="104">
        <v>376072</v>
      </c>
      <c r="EG7" s="91">
        <f>SUM(EE7/EF7)</f>
        <v>9.4261205301112552E-2</v>
      </c>
      <c r="EH7" s="105">
        <v>9.0237722890186042E-2</v>
      </c>
      <c r="EK7" s="86" t="s">
        <v>1649</v>
      </c>
      <c r="EL7" s="89">
        <v>7341</v>
      </c>
      <c r="EM7" s="88">
        <v>29337</v>
      </c>
      <c r="EN7" s="88">
        <f t="shared" si="20"/>
        <v>36678</v>
      </c>
      <c r="EO7" s="104">
        <v>376072</v>
      </c>
      <c r="EP7" s="91">
        <f>SUM(EN7/EO7)</f>
        <v>9.7529196536833368E-2</v>
      </c>
      <c r="EQ7" s="105">
        <v>9.4261205301112552E-2</v>
      </c>
      <c r="ES7" s="86" t="s">
        <v>1649</v>
      </c>
      <c r="ET7" s="114">
        <v>8384</v>
      </c>
      <c r="EU7" s="108">
        <v>33135</v>
      </c>
      <c r="EV7" s="108">
        <f t="shared" si="21"/>
        <v>41519</v>
      </c>
      <c r="EW7" s="104">
        <v>377221</v>
      </c>
      <c r="EX7" s="91">
        <f>SUM(EV7/EW7)</f>
        <v>0.11006545234756283</v>
      </c>
      <c r="EY7" s="105">
        <v>9.7529196536833368E-2</v>
      </c>
      <c r="FA7" s="86" t="s">
        <v>1649</v>
      </c>
      <c r="FB7" s="114">
        <f>7217+1316</f>
        <v>8533</v>
      </c>
      <c r="FC7" s="108">
        <f>16+20809+534+18529</f>
        <v>39888</v>
      </c>
      <c r="FD7" s="108">
        <f t="shared" si="22"/>
        <v>48421</v>
      </c>
      <c r="FE7" s="104">
        <v>377731</v>
      </c>
      <c r="FF7" s="91">
        <f>SUM(FD7/FE7)</f>
        <v>0.12818910812191744</v>
      </c>
      <c r="FG7" s="105">
        <v>0.1101</v>
      </c>
      <c r="FI7" s="86" t="s">
        <v>1649</v>
      </c>
      <c r="FJ7" s="114">
        <v>8491</v>
      </c>
      <c r="FK7" s="108">
        <v>42804</v>
      </c>
      <c r="FL7" s="108">
        <f t="shared" si="23"/>
        <v>51295</v>
      </c>
      <c r="FM7" s="104">
        <v>379654</v>
      </c>
      <c r="FN7" s="91">
        <f>SUM(FL7/FM7)</f>
        <v>0.13510986319122148</v>
      </c>
      <c r="FO7" s="105">
        <v>0.12820000000000001</v>
      </c>
      <c r="FQ7" s="86" t="s">
        <v>1649</v>
      </c>
      <c r="FR7" s="114">
        <f>[1]actrpt!B160+[1]actrpt!B301</f>
        <v>8085</v>
      </c>
      <c r="FS7" s="108">
        <f>[1]actrpt!B76+[1]actrpt!B118+[1]actrpt!B203+[1]actrpt!B252</f>
        <v>47753</v>
      </c>
      <c r="FT7" s="108">
        <f t="shared" si="24"/>
        <v>55838</v>
      </c>
      <c r="FU7" s="104">
        <f>[1]html!N13</f>
        <v>379654</v>
      </c>
      <c r="FV7" s="91">
        <f>SUM(FT7/FU7)</f>
        <v>0.14707602185147528</v>
      </c>
      <c r="FW7" s="105">
        <v>0.13335431554782093</v>
      </c>
    </row>
    <row r="8" spans="2:179">
      <c r="B8" s="86" t="s">
        <v>1668</v>
      </c>
      <c r="C8" s="87">
        <f>SUM(0+0+0)</f>
        <v>0</v>
      </c>
      <c r="D8" s="88">
        <f>SUM(390+107+0)</f>
        <v>497</v>
      </c>
      <c r="E8" s="88">
        <f t="shared" si="0"/>
        <v>497</v>
      </c>
      <c r="G8" s="86" t="s">
        <v>1668</v>
      </c>
      <c r="H8" s="87">
        <v>1</v>
      </c>
      <c r="I8" s="88">
        <f>SUM(414+111+0)</f>
        <v>525</v>
      </c>
      <c r="J8" s="88">
        <f t="shared" si="1"/>
        <v>526</v>
      </c>
      <c r="L8" s="86" t="s">
        <v>1668</v>
      </c>
      <c r="M8" s="89">
        <f>SUM(38+28+0)</f>
        <v>66</v>
      </c>
      <c r="N8" s="88">
        <f>SUM(437+121+0)</f>
        <v>558</v>
      </c>
      <c r="O8" s="88">
        <f t="shared" si="2"/>
        <v>624</v>
      </c>
      <c r="Q8" s="86" t="s">
        <v>1668</v>
      </c>
      <c r="R8" s="89">
        <f>SUM(39+41+0)</f>
        <v>80</v>
      </c>
      <c r="S8" s="88">
        <f>SUM(460+134+0)</f>
        <v>594</v>
      </c>
      <c r="T8" s="88">
        <f t="shared" si="3"/>
        <v>674</v>
      </c>
      <c r="V8" s="86" t="s">
        <v>1668</v>
      </c>
      <c r="W8" s="89">
        <f>SUM(42+41+0)</f>
        <v>83</v>
      </c>
      <c r="X8" s="88">
        <f>SUM(476+144+0)</f>
        <v>620</v>
      </c>
      <c r="Y8" s="88">
        <f t="shared" si="4"/>
        <v>703</v>
      </c>
      <c r="AA8" s="86" t="s">
        <v>1668</v>
      </c>
      <c r="AB8" s="89">
        <f>SUM(46+55+0)</f>
        <v>101</v>
      </c>
      <c r="AC8" s="88">
        <f>SUM(499+162+0)</f>
        <v>661</v>
      </c>
      <c r="AD8" s="88">
        <f t="shared" si="5"/>
        <v>762</v>
      </c>
      <c r="AF8" s="86" t="s">
        <v>1668</v>
      </c>
      <c r="AG8" s="89">
        <f>SUM(49+70+0)</f>
        <v>119</v>
      </c>
      <c r="AH8" s="88">
        <f>SUM(552+182+0)</f>
        <v>734</v>
      </c>
      <c r="AI8" s="88">
        <f t="shared" si="6"/>
        <v>853</v>
      </c>
      <c r="AK8" s="86" t="s">
        <v>1668</v>
      </c>
      <c r="AL8" s="89">
        <f>SUM(54+86+0)</f>
        <v>140</v>
      </c>
      <c r="AM8" s="88">
        <f>SUM(666+221+0)</f>
        <v>887</v>
      </c>
      <c r="AN8" s="88">
        <f t="shared" si="7"/>
        <v>1027</v>
      </c>
      <c r="AP8" s="86" t="s">
        <v>1668</v>
      </c>
      <c r="AQ8" s="89">
        <f>SUM(70+98+0)</f>
        <v>168</v>
      </c>
      <c r="AR8" s="88">
        <f>SUM(821+253+0)</f>
        <v>1074</v>
      </c>
      <c r="AS8" s="88">
        <f t="shared" si="8"/>
        <v>1242</v>
      </c>
      <c r="AT8" s="90">
        <f>SUM(44125+6516)</f>
        <v>50641</v>
      </c>
      <c r="AU8" s="91">
        <f>SUM(AS8/AT8)</f>
        <v>2.4525582038269385E-2</v>
      </c>
      <c r="AW8" s="86" t="s">
        <v>1668</v>
      </c>
      <c r="AX8" s="89">
        <f>SUM(86+106+0)</f>
        <v>192</v>
      </c>
      <c r="AY8" s="88">
        <f>SUM(953+291+0)</f>
        <v>1244</v>
      </c>
      <c r="AZ8" s="88">
        <f t="shared" si="9"/>
        <v>1436</v>
      </c>
      <c r="BA8" s="90">
        <f>SUM(44266+6646)</f>
        <v>50912</v>
      </c>
      <c r="BB8" s="91">
        <f>SUM(AZ8/BA8)</f>
        <v>2.8205531112507856E-2</v>
      </c>
      <c r="BC8" s="97" t="s">
        <v>1650</v>
      </c>
      <c r="BE8" s="86" t="s">
        <v>1659</v>
      </c>
      <c r="BF8" s="89">
        <v>248</v>
      </c>
      <c r="BG8" s="88">
        <v>2905</v>
      </c>
      <c r="BH8" s="88">
        <f t="shared" si="10"/>
        <v>3153</v>
      </c>
      <c r="BI8" s="90">
        <v>214149</v>
      </c>
      <c r="BJ8" s="91">
        <f>SUM(BH8/BI8)</f>
        <v>1.4723393525068995E-2</v>
      </c>
      <c r="BK8" s="97" t="s">
        <v>1640</v>
      </c>
      <c r="BM8" s="109" t="s">
        <v>1659</v>
      </c>
      <c r="BN8" s="110">
        <v>300</v>
      </c>
      <c r="BO8" s="111">
        <v>3220</v>
      </c>
      <c r="BP8" s="111">
        <f t="shared" si="11"/>
        <v>3520</v>
      </c>
      <c r="BQ8" s="112">
        <v>213930</v>
      </c>
      <c r="BR8" s="113">
        <f>SUM(BP8/BQ8)</f>
        <v>1.6453980273921375E-2</v>
      </c>
      <c r="BS8" s="103" t="s">
        <v>1669</v>
      </c>
      <c r="BU8" s="86" t="s">
        <v>1659</v>
      </c>
      <c r="BV8" s="89">
        <v>380</v>
      </c>
      <c r="BW8" s="88">
        <v>3534</v>
      </c>
      <c r="BX8" s="88">
        <f t="shared" si="12"/>
        <v>3914</v>
      </c>
      <c r="BY8" s="90">
        <v>215486</v>
      </c>
      <c r="BZ8" s="91">
        <f>SUM(BX8/BY8)</f>
        <v>1.8163592994440474E-2</v>
      </c>
      <c r="CA8" s="97" t="s">
        <v>1670</v>
      </c>
      <c r="CC8" s="86" t="s">
        <v>1659</v>
      </c>
      <c r="CD8" s="89">
        <v>1426</v>
      </c>
      <c r="CE8" s="88">
        <v>3891</v>
      </c>
      <c r="CF8" s="88">
        <f t="shared" si="13"/>
        <v>5317</v>
      </c>
      <c r="CG8" s="90">
        <v>216185</v>
      </c>
      <c r="CH8" s="91">
        <f>SUM(CF8/CG8)</f>
        <v>2.4594675856326756E-2</v>
      </c>
      <c r="CI8" s="97" t="s">
        <v>1671</v>
      </c>
      <c r="CK8" s="86" t="s">
        <v>1659</v>
      </c>
      <c r="CL8" s="89">
        <v>3053</v>
      </c>
      <c r="CM8" s="88">
        <v>4109</v>
      </c>
      <c r="CN8" s="88">
        <f t="shared" si="14"/>
        <v>7162</v>
      </c>
      <c r="CO8" s="90">
        <v>214850</v>
      </c>
      <c r="CP8" s="91">
        <f>SUM(CN8/CO8)</f>
        <v>3.3334884803351172E-2</v>
      </c>
      <c r="CQ8" s="97" t="s">
        <v>1672</v>
      </c>
      <c r="CS8" s="86" t="s">
        <v>1659</v>
      </c>
      <c r="CT8" s="89">
        <v>3409</v>
      </c>
      <c r="CU8" s="88">
        <v>5783</v>
      </c>
      <c r="CV8" s="88">
        <f t="shared" si="15"/>
        <v>9192</v>
      </c>
      <c r="CW8" s="90">
        <v>214585</v>
      </c>
      <c r="CX8" s="91">
        <f>SUM(CV8/CW8)</f>
        <v>4.2836172146235758E-2</v>
      </c>
      <c r="CY8" s="97" t="s">
        <v>1673</v>
      </c>
      <c r="DA8" s="86" t="s">
        <v>1659</v>
      </c>
      <c r="DB8" s="89">
        <v>3764</v>
      </c>
      <c r="DC8" s="88">
        <v>7557</v>
      </c>
      <c r="DD8" s="88">
        <f t="shared" si="16"/>
        <v>11321</v>
      </c>
      <c r="DE8" s="104">
        <v>214190</v>
      </c>
      <c r="DF8" s="91">
        <f>SUM(DD8/DE8)</f>
        <v>5.2854941874037067E-2</v>
      </c>
      <c r="DG8" s="97" t="s">
        <v>1674</v>
      </c>
      <c r="DJ8" s="86" t="s">
        <v>1659</v>
      </c>
      <c r="DK8" s="89">
        <v>3900</v>
      </c>
      <c r="DL8" s="88">
        <v>8239</v>
      </c>
      <c r="DM8" s="88">
        <f t="shared" si="17"/>
        <v>12139</v>
      </c>
      <c r="DN8" s="104">
        <v>213419</v>
      </c>
      <c r="DO8" s="91">
        <f>SUM(DM8/DN8)</f>
        <v>5.6878722138141401E-2</v>
      </c>
      <c r="DP8" s="97" t="s">
        <v>1675</v>
      </c>
      <c r="DS8" s="86" t="s">
        <v>1659</v>
      </c>
      <c r="DT8" s="89">
        <v>3986</v>
      </c>
      <c r="DU8" s="88">
        <v>8993</v>
      </c>
      <c r="DV8" s="88">
        <f t="shared" si="18"/>
        <v>12979</v>
      </c>
      <c r="DW8" s="104">
        <v>213419</v>
      </c>
      <c r="DX8" s="91">
        <f>SUM(DV8/DW8)</f>
        <v>6.0814641620474279E-2</v>
      </c>
      <c r="DY8" s="97" t="s">
        <v>1676</v>
      </c>
      <c r="EB8" s="86" t="s">
        <v>1659</v>
      </c>
      <c r="EC8" s="89">
        <v>4209</v>
      </c>
      <c r="ED8" s="88">
        <v>9775</v>
      </c>
      <c r="EE8" s="88">
        <f t="shared" si="19"/>
        <v>13984</v>
      </c>
      <c r="EF8" s="104">
        <v>211387</v>
      </c>
      <c r="EG8" s="91">
        <f>SUM(EE8/EF8)</f>
        <v>6.6153547758376813E-2</v>
      </c>
      <c r="EH8" s="105">
        <v>6.0814641620474279E-2</v>
      </c>
      <c r="EK8" s="86" t="s">
        <v>1659</v>
      </c>
      <c r="EL8" s="89">
        <v>4478</v>
      </c>
      <c r="EM8" s="88">
        <v>10500</v>
      </c>
      <c r="EN8" s="88">
        <f t="shared" si="20"/>
        <v>14978</v>
      </c>
      <c r="EO8" s="104">
        <v>211387</v>
      </c>
      <c r="EP8" s="91">
        <f>SUM(EN8/EO8)</f>
        <v>7.0855823678844965E-2</v>
      </c>
      <c r="EQ8" s="105">
        <v>6.6153547758376813E-2</v>
      </c>
      <c r="ES8" s="86" t="s">
        <v>1659</v>
      </c>
      <c r="ET8" s="114">
        <v>4990</v>
      </c>
      <c r="EU8" s="108">
        <f>10+9222+169+3590</f>
        <v>12991</v>
      </c>
      <c r="EV8" s="108">
        <f t="shared" si="21"/>
        <v>17981</v>
      </c>
      <c r="EW8" s="104">
        <v>209385</v>
      </c>
      <c r="EX8" s="91">
        <f>SUM(EV8/EW8)</f>
        <v>8.5875301478138363E-2</v>
      </c>
      <c r="EY8" s="105">
        <v>7.0855823678844965E-2</v>
      </c>
      <c r="FA8" s="86" t="s">
        <v>1659</v>
      </c>
      <c r="FB8" s="114">
        <f>4216+723</f>
        <v>4939</v>
      </c>
      <c r="FC8" s="108">
        <f>11+7463+377+7339</f>
        <v>15190</v>
      </c>
      <c r="FD8" s="108">
        <f t="shared" si="22"/>
        <v>20129</v>
      </c>
      <c r="FE8" s="104">
        <v>208109</v>
      </c>
      <c r="FF8" s="91">
        <f>SUM(FD8/FE8)</f>
        <v>9.6723351705116076E-2</v>
      </c>
      <c r="FG8" s="105">
        <v>8.5900000000000004E-2</v>
      </c>
      <c r="FI8" s="86" t="s">
        <v>1659</v>
      </c>
      <c r="FJ8" s="114">
        <v>4889</v>
      </c>
      <c r="FK8" s="108">
        <v>17512</v>
      </c>
      <c r="FL8" s="108">
        <f t="shared" si="23"/>
        <v>22401</v>
      </c>
      <c r="FM8" s="104">
        <v>208303</v>
      </c>
      <c r="FN8" s="91">
        <f>SUM(FL8/FM8)</f>
        <v>0.10754045789066888</v>
      </c>
      <c r="FO8" s="105">
        <v>9.6699999999999994E-2</v>
      </c>
      <c r="FQ8" s="86" t="s">
        <v>1659</v>
      </c>
      <c r="FR8" s="114">
        <f>[1]actrpt!B162+[1]actrpt!B303</f>
        <v>4627</v>
      </c>
      <c r="FS8" s="108">
        <f>[1]actrpt!B78+[1]actrpt!B120+[1]actrpt!B205+[1]actrpt!B254</f>
        <v>17627</v>
      </c>
      <c r="FT8" s="108">
        <f t="shared" si="24"/>
        <v>22254</v>
      </c>
      <c r="FU8" s="104">
        <f>[1]html!N12</f>
        <v>208303</v>
      </c>
      <c r="FV8" s="91">
        <f>SUM(FT8/FU8)</f>
        <v>0.10683475514034843</v>
      </c>
      <c r="FW8" s="105">
        <v>9.8194158050825056E-2</v>
      </c>
    </row>
    <row r="9" spans="2:179">
      <c r="B9" s="86" t="s">
        <v>1677</v>
      </c>
      <c r="C9" s="87">
        <f>SUM(166+0+0)</f>
        <v>166</v>
      </c>
      <c r="D9" s="88">
        <f>SUM(3523+0+0)</f>
        <v>3523</v>
      </c>
      <c r="E9" s="88">
        <f t="shared" si="0"/>
        <v>3689</v>
      </c>
      <c r="G9" s="86" t="s">
        <v>1677</v>
      </c>
      <c r="H9" s="87">
        <f>SUM(239+0+0)</f>
        <v>239</v>
      </c>
      <c r="I9" s="88">
        <f>SUM(3765+0+0)</f>
        <v>3765</v>
      </c>
      <c r="J9" s="88">
        <f t="shared" si="1"/>
        <v>4004</v>
      </c>
      <c r="L9" s="86" t="s">
        <v>1677</v>
      </c>
      <c r="M9" s="89">
        <f>SUM(1229+0+0)</f>
        <v>1229</v>
      </c>
      <c r="N9" s="88">
        <f>SUM(4422+0+0)</f>
        <v>4422</v>
      </c>
      <c r="O9" s="88">
        <f t="shared" si="2"/>
        <v>5651</v>
      </c>
      <c r="Q9" s="86" t="s">
        <v>1677</v>
      </c>
      <c r="R9" s="89">
        <f>SUM(1441+0+0)</f>
        <v>1441</v>
      </c>
      <c r="S9" s="88">
        <f>SUM(4808+0+0)</f>
        <v>4808</v>
      </c>
      <c r="T9" s="88">
        <f t="shared" si="3"/>
        <v>6249</v>
      </c>
      <c r="V9" s="86" t="s">
        <v>1677</v>
      </c>
      <c r="W9" s="89">
        <f>SUM(1622+0+0)</f>
        <v>1622</v>
      </c>
      <c r="X9" s="88">
        <f>SUM(5176+0+0)</f>
        <v>5176</v>
      </c>
      <c r="Y9" s="88">
        <f t="shared" si="4"/>
        <v>6798</v>
      </c>
      <c r="AA9" s="86" t="s">
        <v>1677</v>
      </c>
      <c r="AB9" s="89">
        <f>SUM(2181+0+0)</f>
        <v>2181</v>
      </c>
      <c r="AC9" s="88">
        <f>SUM(6191+0+0)</f>
        <v>6191</v>
      </c>
      <c r="AD9" s="88">
        <f t="shared" si="5"/>
        <v>8372</v>
      </c>
      <c r="AF9" s="86" t="s">
        <v>1677</v>
      </c>
      <c r="AG9" s="89">
        <f>SUM(2831+0+0)</f>
        <v>2831</v>
      </c>
      <c r="AH9" s="88">
        <f>SUM(7405+0+0)</f>
        <v>7405</v>
      </c>
      <c r="AI9" s="88">
        <f t="shared" si="6"/>
        <v>10236</v>
      </c>
      <c r="AK9" s="86" t="s">
        <v>1677</v>
      </c>
      <c r="AL9" s="89">
        <f>SUM(3190+0+0)</f>
        <v>3190</v>
      </c>
      <c r="AM9" s="88">
        <f>SUM(8701+0+0)</f>
        <v>8701</v>
      </c>
      <c r="AN9" s="88">
        <f t="shared" si="7"/>
        <v>11891</v>
      </c>
      <c r="AP9" s="86" t="s">
        <v>1677</v>
      </c>
      <c r="AQ9" s="89">
        <f>SUM(3652+0+0)</f>
        <v>3652</v>
      </c>
      <c r="AR9" s="88">
        <f>SUM(10188+0+0)</f>
        <v>10188</v>
      </c>
      <c r="AS9" s="88">
        <f t="shared" si="8"/>
        <v>13840</v>
      </c>
      <c r="AW9" s="86" t="s">
        <v>1677</v>
      </c>
      <c r="AX9" s="89">
        <f>SUM(4027+0+0)</f>
        <v>4027</v>
      </c>
      <c r="AY9" s="88">
        <f>SUM(11745+0+0)</f>
        <v>11745</v>
      </c>
      <c r="AZ9" s="88">
        <f t="shared" si="9"/>
        <v>15772</v>
      </c>
      <c r="BA9" s="571"/>
      <c r="BB9" s="572"/>
      <c r="BC9" s="573"/>
      <c r="BE9" s="86" t="s">
        <v>1668</v>
      </c>
      <c r="BF9" s="89">
        <v>100</v>
      </c>
      <c r="BG9" s="88">
        <v>1098</v>
      </c>
      <c r="BH9" s="88">
        <f t="shared" si="10"/>
        <v>1198</v>
      </c>
      <c r="BI9" s="90">
        <v>44435</v>
      </c>
      <c r="BJ9" s="91">
        <f>SUM(BH9/BI9)</f>
        <v>2.6960729154945427E-2</v>
      </c>
      <c r="BK9" s="97" t="s">
        <v>1640</v>
      </c>
      <c r="BM9" s="109" t="s">
        <v>1668</v>
      </c>
      <c r="BN9" s="110">
        <v>118</v>
      </c>
      <c r="BO9" s="111">
        <v>1216</v>
      </c>
      <c r="BP9" s="111">
        <f t="shared" si="11"/>
        <v>1334</v>
      </c>
      <c r="BQ9" s="112">
        <v>44403</v>
      </c>
      <c r="BR9" s="113">
        <f>SUM(BP9/BQ9)</f>
        <v>3.0043015111591558E-2</v>
      </c>
      <c r="BS9" s="103" t="s">
        <v>1678</v>
      </c>
      <c r="BU9" s="86" t="s">
        <v>1668</v>
      </c>
      <c r="BV9" s="89">
        <v>151</v>
      </c>
      <c r="BW9" s="88">
        <v>1314</v>
      </c>
      <c r="BX9" s="88">
        <f t="shared" si="12"/>
        <v>1465</v>
      </c>
      <c r="BY9" s="90">
        <v>44577</v>
      </c>
      <c r="BZ9" s="91">
        <f>SUM(BX9/BY9)</f>
        <v>3.2864481683379319E-2</v>
      </c>
      <c r="CA9" s="97" t="s">
        <v>1679</v>
      </c>
      <c r="CC9" s="86" t="s">
        <v>1668</v>
      </c>
      <c r="CD9" s="89">
        <v>376</v>
      </c>
      <c r="CE9" s="88">
        <v>1420</v>
      </c>
      <c r="CF9" s="88">
        <f t="shared" si="13"/>
        <v>1796</v>
      </c>
      <c r="CG9" s="90">
        <v>44829</v>
      </c>
      <c r="CH9" s="91">
        <f>SUM(CF9/CG9)</f>
        <v>4.0063351848134018E-2</v>
      </c>
      <c r="CI9" s="97" t="s">
        <v>1680</v>
      </c>
      <c r="CK9" s="86" t="s">
        <v>1668</v>
      </c>
      <c r="CL9" s="89">
        <v>1096</v>
      </c>
      <c r="CM9" s="88">
        <v>1530</v>
      </c>
      <c r="CN9" s="88">
        <f t="shared" si="14"/>
        <v>2626</v>
      </c>
      <c r="CO9" s="90">
        <v>44631</v>
      </c>
      <c r="CP9" s="91">
        <f>SUM(CN9/CO9)</f>
        <v>5.8838027380072148E-2</v>
      </c>
      <c r="CQ9" s="97" t="s">
        <v>1681</v>
      </c>
      <c r="CS9" s="86" t="s">
        <v>1668</v>
      </c>
      <c r="CT9" s="89">
        <v>1137</v>
      </c>
      <c r="CU9" s="88">
        <v>1649</v>
      </c>
      <c r="CV9" s="88">
        <f t="shared" si="15"/>
        <v>2786</v>
      </c>
      <c r="CW9" s="90">
        <v>44246</v>
      </c>
      <c r="CX9" s="91">
        <f>SUM(CV9/CW9)</f>
        <v>6.2966143832210816E-2</v>
      </c>
      <c r="CY9" s="97" t="s">
        <v>1682</v>
      </c>
      <c r="DA9" s="86" t="s">
        <v>1668</v>
      </c>
      <c r="DB9" s="89">
        <v>1207</v>
      </c>
      <c r="DC9" s="88">
        <v>1910</v>
      </c>
      <c r="DD9" s="88">
        <f t="shared" si="16"/>
        <v>3117</v>
      </c>
      <c r="DE9" s="104">
        <v>44486</v>
      </c>
      <c r="DF9" s="91">
        <f>SUM(DD9/DE9)</f>
        <v>7.0066987366812036E-2</v>
      </c>
      <c r="DG9" s="97" t="s">
        <v>1683</v>
      </c>
      <c r="DJ9" s="86" t="s">
        <v>1668</v>
      </c>
      <c r="DK9" s="89">
        <v>1215</v>
      </c>
      <c r="DL9" s="88">
        <v>2014</v>
      </c>
      <c r="DM9" s="88">
        <f t="shared" si="17"/>
        <v>3229</v>
      </c>
      <c r="DN9" s="104">
        <v>44299</v>
      </c>
      <c r="DO9" s="91">
        <f>SUM(DM9/DN9)</f>
        <v>7.2891035915031946E-2</v>
      </c>
      <c r="DP9" s="97" t="s">
        <v>1684</v>
      </c>
      <c r="DS9" s="86" t="s">
        <v>1668</v>
      </c>
      <c r="DT9" s="89">
        <v>1234</v>
      </c>
      <c r="DU9" s="88">
        <v>2198</v>
      </c>
      <c r="DV9" s="88">
        <f t="shared" si="18"/>
        <v>3432</v>
      </c>
      <c r="DW9" s="104">
        <v>44299</v>
      </c>
      <c r="DX9" s="91">
        <f>SUM(DV9/DW9)</f>
        <v>7.7473532133908216E-2</v>
      </c>
      <c r="DY9" s="97" t="s">
        <v>1685</v>
      </c>
      <c r="EB9" s="86" t="s">
        <v>1668</v>
      </c>
      <c r="EC9" s="89">
        <v>1311</v>
      </c>
      <c r="ED9" s="88">
        <v>2462</v>
      </c>
      <c r="EE9" s="88">
        <f t="shared" si="19"/>
        <v>3773</v>
      </c>
      <c r="EF9" s="104">
        <v>44197</v>
      </c>
      <c r="EG9" s="91">
        <f>SUM(EE9/EF9)</f>
        <v>8.5367785143788039E-2</v>
      </c>
      <c r="EH9" s="105">
        <v>7.7473532133908216E-2</v>
      </c>
      <c r="EK9" s="86" t="s">
        <v>1668</v>
      </c>
      <c r="EL9" s="89">
        <v>1376</v>
      </c>
      <c r="EM9" s="88">
        <v>2666</v>
      </c>
      <c r="EN9" s="88">
        <f t="shared" si="20"/>
        <v>4042</v>
      </c>
      <c r="EO9" s="104">
        <v>44197</v>
      </c>
      <c r="EP9" s="91">
        <f>SUM(EN9/EO9)</f>
        <v>9.1454171097585815E-2</v>
      </c>
      <c r="EQ9" s="105">
        <v>8.5367785143788039E-2</v>
      </c>
      <c r="ES9" s="86" t="s">
        <v>1668</v>
      </c>
      <c r="ET9" s="114">
        <f>71+1329</f>
        <v>1400</v>
      </c>
      <c r="EU9" s="108">
        <f>1+2357+69+787</f>
        <v>3214</v>
      </c>
      <c r="EV9" s="108">
        <f t="shared" si="21"/>
        <v>4614</v>
      </c>
      <c r="EW9" s="104">
        <v>44459</v>
      </c>
      <c r="EX9" s="91">
        <f>SUM(EV9/EW9)</f>
        <v>0.10378101171866214</v>
      </c>
      <c r="EY9" s="105">
        <v>9.1454171097585815E-2</v>
      </c>
      <c r="FA9" s="86" t="s">
        <v>1668</v>
      </c>
      <c r="FB9" s="114">
        <f>1202+189</f>
        <v>1391</v>
      </c>
      <c r="FC9" s="108">
        <f>2+1997+179+1790</f>
        <v>3968</v>
      </c>
      <c r="FD9" s="108">
        <f t="shared" si="22"/>
        <v>5359</v>
      </c>
      <c r="FE9" s="104">
        <v>44526</v>
      </c>
      <c r="FF9" s="91">
        <f>SUM(FD9/FE9)</f>
        <v>0.12035664555540583</v>
      </c>
      <c r="FG9" s="105">
        <v>0.1038</v>
      </c>
      <c r="FI9" s="86" t="s">
        <v>1668</v>
      </c>
      <c r="FJ9" s="114">
        <v>1301</v>
      </c>
      <c r="FK9" s="108">
        <v>4267</v>
      </c>
      <c r="FL9" s="108">
        <f t="shared" si="23"/>
        <v>5568</v>
      </c>
      <c r="FM9" s="104">
        <v>44715</v>
      </c>
      <c r="FN9" s="91">
        <f>SUM(FL9/FM9)</f>
        <v>0.1245219724924522</v>
      </c>
      <c r="FO9" s="105">
        <v>0.12039999999999999</v>
      </c>
      <c r="FQ9" s="86" t="s">
        <v>1668</v>
      </c>
      <c r="FR9" s="114">
        <f>[1]actrpt!B163+[1]actrpt!B304</f>
        <v>1453</v>
      </c>
      <c r="FS9" s="108">
        <f>[1]actrpt!B79+[1]actrpt!B121+[1]actrpt!B206+[1]actrpt!B255</f>
        <v>4930</v>
      </c>
      <c r="FT9" s="108">
        <f t="shared" si="24"/>
        <v>6383</v>
      </c>
      <c r="FU9" s="104">
        <f>[1]html!N14</f>
        <v>44715</v>
      </c>
      <c r="FV9" s="91">
        <f>SUM(FT9/FU9)</f>
        <v>0.14274851839427485</v>
      </c>
      <c r="FW9" s="105">
        <v>0.12023243291752669</v>
      </c>
    </row>
    <row r="10" spans="2:179">
      <c r="B10" s="86" t="s">
        <v>1686</v>
      </c>
      <c r="C10" s="115"/>
      <c r="D10" s="116"/>
      <c r="E10" s="117">
        <f>SUM(E4:E9)</f>
        <v>39025</v>
      </c>
      <c r="G10" s="86" t="s">
        <v>1687</v>
      </c>
      <c r="H10" s="87">
        <v>30</v>
      </c>
      <c r="I10" s="88">
        <v>926</v>
      </c>
      <c r="J10" s="88">
        <f>SUM(H10:I10)</f>
        <v>956</v>
      </c>
      <c r="L10" s="86" t="s">
        <v>1687</v>
      </c>
      <c r="M10" s="89">
        <v>278</v>
      </c>
      <c r="N10" s="88">
        <v>1047</v>
      </c>
      <c r="O10" s="88">
        <f t="shared" si="2"/>
        <v>1325</v>
      </c>
      <c r="Q10" s="86" t="s">
        <v>1687</v>
      </c>
      <c r="R10" s="89">
        <v>418</v>
      </c>
      <c r="S10" s="88">
        <v>1201</v>
      </c>
      <c r="T10" s="88">
        <f t="shared" si="3"/>
        <v>1619</v>
      </c>
      <c r="V10" s="86" t="s">
        <v>1687</v>
      </c>
      <c r="W10" s="89">
        <f>SUM(544+0+0)</f>
        <v>544</v>
      </c>
      <c r="X10" s="88">
        <f>SUM(1316+0+0)</f>
        <v>1316</v>
      </c>
      <c r="Y10" s="88">
        <f t="shared" si="4"/>
        <v>1860</v>
      </c>
      <c r="AA10" s="86" t="s">
        <v>1687</v>
      </c>
      <c r="AB10" s="89">
        <f>SUM(836+0+0)</f>
        <v>836</v>
      </c>
      <c r="AC10" s="88">
        <f>SUM(1471+0+0)</f>
        <v>1471</v>
      </c>
      <c r="AD10" s="88">
        <f t="shared" si="5"/>
        <v>2307</v>
      </c>
      <c r="AF10" s="86" t="s">
        <v>1687</v>
      </c>
      <c r="AG10" s="89">
        <f>SUM(1164+0+0)</f>
        <v>1164</v>
      </c>
      <c r="AH10" s="88">
        <f>SUM(1658+0+0)</f>
        <v>1658</v>
      </c>
      <c r="AI10" s="88">
        <f t="shared" si="6"/>
        <v>2822</v>
      </c>
      <c r="AK10" s="86" t="s">
        <v>1687</v>
      </c>
      <c r="AL10" s="89">
        <f>SUM(1461+0+0)</f>
        <v>1461</v>
      </c>
      <c r="AM10" s="88">
        <f>SUM(1887+0+0)</f>
        <v>1887</v>
      </c>
      <c r="AN10" s="88">
        <f t="shared" si="7"/>
        <v>3348</v>
      </c>
      <c r="AP10" s="86" t="s">
        <v>1687</v>
      </c>
      <c r="AQ10" s="89">
        <f>SUM(1762+0+0)</f>
        <v>1762</v>
      </c>
      <c r="AR10" s="88">
        <v>2291</v>
      </c>
      <c r="AS10" s="88">
        <f t="shared" si="8"/>
        <v>4053</v>
      </c>
      <c r="AW10" s="86" t="s">
        <v>1687</v>
      </c>
      <c r="AX10" s="89">
        <f>SUM(2067+0+0)</f>
        <v>2067</v>
      </c>
      <c r="AY10" s="88">
        <f>SUM(2613+0+0)</f>
        <v>2613</v>
      </c>
      <c r="AZ10" s="88">
        <f t="shared" si="9"/>
        <v>4680</v>
      </c>
      <c r="BA10" s="574"/>
      <c r="BB10" s="575"/>
      <c r="BC10" s="576"/>
      <c r="BE10" s="86" t="s">
        <v>1677</v>
      </c>
      <c r="BF10" s="89">
        <v>4365</v>
      </c>
      <c r="BG10" s="88">
        <v>13285</v>
      </c>
      <c r="BH10" s="88">
        <f t="shared" si="10"/>
        <v>17650</v>
      </c>
      <c r="BI10" s="565"/>
      <c r="BJ10" s="566"/>
      <c r="BK10" s="567"/>
      <c r="BM10" s="109" t="s">
        <v>1677</v>
      </c>
      <c r="BN10" s="110">
        <v>4842</v>
      </c>
      <c r="BO10" s="111">
        <v>14910</v>
      </c>
      <c r="BP10" s="111">
        <f t="shared" si="11"/>
        <v>19752</v>
      </c>
      <c r="BQ10" s="565"/>
      <c r="BR10" s="583"/>
      <c r="BS10" s="584"/>
      <c r="BU10" s="86" t="s">
        <v>1677</v>
      </c>
      <c r="BV10" s="89">
        <v>5423</v>
      </c>
      <c r="BW10" s="88">
        <v>16639</v>
      </c>
      <c r="BX10" s="88">
        <f t="shared" si="12"/>
        <v>22062</v>
      </c>
      <c r="BY10" s="565"/>
      <c r="BZ10" s="566"/>
      <c r="CA10" s="567"/>
      <c r="CC10" s="86" t="s">
        <v>1688</v>
      </c>
      <c r="CD10" s="89">
        <v>36642</v>
      </c>
      <c r="CE10" s="88">
        <v>20054</v>
      </c>
      <c r="CF10" s="88">
        <f t="shared" si="13"/>
        <v>56696</v>
      </c>
      <c r="CG10" s="565"/>
      <c r="CH10" s="566"/>
      <c r="CI10" s="567"/>
      <c r="CK10" s="86" t="s">
        <v>1688</v>
      </c>
      <c r="CL10" s="89">
        <v>44573</v>
      </c>
      <c r="CM10" s="88">
        <v>22910</v>
      </c>
      <c r="CN10" s="88">
        <f t="shared" si="14"/>
        <v>67483</v>
      </c>
      <c r="CO10" s="565"/>
      <c r="CP10" s="566"/>
      <c r="CQ10" s="567"/>
      <c r="CS10" s="86" t="s">
        <v>1688</v>
      </c>
      <c r="CT10" s="89">
        <v>44566</v>
      </c>
      <c r="CU10" s="88">
        <v>25914</v>
      </c>
      <c r="CV10" s="88">
        <f t="shared" si="15"/>
        <v>70480</v>
      </c>
      <c r="CW10" s="565"/>
      <c r="CX10" s="566"/>
      <c r="CY10" s="567"/>
      <c r="DA10" s="86" t="s">
        <v>1688</v>
      </c>
      <c r="DB10" s="89">
        <v>49388</v>
      </c>
      <c r="DC10" s="88">
        <v>33879</v>
      </c>
      <c r="DD10" s="88">
        <f t="shared" si="16"/>
        <v>83267</v>
      </c>
      <c r="DE10" s="565"/>
      <c r="DF10" s="566"/>
      <c r="DG10" s="567"/>
      <c r="DJ10" s="86" t="s">
        <v>1688</v>
      </c>
      <c r="DK10" s="89">
        <v>49561</v>
      </c>
      <c r="DL10" s="88">
        <v>33892</v>
      </c>
      <c r="DM10" s="88">
        <f t="shared" si="17"/>
        <v>83453</v>
      </c>
      <c r="DN10" s="565"/>
      <c r="DO10" s="566"/>
      <c r="DP10" s="567"/>
      <c r="DS10" s="86" t="s">
        <v>1688</v>
      </c>
      <c r="DT10" s="89">
        <v>49893</v>
      </c>
      <c r="DU10" s="88">
        <v>37258</v>
      </c>
      <c r="DV10" s="88">
        <f t="shared" si="18"/>
        <v>87151</v>
      </c>
      <c r="DW10" s="565"/>
      <c r="DX10" s="566"/>
      <c r="DY10" s="567"/>
      <c r="EB10" s="86" t="s">
        <v>1688</v>
      </c>
      <c r="EC10" s="89">
        <v>48242</v>
      </c>
      <c r="ED10" s="88">
        <v>40582</v>
      </c>
      <c r="EE10" s="88">
        <f t="shared" si="19"/>
        <v>88824</v>
      </c>
      <c r="EF10" s="565"/>
      <c r="EG10" s="566"/>
      <c r="EH10" s="567"/>
      <c r="EK10" s="86" t="s">
        <v>1688</v>
      </c>
      <c r="EL10" s="89">
        <v>48965</v>
      </c>
      <c r="EM10" s="88">
        <v>43361</v>
      </c>
      <c r="EN10" s="88">
        <f t="shared" si="20"/>
        <v>92326</v>
      </c>
      <c r="EO10" s="565"/>
      <c r="EP10" s="566"/>
      <c r="EQ10" s="567"/>
      <c r="ES10" s="86" t="s">
        <v>1689</v>
      </c>
      <c r="ET10" s="114">
        <f>28463+493</f>
        <v>28956</v>
      </c>
      <c r="EU10" s="108">
        <v>26401</v>
      </c>
      <c r="EV10" s="108">
        <f t="shared" si="21"/>
        <v>55357</v>
      </c>
      <c r="EW10" s="565"/>
      <c r="EX10" s="566"/>
      <c r="EY10" s="567"/>
      <c r="FA10" s="86" t="s">
        <v>1689</v>
      </c>
      <c r="FB10" s="114">
        <f>27437+1243</f>
        <v>28680</v>
      </c>
      <c r="FC10" s="108">
        <f>140+16611+2155+8310</f>
        <v>27216</v>
      </c>
      <c r="FD10" s="108">
        <f t="shared" si="22"/>
        <v>55896</v>
      </c>
      <c r="FE10" s="565"/>
      <c r="FF10" s="566"/>
      <c r="FG10" s="567"/>
      <c r="FI10" s="86" t="s">
        <v>1689</v>
      </c>
      <c r="FJ10" s="114">
        <v>28809</v>
      </c>
      <c r="FK10" s="108">
        <v>29417</v>
      </c>
      <c r="FL10" s="108">
        <f t="shared" si="23"/>
        <v>58226</v>
      </c>
      <c r="FM10" s="565"/>
      <c r="FN10" s="566"/>
      <c r="FO10" s="567"/>
      <c r="FQ10" s="86" t="s">
        <v>1689</v>
      </c>
      <c r="FR10" s="114">
        <f>[1]actrpt!B164+[1]actrpt!B305</f>
        <v>29266</v>
      </c>
      <c r="FS10" s="108">
        <f>[1]actrpt!B80+[1]actrpt!B122+[1]actrpt!B207+[1]actrpt!B256</f>
        <v>33408</v>
      </c>
      <c r="FT10" s="108">
        <f t="shared" si="24"/>
        <v>62674</v>
      </c>
      <c r="FU10" s="565"/>
      <c r="FV10" s="566"/>
      <c r="FW10" s="567"/>
    </row>
    <row r="11" spans="2:179" ht="15" thickBot="1">
      <c r="B11" s="118"/>
      <c r="C11" s="119"/>
      <c r="D11" s="120"/>
      <c r="E11" s="118"/>
      <c r="G11" s="86" t="s">
        <v>1686</v>
      </c>
      <c r="H11" s="115"/>
      <c r="I11" s="116"/>
      <c r="J11" s="117">
        <f>SUM(J4:J9)</f>
        <v>41197</v>
      </c>
      <c r="L11" s="86" t="s">
        <v>1686</v>
      </c>
      <c r="M11" s="110"/>
      <c r="N11" s="116"/>
      <c r="O11" s="117">
        <f>SUM(O4:O10)</f>
        <v>52436</v>
      </c>
      <c r="Q11" s="86" t="s">
        <v>1686</v>
      </c>
      <c r="R11" s="110"/>
      <c r="S11" s="116"/>
      <c r="T11" s="117">
        <f>SUM(T4:T10)</f>
        <v>56167</v>
      </c>
      <c r="V11" s="86" t="s">
        <v>1686</v>
      </c>
      <c r="W11" s="110"/>
      <c r="X11" s="116"/>
      <c r="Y11" s="117">
        <f>SUM(Y4:Y10)</f>
        <v>59446</v>
      </c>
      <c r="AA11" s="86" t="s">
        <v>1686</v>
      </c>
      <c r="AB11" s="110"/>
      <c r="AC11" s="116"/>
      <c r="AD11" s="117">
        <f>SUM(AD4:AD10)</f>
        <v>65889</v>
      </c>
      <c r="AF11" s="591" t="s">
        <v>1686</v>
      </c>
      <c r="AG11" s="592"/>
      <c r="AH11" s="592"/>
      <c r="AI11" s="117">
        <f>SUM(AI4:AI10)</f>
        <v>74606</v>
      </c>
      <c r="AK11" s="593" t="s">
        <v>1686</v>
      </c>
      <c r="AL11" s="594"/>
      <c r="AM11" s="595"/>
      <c r="AN11" s="117">
        <f>SUM(AN4:AN10)</f>
        <v>83979</v>
      </c>
      <c r="AP11" s="591" t="s">
        <v>1686</v>
      </c>
      <c r="AQ11" s="592"/>
      <c r="AR11" s="592"/>
      <c r="AS11" s="117">
        <f>SUM(AS4:AS10)</f>
        <v>95585</v>
      </c>
      <c r="AW11" s="591" t="s">
        <v>1686</v>
      </c>
      <c r="AX11" s="592"/>
      <c r="AY11" s="592"/>
      <c r="AZ11" s="117">
        <f>SUM(AZ4:AZ10)</f>
        <v>107343</v>
      </c>
      <c r="BA11" s="574"/>
      <c r="BB11" s="575"/>
      <c r="BC11" s="576"/>
      <c r="BE11" s="86" t="s">
        <v>1687</v>
      </c>
      <c r="BF11" s="89">
        <v>2466</v>
      </c>
      <c r="BG11" s="88">
        <v>3203</v>
      </c>
      <c r="BH11" s="88">
        <f t="shared" si="10"/>
        <v>5669</v>
      </c>
      <c r="BI11" s="580"/>
      <c r="BJ11" s="581"/>
      <c r="BK11" s="582"/>
      <c r="BM11" s="109" t="s">
        <v>1687</v>
      </c>
      <c r="BN11" s="110">
        <v>2884</v>
      </c>
      <c r="BO11" s="111">
        <v>3735</v>
      </c>
      <c r="BP11" s="111">
        <f t="shared" si="11"/>
        <v>6619</v>
      </c>
      <c r="BQ11" s="585"/>
      <c r="BR11" s="586"/>
      <c r="BS11" s="587"/>
      <c r="BU11" s="86" t="s">
        <v>1687</v>
      </c>
      <c r="BV11" s="89">
        <v>3451</v>
      </c>
      <c r="BW11" s="88">
        <v>4461</v>
      </c>
      <c r="BX11" s="88">
        <f t="shared" si="12"/>
        <v>7912</v>
      </c>
      <c r="BY11" s="580"/>
      <c r="BZ11" s="581"/>
      <c r="CA11" s="582"/>
      <c r="CC11" s="559" t="s">
        <v>1686</v>
      </c>
      <c r="CD11" s="560"/>
      <c r="CE11" s="560"/>
      <c r="CF11" s="121">
        <f>SUM(CF5:CF10)</f>
        <v>127302</v>
      </c>
      <c r="CG11" s="568"/>
      <c r="CH11" s="569"/>
      <c r="CI11" s="570"/>
      <c r="CK11" s="559" t="s">
        <v>1686</v>
      </c>
      <c r="CL11" s="560"/>
      <c r="CM11" s="560"/>
      <c r="CN11" s="121">
        <f>SUM(CN5:CN10)</f>
        <v>156071</v>
      </c>
      <c r="CO11" s="568"/>
      <c r="CP11" s="569"/>
      <c r="CQ11" s="570"/>
      <c r="CS11" s="559" t="s">
        <v>1686</v>
      </c>
      <c r="CT11" s="560"/>
      <c r="CU11" s="560"/>
      <c r="CV11" s="121">
        <f>SUM(CV5:CV10)</f>
        <v>166098</v>
      </c>
      <c r="CW11" s="568"/>
      <c r="CX11" s="569"/>
      <c r="CY11" s="570"/>
      <c r="DA11" s="559" t="s">
        <v>1686</v>
      </c>
      <c r="DB11" s="560"/>
      <c r="DC11" s="560"/>
      <c r="DD11" s="121">
        <f>SUM(DD5:DD10)</f>
        <v>189695</v>
      </c>
      <c r="DE11" s="568"/>
      <c r="DF11" s="569"/>
      <c r="DG11" s="570"/>
      <c r="DJ11" s="559" t="s">
        <v>1686</v>
      </c>
      <c r="DK11" s="560"/>
      <c r="DL11" s="560"/>
      <c r="DM11" s="121">
        <f>SUM(DM5:DM10)</f>
        <v>195591</v>
      </c>
      <c r="DN11" s="568"/>
      <c r="DO11" s="569"/>
      <c r="DP11" s="570"/>
      <c r="DS11" s="559" t="s">
        <v>1686</v>
      </c>
      <c r="DT11" s="560"/>
      <c r="DU11" s="560"/>
      <c r="DV11" s="121">
        <f>SUM(DV5:DV10)</f>
        <v>207765</v>
      </c>
      <c r="DW11" s="568"/>
      <c r="DX11" s="569"/>
      <c r="DY11" s="570"/>
      <c r="EB11" s="559" t="s">
        <v>1686</v>
      </c>
      <c r="EC11" s="560"/>
      <c r="ED11" s="560"/>
      <c r="EE11" s="121">
        <f>SUM(EE5:EE10)</f>
        <v>215268</v>
      </c>
      <c r="EF11" s="568"/>
      <c r="EG11" s="569"/>
      <c r="EH11" s="570"/>
      <c r="EK11" s="559" t="s">
        <v>1686</v>
      </c>
      <c r="EL11" s="560"/>
      <c r="EM11" s="560"/>
      <c r="EN11" s="121">
        <f>SUM(EN5:EN10)</f>
        <v>226556</v>
      </c>
      <c r="EO11" s="568"/>
      <c r="EP11" s="569"/>
      <c r="EQ11" s="570"/>
      <c r="ES11" s="559" t="s">
        <v>1686</v>
      </c>
      <c r="ET11" s="560"/>
      <c r="EU11" s="560"/>
      <c r="EV11" s="121">
        <f>SUM(EV5:EV10)</f>
        <v>219054</v>
      </c>
      <c r="EW11" s="568"/>
      <c r="EX11" s="569"/>
      <c r="EY11" s="570"/>
      <c r="FA11" s="559" t="s">
        <v>1686</v>
      </c>
      <c r="FB11" s="560"/>
      <c r="FC11" s="560"/>
      <c r="FD11" s="121">
        <f>SUM(FD5:FD10)</f>
        <v>248560</v>
      </c>
      <c r="FE11" s="568"/>
      <c r="FF11" s="569"/>
      <c r="FG11" s="570"/>
      <c r="FI11" s="559" t="s">
        <v>1686</v>
      </c>
      <c r="FJ11" s="560"/>
      <c r="FK11" s="560"/>
      <c r="FL11" s="121">
        <f>SUM(FL5:FL10)</f>
        <v>263480</v>
      </c>
      <c r="FM11" s="568"/>
      <c r="FN11" s="569"/>
      <c r="FO11" s="570"/>
      <c r="FQ11" s="559" t="s">
        <v>1686</v>
      </c>
      <c r="FR11" s="560"/>
      <c r="FS11" s="560"/>
      <c r="FT11" s="121">
        <f>SUM(FT5:FT10)</f>
        <v>288593</v>
      </c>
      <c r="FU11" s="568"/>
      <c r="FV11" s="569"/>
      <c r="FW11" s="570"/>
    </row>
    <row r="12" spans="2:179" ht="12.75" customHeight="1" thickTop="1" thickBot="1">
      <c r="B12" s="118"/>
      <c r="C12" s="119"/>
      <c r="D12" s="120"/>
      <c r="E12" s="118"/>
      <c r="G12" s="118"/>
      <c r="H12" s="119"/>
      <c r="I12" s="120"/>
      <c r="J12" s="118"/>
      <c r="L12" s="118"/>
      <c r="M12" s="122"/>
      <c r="N12" s="120"/>
      <c r="O12" s="118"/>
      <c r="Q12" s="118"/>
      <c r="R12" s="122"/>
      <c r="S12" s="120"/>
      <c r="T12" s="118"/>
      <c r="V12" s="118"/>
      <c r="W12" s="122"/>
      <c r="X12" s="120"/>
      <c r="Y12" s="118"/>
      <c r="AA12" s="118"/>
      <c r="AB12" s="122"/>
      <c r="AC12" s="120"/>
      <c r="AD12" s="118"/>
      <c r="AF12" s="123"/>
      <c r="AG12" s="124"/>
      <c r="AH12" s="124"/>
      <c r="AI12" s="125"/>
      <c r="AK12" s="601"/>
      <c r="AL12" s="602"/>
      <c r="AM12" s="602"/>
      <c r="AN12" s="603"/>
      <c r="AP12" s="601"/>
      <c r="AQ12" s="602"/>
      <c r="AR12" s="602"/>
      <c r="AS12" s="603"/>
      <c r="AW12" s="601"/>
      <c r="AX12" s="602"/>
      <c r="AY12" s="602"/>
      <c r="AZ12" s="603"/>
      <c r="BA12" s="574"/>
      <c r="BB12" s="575"/>
      <c r="BC12" s="576"/>
      <c r="BE12" s="559" t="s">
        <v>1686</v>
      </c>
      <c r="BF12" s="560"/>
      <c r="BG12" s="560"/>
      <c r="BH12" s="121">
        <f>SUM(BH5:BH11)</f>
        <v>72059</v>
      </c>
      <c r="BI12" s="568"/>
      <c r="BJ12" s="569"/>
      <c r="BK12" s="570"/>
      <c r="BM12" s="604" t="s">
        <v>1686</v>
      </c>
      <c r="BN12" s="605"/>
      <c r="BO12" s="605"/>
      <c r="BP12" s="121">
        <f>SUM(BP5:BP11)</f>
        <v>79528</v>
      </c>
      <c r="BQ12" s="588"/>
      <c r="BR12" s="589"/>
      <c r="BS12" s="590"/>
      <c r="BU12" s="559" t="s">
        <v>1686</v>
      </c>
      <c r="BV12" s="560"/>
      <c r="BW12" s="560"/>
      <c r="BX12" s="121">
        <f>SUM(BX5:BX11)</f>
        <v>87794</v>
      </c>
      <c r="BY12" s="568"/>
      <c r="BZ12" s="569"/>
      <c r="CA12" s="570"/>
      <c r="CC12" s="561" t="s">
        <v>1690</v>
      </c>
      <c r="CD12" s="562"/>
      <c r="CE12" s="562"/>
      <c r="CF12" s="562"/>
      <c r="CG12" s="562"/>
      <c r="CH12" s="562"/>
      <c r="CI12" s="563"/>
      <c r="CK12" s="561" t="s">
        <v>1690</v>
      </c>
      <c r="CL12" s="562"/>
      <c r="CM12" s="562"/>
      <c r="CN12" s="562"/>
      <c r="CO12" s="562"/>
      <c r="CP12" s="562"/>
      <c r="CQ12" s="563"/>
      <c r="CS12" s="561" t="s">
        <v>1690</v>
      </c>
      <c r="CT12" s="562"/>
      <c r="CU12" s="562"/>
      <c r="CV12" s="562"/>
      <c r="CW12" s="562"/>
      <c r="CX12" s="562"/>
      <c r="CY12" s="563"/>
      <c r="DA12" s="561" t="s">
        <v>1690</v>
      </c>
      <c r="DB12" s="562"/>
      <c r="DC12" s="562"/>
      <c r="DD12" s="562"/>
      <c r="DE12" s="562"/>
      <c r="DF12" s="562"/>
      <c r="DG12" s="563"/>
      <c r="DJ12" s="561" t="s">
        <v>1690</v>
      </c>
      <c r="DK12" s="562"/>
      <c r="DL12" s="562"/>
      <c r="DM12" s="562"/>
      <c r="DN12" s="562"/>
      <c r="DO12" s="562"/>
      <c r="DP12" s="563"/>
      <c r="DS12" s="561" t="s">
        <v>1690</v>
      </c>
      <c r="DT12" s="562"/>
      <c r="DU12" s="562"/>
      <c r="DV12" s="562"/>
      <c r="DW12" s="562"/>
      <c r="DX12" s="562"/>
      <c r="DY12" s="563"/>
      <c r="EB12" s="561" t="s">
        <v>1690</v>
      </c>
      <c r="EC12" s="562"/>
      <c r="ED12" s="562"/>
      <c r="EE12" s="562"/>
      <c r="EF12" s="562"/>
      <c r="EG12" s="562"/>
      <c r="EH12" s="563"/>
      <c r="EK12" s="561" t="s">
        <v>1690</v>
      </c>
      <c r="EL12" s="562"/>
      <c r="EM12" s="562"/>
      <c r="EN12" s="562"/>
      <c r="EO12" s="562"/>
      <c r="EP12" s="562"/>
      <c r="EQ12" s="563"/>
      <c r="ES12" s="561" t="s">
        <v>1690</v>
      </c>
      <c r="ET12" s="562"/>
      <c r="EU12" s="562"/>
      <c r="EV12" s="562"/>
      <c r="EW12" s="562"/>
      <c r="EX12" s="562"/>
      <c r="EY12" s="563"/>
      <c r="FA12" s="561" t="s">
        <v>1690</v>
      </c>
      <c r="FB12" s="562"/>
      <c r="FC12" s="562"/>
      <c r="FD12" s="562"/>
      <c r="FE12" s="562"/>
      <c r="FF12" s="562"/>
      <c r="FG12" s="563"/>
      <c r="FI12" s="561" t="s">
        <v>1690</v>
      </c>
      <c r="FJ12" s="562"/>
      <c r="FK12" s="562"/>
      <c r="FL12" s="562"/>
      <c r="FM12" s="562"/>
      <c r="FN12" s="562"/>
      <c r="FO12" s="563"/>
      <c r="FQ12" s="561" t="s">
        <v>1690</v>
      </c>
      <c r="FR12" s="562"/>
      <c r="FS12" s="562"/>
      <c r="FT12" s="562"/>
      <c r="FU12" s="562"/>
      <c r="FV12" s="562"/>
      <c r="FW12" s="563"/>
    </row>
    <row r="13" spans="2:179" ht="15" thickTop="1">
      <c r="B13" s="126" t="s">
        <v>1691</v>
      </c>
      <c r="C13" s="87"/>
      <c r="D13" s="86"/>
      <c r="E13" s="86"/>
      <c r="G13" s="126" t="s">
        <v>1691</v>
      </c>
      <c r="H13" s="87"/>
      <c r="I13" s="86"/>
      <c r="J13" s="86"/>
      <c r="L13" s="126" t="s">
        <v>1691</v>
      </c>
      <c r="M13" s="89"/>
      <c r="N13" s="86"/>
      <c r="O13" s="86"/>
      <c r="Q13" s="126" t="s">
        <v>1691</v>
      </c>
      <c r="R13" s="89"/>
      <c r="S13" s="86"/>
      <c r="T13" s="86"/>
      <c r="V13" s="126" t="s">
        <v>1691</v>
      </c>
      <c r="W13" s="89"/>
      <c r="X13" s="86"/>
      <c r="Y13" s="86"/>
      <c r="AA13" s="126" t="s">
        <v>1691</v>
      </c>
      <c r="AB13" s="89"/>
      <c r="AC13" s="86"/>
      <c r="AD13" s="86"/>
      <c r="AF13" s="127" t="s">
        <v>1691</v>
      </c>
      <c r="AG13" s="128"/>
      <c r="AH13" s="128"/>
      <c r="AI13" s="128"/>
      <c r="AK13" s="596" t="s">
        <v>1691</v>
      </c>
      <c r="AL13" s="597"/>
      <c r="AM13" s="597"/>
      <c r="AN13" s="598"/>
      <c r="AP13" s="599" t="s">
        <v>1691</v>
      </c>
      <c r="AQ13" s="600"/>
      <c r="AR13" s="600"/>
      <c r="AS13" s="600"/>
      <c r="AW13" s="599" t="s">
        <v>1691</v>
      </c>
      <c r="AX13" s="600"/>
      <c r="AY13" s="600"/>
      <c r="AZ13" s="600"/>
      <c r="BA13" s="574"/>
      <c r="BB13" s="575"/>
      <c r="BC13" s="576"/>
      <c r="BE13" s="561" t="s">
        <v>1690</v>
      </c>
      <c r="BF13" s="562"/>
      <c r="BG13" s="562"/>
      <c r="BH13" s="562"/>
      <c r="BI13" s="562"/>
      <c r="BJ13" s="562"/>
      <c r="BK13" s="563"/>
      <c r="BM13" s="561" t="s">
        <v>1692</v>
      </c>
      <c r="BN13" s="562"/>
      <c r="BO13" s="562"/>
      <c r="BP13" s="562"/>
      <c r="BQ13" s="562"/>
      <c r="BR13" s="562"/>
      <c r="BS13" s="564"/>
      <c r="BU13" s="561" t="s">
        <v>1690</v>
      </c>
      <c r="BV13" s="562"/>
      <c r="BW13" s="562"/>
      <c r="BX13" s="562"/>
      <c r="BY13" s="562"/>
      <c r="BZ13" s="562"/>
      <c r="CA13" s="563"/>
      <c r="CC13" s="92" t="s">
        <v>1635</v>
      </c>
      <c r="CD13" s="93">
        <v>28457</v>
      </c>
      <c r="CE13" s="94">
        <v>14181</v>
      </c>
      <c r="CF13" s="94">
        <f>SUM(CD13:CE13)</f>
        <v>42638</v>
      </c>
      <c r="CG13" s="129">
        <f>SUM(154831+85257+33940)</f>
        <v>274028</v>
      </c>
      <c r="CH13" s="96">
        <f>SUM(CF13/CG13)</f>
        <v>0.15559723823842819</v>
      </c>
      <c r="CI13" s="97" t="s">
        <v>1693</v>
      </c>
      <c r="CK13" s="92" t="s">
        <v>1635</v>
      </c>
      <c r="CL13" s="93">
        <v>39561</v>
      </c>
      <c r="CM13" s="94">
        <v>15979</v>
      </c>
      <c r="CN13" s="94">
        <f>SUM(CL13:CM13)</f>
        <v>55540</v>
      </c>
      <c r="CO13" s="129">
        <f>SUM(154803+85369+33945)</f>
        <v>274117</v>
      </c>
      <c r="CP13" s="96">
        <f>SUM(CN13/CO13)</f>
        <v>0.20261421217947082</v>
      </c>
      <c r="CQ13" s="97" t="s">
        <v>1694</v>
      </c>
      <c r="CS13" s="92" t="s">
        <v>1635</v>
      </c>
      <c r="CT13" s="93">
        <v>40693</v>
      </c>
      <c r="CU13" s="94">
        <v>17883</v>
      </c>
      <c r="CV13" s="94">
        <f>SUM(CT13:CU13)</f>
        <v>58576</v>
      </c>
      <c r="CW13" s="129">
        <f>SUM(155316+86443+33883)</f>
        <v>275642</v>
      </c>
      <c r="CX13" s="96">
        <f>SUM(CV13/CW13)</f>
        <v>0.21250752788036656</v>
      </c>
      <c r="CY13" s="97" t="s">
        <v>1695</v>
      </c>
      <c r="DA13" s="92" t="s">
        <v>1635</v>
      </c>
      <c r="DB13" s="93">
        <v>42854</v>
      </c>
      <c r="DC13" s="94">
        <v>20780</v>
      </c>
      <c r="DD13" s="94">
        <f>SUM(DB13:DC13)</f>
        <v>63634</v>
      </c>
      <c r="DE13" s="129">
        <v>277876</v>
      </c>
      <c r="DF13" s="96">
        <f>SUM(DD13/DE13)</f>
        <v>0.22900142509608604</v>
      </c>
      <c r="DG13" s="97" t="s">
        <v>1696</v>
      </c>
      <c r="DJ13" s="92" t="s">
        <v>1635</v>
      </c>
      <c r="DK13" s="93">
        <v>44564</v>
      </c>
      <c r="DL13" s="94">
        <v>22713</v>
      </c>
      <c r="DM13" s="94">
        <f>SUM(DK13:DL13)</f>
        <v>67277</v>
      </c>
      <c r="DN13" s="129">
        <f>SUM(157090+89219+33586)</f>
        <v>279895</v>
      </c>
      <c r="DO13" s="96">
        <f>SUM(DM13/DN13)</f>
        <v>0.24036513692634737</v>
      </c>
      <c r="DP13" s="97" t="s">
        <v>1697</v>
      </c>
      <c r="DS13" s="92" t="s">
        <v>1635</v>
      </c>
      <c r="DT13" s="93">
        <v>45434</v>
      </c>
      <c r="DU13" s="94">
        <v>24228</v>
      </c>
      <c r="DV13" s="94">
        <f>SUM(DT13:DU13)</f>
        <v>69662</v>
      </c>
      <c r="DW13" s="129">
        <f>SUM(157090+89219+33586)</f>
        <v>279895</v>
      </c>
      <c r="DX13" s="96">
        <f>SUM(DV13/DW13)</f>
        <v>0.24888618946390612</v>
      </c>
      <c r="DY13" s="97" t="s">
        <v>1698</v>
      </c>
      <c r="EB13" s="92" t="s">
        <v>1635</v>
      </c>
      <c r="EC13" s="93">
        <v>46835</v>
      </c>
      <c r="ED13" s="94">
        <v>26637</v>
      </c>
      <c r="EE13" s="94">
        <f>SUM(EC13:ED13)</f>
        <v>73472</v>
      </c>
      <c r="EF13" s="129">
        <f xml:space="preserve"> 160837+90460+33513</f>
        <v>284810</v>
      </c>
      <c r="EG13" s="96">
        <f>SUM(EE13/EF13)</f>
        <v>0.25796847020820896</v>
      </c>
      <c r="EH13" s="105">
        <v>0.24888618946390612</v>
      </c>
      <c r="EK13" s="92" t="s">
        <v>1635</v>
      </c>
      <c r="EL13" s="93">
        <v>47511</v>
      </c>
      <c r="EM13" s="94">
        <v>28202</v>
      </c>
      <c r="EN13" s="94">
        <f>SUM(EL13:EM13)</f>
        <v>75713</v>
      </c>
      <c r="EO13" s="129">
        <f xml:space="preserve"> 160837+90460+33513</f>
        <v>284810</v>
      </c>
      <c r="EP13" s="96">
        <f>SUM(EN13/EO13)</f>
        <v>0.2658368737052772</v>
      </c>
      <c r="EQ13" s="105">
        <v>0.25796847020820896</v>
      </c>
      <c r="ES13" s="92" t="s">
        <v>1635</v>
      </c>
      <c r="ET13" s="106">
        <v>47802</v>
      </c>
      <c r="EU13" s="107">
        <f>139+21669+1127+7701</f>
        <v>30636</v>
      </c>
      <c r="EV13" s="108">
        <f>SUM(ET13:EU13)</f>
        <v>78438</v>
      </c>
      <c r="EW13" s="129">
        <f>162252+91031+33201</f>
        <v>286484</v>
      </c>
      <c r="EX13" s="96">
        <f>SUM(EV13/EW13)</f>
        <v>0.27379539520531687</v>
      </c>
      <c r="EY13" s="105">
        <v>0.2658368737052772</v>
      </c>
      <c r="FA13" s="92" t="s">
        <v>1635</v>
      </c>
      <c r="FB13" s="106">
        <f>42450+3408</f>
        <v>45858</v>
      </c>
      <c r="FC13" s="107">
        <f>180+18139+3036+12011</f>
        <v>33366</v>
      </c>
      <c r="FD13" s="108">
        <f>SUM(FB13:FC13)</f>
        <v>79224</v>
      </c>
      <c r="FE13" s="129">
        <f>162461+91996+32938</f>
        <v>287395</v>
      </c>
      <c r="FF13" s="96">
        <f>SUM(FD13/FE13)</f>
        <v>0.27566241583882811</v>
      </c>
      <c r="FG13" s="105">
        <v>0.27379999999999999</v>
      </c>
      <c r="FI13" s="92" t="s">
        <v>1635</v>
      </c>
      <c r="FJ13" s="106">
        <v>46720</v>
      </c>
      <c r="FK13" s="107">
        <v>35988</v>
      </c>
      <c r="FL13" s="108">
        <f>SUM(FJ13:FK13)</f>
        <v>82708</v>
      </c>
      <c r="FM13" s="129">
        <v>284974</v>
      </c>
      <c r="FN13" s="96">
        <f>SUM(FL13/FM13)</f>
        <v>0.29022998589344995</v>
      </c>
      <c r="FO13" s="105">
        <v>0.2757</v>
      </c>
      <c r="FQ13" s="92" t="s">
        <v>1635</v>
      </c>
      <c r="FR13" s="106">
        <f>[1]actrpt!B168+[1]actrpt!B309</f>
        <v>42732</v>
      </c>
      <c r="FS13" s="107">
        <f>[1]actrpt!B84+[1]actrpt!B126+[1]actrpt!B211+[1]actrpt!B260</f>
        <v>43827</v>
      </c>
      <c r="FT13" s="108">
        <f>SUM(FR13:FS13)</f>
        <v>86559</v>
      </c>
      <c r="FU13" s="129">
        <f>[1]html!E24+[1]html!E37+[1]html!H37</f>
        <v>284974</v>
      </c>
      <c r="FV13" s="96">
        <f>SUM(FT13/FU13)</f>
        <v>0.30374349940696344</v>
      </c>
      <c r="FW13" s="105">
        <v>0.2763711461044171</v>
      </c>
    </row>
    <row r="14" spans="2:179">
      <c r="B14" s="86" t="s">
        <v>1635</v>
      </c>
      <c r="C14" s="87">
        <v>0</v>
      </c>
      <c r="D14" s="88">
        <v>22828</v>
      </c>
      <c r="E14" s="88">
        <f t="shared" ref="E14:E19" si="25">SUM(C14:D14)</f>
        <v>22828</v>
      </c>
      <c r="G14" s="86" t="s">
        <v>1635</v>
      </c>
      <c r="H14" s="87">
        <v>0</v>
      </c>
      <c r="I14" s="88">
        <v>23464</v>
      </c>
      <c r="J14" s="88">
        <f t="shared" ref="J14:J19" si="26">SUM(H14:I14)</f>
        <v>23464</v>
      </c>
      <c r="L14" s="86" t="s">
        <v>1635</v>
      </c>
      <c r="M14" s="89">
        <v>0</v>
      </c>
      <c r="N14" s="88">
        <v>24061</v>
      </c>
      <c r="O14" s="88">
        <f t="shared" ref="O14:O20" si="27">SUM(M14:N14)</f>
        <v>24061</v>
      </c>
      <c r="Q14" s="86" t="s">
        <v>1635</v>
      </c>
      <c r="R14" s="89">
        <v>0</v>
      </c>
      <c r="S14" s="88">
        <v>24513</v>
      </c>
      <c r="T14" s="88">
        <f t="shared" ref="T14:T20" si="28">SUM(R14:S14)</f>
        <v>24513</v>
      </c>
      <c r="V14" s="86" t="s">
        <v>1635</v>
      </c>
      <c r="W14" s="89">
        <v>0</v>
      </c>
      <c r="X14" s="88">
        <v>24867</v>
      </c>
      <c r="Y14" s="88">
        <f t="shared" ref="Y14:Y20" si="29">SUM(W14:X14)</f>
        <v>24867</v>
      </c>
      <c r="AA14" s="86" t="s">
        <v>1635</v>
      </c>
      <c r="AB14" s="89">
        <v>0</v>
      </c>
      <c r="AC14" s="88">
        <v>25209</v>
      </c>
      <c r="AD14" s="88">
        <f t="shared" ref="AD14:AD20" si="30">SUM(AB14:AC14)</f>
        <v>25209</v>
      </c>
      <c r="AF14" s="86" t="s">
        <v>1635</v>
      </c>
      <c r="AG14" s="89">
        <v>0</v>
      </c>
      <c r="AH14" s="88">
        <v>25676</v>
      </c>
      <c r="AI14" s="88">
        <f t="shared" ref="AI14:AI20" si="31">SUM(AG14:AH14)</f>
        <v>25676</v>
      </c>
      <c r="AK14" s="86" t="s">
        <v>1635</v>
      </c>
      <c r="AL14" s="89">
        <v>0</v>
      </c>
      <c r="AM14" s="88">
        <v>26124</v>
      </c>
      <c r="AN14" s="88">
        <f t="shared" ref="AN14:AN20" si="32">SUM(AL14:AM14)</f>
        <v>26124</v>
      </c>
      <c r="AP14" s="86" t="s">
        <v>1635</v>
      </c>
      <c r="AQ14" s="89">
        <v>0</v>
      </c>
      <c r="AR14" s="88">
        <v>26687</v>
      </c>
      <c r="AS14" s="88">
        <f t="shared" ref="AS14:AS20" si="33">SUM(AQ14:AR14)</f>
        <v>26687</v>
      </c>
      <c r="AW14" s="86" t="s">
        <v>1635</v>
      </c>
      <c r="AX14" s="89">
        <v>0</v>
      </c>
      <c r="AY14" s="88">
        <v>27204</v>
      </c>
      <c r="AZ14" s="88">
        <f t="shared" ref="AZ14:AZ20" si="34">SUM(AX14:AY14)</f>
        <v>27204</v>
      </c>
      <c r="BA14" s="574"/>
      <c r="BB14" s="575"/>
      <c r="BC14" s="576"/>
      <c r="BE14" s="92" t="s">
        <v>1635</v>
      </c>
      <c r="BF14" s="93">
        <v>3938</v>
      </c>
      <c r="BG14" s="94">
        <v>10139</v>
      </c>
      <c r="BH14" s="94">
        <f>SUM(BF14:BG14)</f>
        <v>14077</v>
      </c>
      <c r="BI14" s="129">
        <f>SUM(157537+82102+33867)</f>
        <v>273506</v>
      </c>
      <c r="BJ14" s="96">
        <f>SUM(BH14/BI14)</f>
        <v>5.1468706353791138E-2</v>
      </c>
      <c r="BK14" s="97" t="s">
        <v>1640</v>
      </c>
      <c r="BM14" s="98" t="s">
        <v>1635</v>
      </c>
      <c r="BN14" s="99">
        <v>4418</v>
      </c>
      <c r="BO14" s="100">
        <v>11392</v>
      </c>
      <c r="BP14" s="100">
        <f>SUM(BN14:BO14)</f>
        <v>15810</v>
      </c>
      <c r="BQ14" s="130">
        <f>SUM(157820+82393+33875)</f>
        <v>274088</v>
      </c>
      <c r="BR14" s="102">
        <f>SUM(BP14/BQ14)</f>
        <v>5.7682204255567554E-2</v>
      </c>
      <c r="BS14" s="103" t="s">
        <v>1699</v>
      </c>
      <c r="BU14" s="92" t="s">
        <v>1635</v>
      </c>
      <c r="BV14" s="93">
        <v>5205</v>
      </c>
      <c r="BW14" s="94">
        <v>12581</v>
      </c>
      <c r="BX14" s="94">
        <f>SUM(BV14:BW14)</f>
        <v>17786</v>
      </c>
      <c r="BY14" s="129">
        <f>SUM(155731+84955+33958)</f>
        <v>274644</v>
      </c>
      <c r="BZ14" s="96">
        <f>SUM(BX14/BY14)</f>
        <v>6.4760198657170739E-2</v>
      </c>
      <c r="CA14" s="97" t="s">
        <v>1700</v>
      </c>
      <c r="CC14" s="86" t="s">
        <v>1638</v>
      </c>
      <c r="CD14" s="89">
        <v>9129</v>
      </c>
      <c r="CE14" s="88">
        <v>6461</v>
      </c>
      <c r="CF14" s="88">
        <f>SUM(CD14:CE14)</f>
        <v>15590</v>
      </c>
      <c r="CG14" s="129">
        <f>SUM(47452+52692+17642)</f>
        <v>117786</v>
      </c>
      <c r="CH14" s="91">
        <f>SUM(CF14/CG14)</f>
        <v>0.132358684393731</v>
      </c>
      <c r="CI14" s="97" t="s">
        <v>1701</v>
      </c>
      <c r="CK14" s="86" t="s">
        <v>1638</v>
      </c>
      <c r="CL14" s="89">
        <v>15247</v>
      </c>
      <c r="CM14" s="88">
        <v>7464</v>
      </c>
      <c r="CN14" s="88">
        <f>SUM(CL14:CM14)</f>
        <v>22711</v>
      </c>
      <c r="CO14" s="129">
        <f>SUM(47406+53439+17564)</f>
        <v>118409</v>
      </c>
      <c r="CP14" s="91">
        <f>SUM(CN14/CO14)</f>
        <v>0.19180129888775346</v>
      </c>
      <c r="CQ14" s="97" t="s">
        <v>1702</v>
      </c>
      <c r="CS14" s="86" t="s">
        <v>1638</v>
      </c>
      <c r="CT14" s="89">
        <v>15721</v>
      </c>
      <c r="CU14" s="88">
        <v>8237</v>
      </c>
      <c r="CV14" s="88">
        <f>SUM(CT14:CU14)</f>
        <v>23958</v>
      </c>
      <c r="CW14" s="129">
        <f>SUM(47734+54236+17484)</f>
        <v>119454</v>
      </c>
      <c r="CX14" s="91">
        <f>SUM(CV14/CW14)</f>
        <v>0.20056255964639108</v>
      </c>
      <c r="CY14" s="97" t="s">
        <v>1703</v>
      </c>
      <c r="DA14" s="86" t="s">
        <v>1638</v>
      </c>
      <c r="DB14" s="89">
        <v>16513</v>
      </c>
      <c r="DC14" s="88">
        <v>9519</v>
      </c>
      <c r="DD14" s="88">
        <f>SUM(DB14:DC14)</f>
        <v>26032</v>
      </c>
      <c r="DE14" s="129">
        <v>120098</v>
      </c>
      <c r="DF14" s="91">
        <f>SUM(DD14/DE14)</f>
        <v>0.21675631567553164</v>
      </c>
      <c r="DG14" s="97" t="s">
        <v>1704</v>
      </c>
      <c r="DJ14" s="86" t="s">
        <v>1638</v>
      </c>
      <c r="DK14" s="89">
        <v>17199</v>
      </c>
      <c r="DL14" s="88">
        <v>10549</v>
      </c>
      <c r="DM14" s="88">
        <f>SUM(DK14:DL14)</f>
        <v>27748</v>
      </c>
      <c r="DN14" s="129">
        <f>SUM(48036+54475+17307)</f>
        <v>119818</v>
      </c>
      <c r="DO14" s="91">
        <f>SUM(DM14/DN14)</f>
        <v>0.23158456993106211</v>
      </c>
      <c r="DP14" s="97" t="s">
        <v>1705</v>
      </c>
      <c r="DS14" s="86" t="s">
        <v>1638</v>
      </c>
      <c r="DT14" s="89">
        <v>17529</v>
      </c>
      <c r="DU14" s="88">
        <v>11315</v>
      </c>
      <c r="DV14" s="88">
        <f>SUM(DT14:DU14)</f>
        <v>28844</v>
      </c>
      <c r="DW14" s="129">
        <f>SUM(48036+54475+17307)</f>
        <v>119818</v>
      </c>
      <c r="DX14" s="91">
        <f>SUM(DV14/DW14)</f>
        <v>0.24073177652773373</v>
      </c>
      <c r="DY14" s="97" t="s">
        <v>1706</v>
      </c>
      <c r="EB14" s="86" t="s">
        <v>1638</v>
      </c>
      <c r="EC14" s="89">
        <v>18022</v>
      </c>
      <c r="ED14" s="88">
        <v>12576</v>
      </c>
      <c r="EE14" s="88">
        <f>SUM(EC14:ED14)</f>
        <v>30598</v>
      </c>
      <c r="EF14" s="129">
        <f xml:space="preserve"> 47626+55874+9405</f>
        <v>112905</v>
      </c>
      <c r="EG14" s="91">
        <f>SUM(EE14/EF14)</f>
        <v>0.27100659846773839</v>
      </c>
      <c r="EH14" s="105">
        <v>0.24073177652773373</v>
      </c>
      <c r="EK14" s="86" t="s">
        <v>1638</v>
      </c>
      <c r="EL14" s="89">
        <v>18184</v>
      </c>
      <c r="EM14" s="88">
        <v>13427</v>
      </c>
      <c r="EN14" s="88">
        <f>SUM(EL14:EM14)</f>
        <v>31611</v>
      </c>
      <c r="EO14" s="129">
        <f xml:space="preserve"> 47626+55874+9405</f>
        <v>112905</v>
      </c>
      <c r="EP14" s="91">
        <f>SUM(EN14/EO14)</f>
        <v>0.27997874319117844</v>
      </c>
      <c r="EQ14" s="105">
        <v>0.27100659846773839</v>
      </c>
      <c r="ES14" s="86" t="s">
        <v>1638</v>
      </c>
      <c r="ET14" s="114">
        <v>18302</v>
      </c>
      <c r="EU14" s="108">
        <f>70+9756+411+3614</f>
        <v>13851</v>
      </c>
      <c r="EV14" s="108">
        <f>SUM(ET14:EU14)</f>
        <v>32153</v>
      </c>
      <c r="EW14" s="129">
        <f>47528+56253+9323</f>
        <v>113104</v>
      </c>
      <c r="EX14" s="91">
        <f>SUM(EV14/EW14)</f>
        <v>0.28427818644787101</v>
      </c>
      <c r="EY14" s="105">
        <v>0.27997874319117844</v>
      </c>
      <c r="FA14" s="86" t="s">
        <v>1638</v>
      </c>
      <c r="FB14" s="114">
        <f>15756+1883</f>
        <v>17639</v>
      </c>
      <c r="FC14" s="108">
        <f>88+7928+1102+6186</f>
        <v>15304</v>
      </c>
      <c r="FD14" s="108">
        <f>SUM(FB14:FC14)</f>
        <v>32943</v>
      </c>
      <c r="FE14" s="129">
        <f>47553+56144+9281</f>
        <v>112978</v>
      </c>
      <c r="FF14" s="91">
        <f>SUM(FD14/FE14)</f>
        <v>0.29158774274637539</v>
      </c>
      <c r="FG14" s="105">
        <v>0.2843</v>
      </c>
      <c r="FI14" s="86" t="s">
        <v>1638</v>
      </c>
      <c r="FJ14" s="114">
        <v>17809</v>
      </c>
      <c r="FK14" s="108">
        <v>17294</v>
      </c>
      <c r="FL14" s="108">
        <f>SUM(FJ14:FK14)</f>
        <v>35103</v>
      </c>
      <c r="FM14" s="129">
        <v>111868</v>
      </c>
      <c r="FN14" s="91">
        <f>SUM(FL14/FM14)</f>
        <v>0.31378946615654163</v>
      </c>
      <c r="FO14" s="105">
        <v>0.29160000000000003</v>
      </c>
      <c r="FQ14" s="86" t="s">
        <v>1638</v>
      </c>
      <c r="FR14" s="114">
        <f>[1]actrpt!B170+[1]actrpt!B311</f>
        <v>15710</v>
      </c>
      <c r="FS14" s="108">
        <f>[1]actrpt!B86+[1]actrpt!B128+[1]actrpt!B213+[1]actrpt!B262</f>
        <v>20698</v>
      </c>
      <c r="FT14" s="108">
        <f>SUM(FR14:FS14)</f>
        <v>36408</v>
      </c>
      <c r="FU14" s="129">
        <f>[1]html!E25+[1]html!E38+[1]html!H38</f>
        <v>111868</v>
      </c>
      <c r="FV14" s="91">
        <f>SUM(FT14/FU14)</f>
        <v>0.32545500053634641</v>
      </c>
      <c r="FW14" s="105">
        <v>0.2931419571272213</v>
      </c>
    </row>
    <row r="15" spans="2:179">
      <c r="B15" s="86" t="s">
        <v>1638</v>
      </c>
      <c r="C15" s="87">
        <v>0</v>
      </c>
      <c r="D15" s="88">
        <v>15662</v>
      </c>
      <c r="E15" s="88">
        <f t="shared" si="25"/>
        <v>15662</v>
      </c>
      <c r="G15" s="86" t="s">
        <v>1638</v>
      </c>
      <c r="H15" s="87">
        <v>0</v>
      </c>
      <c r="I15" s="88">
        <v>16071</v>
      </c>
      <c r="J15" s="88">
        <f t="shared" si="26"/>
        <v>16071</v>
      </c>
      <c r="L15" s="86" t="s">
        <v>1638</v>
      </c>
      <c r="M15" s="89">
        <v>0</v>
      </c>
      <c r="N15" s="88">
        <v>16428</v>
      </c>
      <c r="O15" s="88">
        <f t="shared" si="27"/>
        <v>16428</v>
      </c>
      <c r="Q15" s="86" t="s">
        <v>1638</v>
      </c>
      <c r="R15" s="89">
        <v>0</v>
      </c>
      <c r="S15" s="88">
        <v>16707</v>
      </c>
      <c r="T15" s="88">
        <f t="shared" si="28"/>
        <v>16707</v>
      </c>
      <c r="V15" s="86" t="s">
        <v>1638</v>
      </c>
      <c r="W15" s="89">
        <v>0</v>
      </c>
      <c r="X15" s="88">
        <v>16898</v>
      </c>
      <c r="Y15" s="88">
        <f t="shared" si="29"/>
        <v>16898</v>
      </c>
      <c r="AA15" s="86" t="s">
        <v>1638</v>
      </c>
      <c r="AB15" s="89">
        <v>0</v>
      </c>
      <c r="AC15" s="88">
        <v>17125</v>
      </c>
      <c r="AD15" s="88">
        <f t="shared" si="30"/>
        <v>17125</v>
      </c>
      <c r="AF15" s="86" t="s">
        <v>1638</v>
      </c>
      <c r="AG15" s="89">
        <v>0</v>
      </c>
      <c r="AH15" s="88">
        <v>17434</v>
      </c>
      <c r="AI15" s="88">
        <f t="shared" si="31"/>
        <v>17434</v>
      </c>
      <c r="AK15" s="86" t="s">
        <v>1638</v>
      </c>
      <c r="AL15" s="89">
        <v>0</v>
      </c>
      <c r="AM15" s="88">
        <v>17726</v>
      </c>
      <c r="AN15" s="88">
        <f t="shared" si="32"/>
        <v>17726</v>
      </c>
      <c r="AP15" s="86" t="s">
        <v>1638</v>
      </c>
      <c r="AQ15" s="89">
        <v>0</v>
      </c>
      <c r="AR15" s="88">
        <v>18088</v>
      </c>
      <c r="AS15" s="88">
        <f t="shared" si="33"/>
        <v>18088</v>
      </c>
      <c r="AW15" s="86" t="s">
        <v>1638</v>
      </c>
      <c r="AX15" s="89">
        <v>0</v>
      </c>
      <c r="AY15" s="88">
        <v>18482</v>
      </c>
      <c r="AZ15" s="88">
        <f t="shared" si="34"/>
        <v>18482</v>
      </c>
      <c r="BA15" s="574"/>
      <c r="BB15" s="575"/>
      <c r="BC15" s="576"/>
      <c r="BE15" s="86" t="s">
        <v>1638</v>
      </c>
      <c r="BF15" s="89">
        <v>1573</v>
      </c>
      <c r="BG15" s="88">
        <v>4420</v>
      </c>
      <c r="BH15" s="88">
        <f>SUM(BF15:BG15)</f>
        <v>5993</v>
      </c>
      <c r="BI15" s="129">
        <f>SUM(46551+54072+17841)</f>
        <v>118464</v>
      </c>
      <c r="BJ15" s="91">
        <f>SUM(BH15/BI15)</f>
        <v>5.0589208535926529E-2</v>
      </c>
      <c r="BK15" s="97" t="s">
        <v>1640</v>
      </c>
      <c r="BM15" s="109" t="s">
        <v>1638</v>
      </c>
      <c r="BN15" s="110">
        <v>1779</v>
      </c>
      <c r="BO15" s="111">
        <v>5072</v>
      </c>
      <c r="BP15" s="111">
        <f>SUM(BN15:BO15)</f>
        <v>6851</v>
      </c>
      <c r="BQ15" s="130">
        <f>SUM(46750+53246+17752)</f>
        <v>117748</v>
      </c>
      <c r="BR15" s="113">
        <f>SUM(BP15/BQ15)</f>
        <v>5.8183578489655878E-2</v>
      </c>
      <c r="BS15" s="103" t="s">
        <v>1707</v>
      </c>
      <c r="BU15" s="86" t="s">
        <v>1638</v>
      </c>
      <c r="BV15" s="89">
        <v>2153</v>
      </c>
      <c r="BW15" s="88">
        <v>5718</v>
      </c>
      <c r="BX15" s="88">
        <f>SUM(BV15:BW15)</f>
        <v>7871</v>
      </c>
      <c r="BY15" s="129">
        <f>SUM(46953+52879+17686)</f>
        <v>117518</v>
      </c>
      <c r="BZ15" s="91">
        <f>SUM(BX15/BY15)</f>
        <v>6.6976973740192985E-2</v>
      </c>
      <c r="CA15" s="97" t="s">
        <v>1708</v>
      </c>
      <c r="CC15" s="86" t="s">
        <v>1649</v>
      </c>
      <c r="CD15" s="89">
        <v>10269</v>
      </c>
      <c r="CE15" s="88">
        <v>8174</v>
      </c>
      <c r="CF15" s="88">
        <f>SUM(CD15:CE15)</f>
        <v>18443</v>
      </c>
      <c r="CG15" s="129">
        <f>SUM(57498+54628+12353)</f>
        <v>124479</v>
      </c>
      <c r="CH15" s="91">
        <f>SUM(CF15/CG15)</f>
        <v>0.14816153728741394</v>
      </c>
      <c r="CI15" s="97" t="s">
        <v>1709</v>
      </c>
      <c r="CK15" s="86" t="s">
        <v>1649</v>
      </c>
      <c r="CL15" s="89">
        <v>15086</v>
      </c>
      <c r="CM15" s="88">
        <v>9122</v>
      </c>
      <c r="CN15" s="88">
        <f>SUM(CL15:CM15)</f>
        <v>24208</v>
      </c>
      <c r="CO15" s="129">
        <f>SUM(57005+54115+12389)</f>
        <v>123509</v>
      </c>
      <c r="CP15" s="91">
        <f>SUM(CN15/CO15)</f>
        <v>0.19600191079192608</v>
      </c>
      <c r="CQ15" s="97" t="s">
        <v>1710</v>
      </c>
      <c r="CS15" s="86" t="s">
        <v>1649</v>
      </c>
      <c r="CT15" s="89">
        <v>15597</v>
      </c>
      <c r="CU15" s="88">
        <v>10161</v>
      </c>
      <c r="CV15" s="88">
        <f>SUM(CT15:CU15)</f>
        <v>25758</v>
      </c>
      <c r="CW15" s="129">
        <f>SUM(57743+55156+12457)</f>
        <v>125356</v>
      </c>
      <c r="CX15" s="91">
        <f>SUM(CV15/CW15)</f>
        <v>0.2054787963878873</v>
      </c>
      <c r="CY15" s="97" t="s">
        <v>1711</v>
      </c>
      <c r="DA15" s="86" t="s">
        <v>1649</v>
      </c>
      <c r="DB15" s="89">
        <v>16330</v>
      </c>
      <c r="DC15" s="88">
        <v>11580</v>
      </c>
      <c r="DD15" s="88">
        <f>SUM(DB15:DC15)</f>
        <v>27910</v>
      </c>
      <c r="DE15" s="129">
        <v>126067</v>
      </c>
      <c r="DF15" s="91">
        <f>SUM(DD15/DE15)</f>
        <v>0.22139021314063156</v>
      </c>
      <c r="DG15" s="97" t="s">
        <v>1712</v>
      </c>
      <c r="DJ15" s="86" t="s">
        <v>1649</v>
      </c>
      <c r="DK15" s="89">
        <v>16889</v>
      </c>
      <c r="DL15" s="88">
        <v>12724</v>
      </c>
      <c r="DM15" s="88">
        <f>SUM(DK15:DL15)</f>
        <v>29613</v>
      </c>
      <c r="DN15" s="129">
        <f>SUM(59293+54726+12367)</f>
        <v>126386</v>
      </c>
      <c r="DO15" s="91">
        <f>SUM(DM15/DN15)</f>
        <v>0.23430601490671435</v>
      </c>
      <c r="DP15" s="97" t="s">
        <v>1713</v>
      </c>
      <c r="DS15" s="86" t="s">
        <v>1649</v>
      </c>
      <c r="DT15" s="89">
        <v>17181</v>
      </c>
      <c r="DU15" s="88">
        <v>13605</v>
      </c>
      <c r="DV15" s="88">
        <f>SUM(DT15:DU15)</f>
        <v>30786</v>
      </c>
      <c r="DW15" s="129">
        <f>SUM(59293+54726+12367)</f>
        <v>126386</v>
      </c>
      <c r="DX15" s="91">
        <f>SUM(DV15/DW15)</f>
        <v>0.24358710616682228</v>
      </c>
      <c r="DY15" s="97" t="s">
        <v>1714</v>
      </c>
      <c r="EB15" s="86" t="s">
        <v>1649</v>
      </c>
      <c r="EC15" s="89">
        <v>17675</v>
      </c>
      <c r="ED15" s="88">
        <v>15095</v>
      </c>
      <c r="EE15" s="88">
        <f>SUM(EC15:ED15)</f>
        <v>32770</v>
      </c>
      <c r="EF15" s="129">
        <f>58328+50803+12330</f>
        <v>121461</v>
      </c>
      <c r="EG15" s="91">
        <f>SUM(EE15/EF15)</f>
        <v>0.26979853615563842</v>
      </c>
      <c r="EH15" s="105">
        <v>0.24358710616682228</v>
      </c>
      <c r="EK15" s="86" t="s">
        <v>1649</v>
      </c>
      <c r="EL15" s="89">
        <v>17935</v>
      </c>
      <c r="EM15" s="88">
        <v>16153</v>
      </c>
      <c r="EN15" s="88">
        <f>SUM(EL15:EM15)</f>
        <v>34088</v>
      </c>
      <c r="EO15" s="129">
        <f>58328+50803+12330</f>
        <v>121461</v>
      </c>
      <c r="EP15" s="91">
        <f>SUM(EN15/EO15)</f>
        <v>0.28064975588872149</v>
      </c>
      <c r="EQ15" s="105">
        <v>0.26979853615563842</v>
      </c>
      <c r="ES15" s="86" t="s">
        <v>1649</v>
      </c>
      <c r="ET15" s="114">
        <v>18091</v>
      </c>
      <c r="EU15" s="108">
        <f>59+12236+491+4832</f>
        <v>17618</v>
      </c>
      <c r="EV15" s="108">
        <f>SUM(ET15:EU15)</f>
        <v>35709</v>
      </c>
      <c r="EW15" s="129">
        <f>57989+50782+12237</f>
        <v>121008</v>
      </c>
      <c r="EX15" s="91">
        <f>SUM(EV15/EW15)</f>
        <v>0.29509619198730663</v>
      </c>
      <c r="EY15" s="105">
        <v>0.28064975588872149</v>
      </c>
      <c r="FA15" s="86" t="s">
        <v>1649</v>
      </c>
      <c r="FB15" s="114">
        <f>15149+2397</f>
        <v>17546</v>
      </c>
      <c r="FC15" s="108">
        <f>77+8249+1291+10353</f>
        <v>19970</v>
      </c>
      <c r="FD15" s="108">
        <f>SUM(FB15:FC15)</f>
        <v>37516</v>
      </c>
      <c r="FE15" s="129">
        <f>57341+51540+11920</f>
        <v>120801</v>
      </c>
      <c r="FF15" s="91">
        <f>SUM(FD15/FE15)</f>
        <v>0.31056034304351787</v>
      </c>
      <c r="FG15" s="105">
        <v>0.29509999999999997</v>
      </c>
      <c r="FI15" s="86" t="s">
        <v>1649</v>
      </c>
      <c r="FJ15" s="114">
        <v>17911</v>
      </c>
      <c r="FK15" s="108">
        <v>21803</v>
      </c>
      <c r="FL15" s="108">
        <f>SUM(FJ15:FK15)</f>
        <v>39714</v>
      </c>
      <c r="FM15" s="129">
        <v>120674</v>
      </c>
      <c r="FN15" s="91">
        <f>SUM(FL15/FM15)</f>
        <v>0.32910154631486482</v>
      </c>
      <c r="FO15" s="105">
        <v>0.31059999999999999</v>
      </c>
      <c r="FQ15" s="86" t="s">
        <v>1649</v>
      </c>
      <c r="FR15" s="114">
        <f>15149+[1]actrpt!B310</f>
        <v>19223</v>
      </c>
      <c r="FS15" s="108">
        <f>[1]actrpt!B85+[1]actrpt!B127+[1]actrpt!B212+[1]actrpt!B261</f>
        <v>25910</v>
      </c>
      <c r="FT15" s="108">
        <f>SUM(FR15:FS15)</f>
        <v>45133</v>
      </c>
      <c r="FU15" s="129">
        <f>[1]html!E27+[1]html!E40+[1]html!H40</f>
        <v>120674</v>
      </c>
      <c r="FV15" s="91">
        <f>SUM(FT15/FU15)</f>
        <v>0.37400765699322142</v>
      </c>
      <c r="FW15" s="105">
        <v>0.3241838341261048</v>
      </c>
    </row>
    <row r="16" spans="2:179">
      <c r="B16" s="86" t="s">
        <v>1649</v>
      </c>
      <c r="C16" s="87">
        <v>0</v>
      </c>
      <c r="D16" s="88">
        <v>9914</v>
      </c>
      <c r="E16" s="88">
        <f t="shared" si="25"/>
        <v>9914</v>
      </c>
      <c r="G16" s="86" t="s">
        <v>1649</v>
      </c>
      <c r="H16" s="87">
        <v>0</v>
      </c>
      <c r="I16" s="88">
        <v>10242</v>
      </c>
      <c r="J16" s="88">
        <f t="shared" si="26"/>
        <v>10242</v>
      </c>
      <c r="L16" s="86" t="s">
        <v>1649</v>
      </c>
      <c r="M16" s="89">
        <v>0</v>
      </c>
      <c r="N16" s="88">
        <v>10462</v>
      </c>
      <c r="O16" s="88">
        <f t="shared" si="27"/>
        <v>10462</v>
      </c>
      <c r="Q16" s="86" t="s">
        <v>1649</v>
      </c>
      <c r="R16" s="89">
        <v>0</v>
      </c>
      <c r="S16" s="88">
        <v>10611</v>
      </c>
      <c r="T16" s="88">
        <f t="shared" si="28"/>
        <v>10611</v>
      </c>
      <c r="V16" s="86" t="s">
        <v>1649</v>
      </c>
      <c r="W16" s="89">
        <v>0</v>
      </c>
      <c r="X16" s="88">
        <v>10765</v>
      </c>
      <c r="Y16" s="88">
        <f t="shared" si="29"/>
        <v>10765</v>
      </c>
      <c r="AA16" s="86" t="s">
        <v>1649</v>
      </c>
      <c r="AB16" s="89">
        <v>0</v>
      </c>
      <c r="AC16" s="88">
        <v>10915</v>
      </c>
      <c r="AD16" s="88">
        <f t="shared" si="30"/>
        <v>10915</v>
      </c>
      <c r="AF16" s="86" t="s">
        <v>1649</v>
      </c>
      <c r="AG16" s="89">
        <v>0</v>
      </c>
      <c r="AH16" s="88">
        <v>11101</v>
      </c>
      <c r="AI16" s="88">
        <f t="shared" si="31"/>
        <v>11101</v>
      </c>
      <c r="AK16" s="86" t="s">
        <v>1649</v>
      </c>
      <c r="AL16" s="89">
        <v>0</v>
      </c>
      <c r="AM16" s="88">
        <v>11304</v>
      </c>
      <c r="AN16" s="88">
        <f t="shared" si="32"/>
        <v>11304</v>
      </c>
      <c r="AP16" s="86" t="s">
        <v>1649</v>
      </c>
      <c r="AQ16" s="89">
        <v>0</v>
      </c>
      <c r="AR16" s="88">
        <v>11538</v>
      </c>
      <c r="AS16" s="88">
        <f t="shared" si="33"/>
        <v>11538</v>
      </c>
      <c r="AW16" s="86" t="s">
        <v>1649</v>
      </c>
      <c r="AX16" s="89">
        <v>0</v>
      </c>
      <c r="AY16" s="88">
        <v>11826</v>
      </c>
      <c r="AZ16" s="88">
        <f t="shared" si="34"/>
        <v>11826</v>
      </c>
      <c r="BA16" s="574"/>
      <c r="BB16" s="575"/>
      <c r="BC16" s="576"/>
      <c r="BE16" s="86" t="s">
        <v>1649</v>
      </c>
      <c r="BF16" s="89">
        <v>1646</v>
      </c>
      <c r="BG16" s="88">
        <v>5864</v>
      </c>
      <c r="BH16" s="88">
        <f>SUM(BF16:BG16)</f>
        <v>7510</v>
      </c>
      <c r="BI16" s="129">
        <f>SUM(57305+57028+12284)</f>
        <v>126617</v>
      </c>
      <c r="BJ16" s="91">
        <f>SUM(BH16/BI16)</f>
        <v>5.9312730518018907E-2</v>
      </c>
      <c r="BK16" s="97" t="s">
        <v>1640</v>
      </c>
      <c r="BM16" s="109" t="s">
        <v>1649</v>
      </c>
      <c r="BN16" s="110">
        <v>1862</v>
      </c>
      <c r="BO16" s="111">
        <v>6581</v>
      </c>
      <c r="BP16" s="111">
        <f>SUM(BN16:BO16)</f>
        <v>8443</v>
      </c>
      <c r="BQ16" s="130">
        <f>SUM(57238+56003+12350)</f>
        <v>125591</v>
      </c>
      <c r="BR16" s="113">
        <f>SUM(BP16/BQ16)</f>
        <v>6.7226154740387442E-2</v>
      </c>
      <c r="BS16" s="103" t="s">
        <v>1715</v>
      </c>
      <c r="BU16" s="86" t="s">
        <v>1649</v>
      </c>
      <c r="BV16" s="89">
        <v>2226</v>
      </c>
      <c r="BW16" s="88">
        <v>7283</v>
      </c>
      <c r="BX16" s="88">
        <f>SUM(BV16:BW16)</f>
        <v>9509</v>
      </c>
      <c r="BY16" s="129">
        <f>SUM(57280+55218+12364)</f>
        <v>124862</v>
      </c>
      <c r="BZ16" s="91">
        <f>SUM(BX16/BY16)</f>
        <v>7.6156076308244308E-2</v>
      </c>
      <c r="CA16" s="97" t="s">
        <v>1716</v>
      </c>
      <c r="CC16" s="86" t="s">
        <v>1659</v>
      </c>
      <c r="CD16" s="89">
        <v>11782</v>
      </c>
      <c r="CE16" s="88">
        <v>2894</v>
      </c>
      <c r="CF16" s="88">
        <f>SUM(CD16:CE16)</f>
        <v>14676</v>
      </c>
      <c r="CG16" s="129">
        <f>SUM(29976+57494+117)</f>
        <v>87587</v>
      </c>
      <c r="CH16" s="91">
        <f>SUM(CF16/CG16)</f>
        <v>0.16755911265370432</v>
      </c>
      <c r="CI16" s="97" t="s">
        <v>1717</v>
      </c>
      <c r="CK16" s="86" t="s">
        <v>1659</v>
      </c>
      <c r="CL16" s="89">
        <v>18191</v>
      </c>
      <c r="CM16" s="88">
        <v>3436</v>
      </c>
      <c r="CN16" s="88">
        <f>SUM(CL16:CM16)</f>
        <v>21627</v>
      </c>
      <c r="CO16" s="129">
        <f>SUM(30291+57732+126)</f>
        <v>88149</v>
      </c>
      <c r="CP16" s="91">
        <f>SUM(CN16/CO16)</f>
        <v>0.24534594833747406</v>
      </c>
      <c r="CQ16" s="97" t="s">
        <v>1718</v>
      </c>
      <c r="CS16" s="86" t="s">
        <v>1659</v>
      </c>
      <c r="CT16" s="89">
        <v>18685</v>
      </c>
      <c r="CU16" s="88">
        <v>3922</v>
      </c>
      <c r="CV16" s="88">
        <f>SUM(CT16:CU16)</f>
        <v>22607</v>
      </c>
      <c r="CW16" s="129">
        <f>SUM(30753+60017+131)</f>
        <v>90901</v>
      </c>
      <c r="CX16" s="91">
        <f>SUM(CV16/CW16)</f>
        <v>0.24869913422294584</v>
      </c>
      <c r="CY16" s="97" t="s">
        <v>1719</v>
      </c>
      <c r="DA16" s="86" t="s">
        <v>1659</v>
      </c>
      <c r="DB16" s="89">
        <v>19731</v>
      </c>
      <c r="DC16" s="88">
        <v>4601</v>
      </c>
      <c r="DD16" s="88">
        <f>SUM(DB16:DC16)</f>
        <v>24332</v>
      </c>
      <c r="DE16" s="129">
        <v>90198</v>
      </c>
      <c r="DF16" s="91">
        <f>SUM(DD16/DE16)</f>
        <v>0.26976207898179561</v>
      </c>
      <c r="DG16" s="97" t="s">
        <v>1720</v>
      </c>
      <c r="DJ16" s="86" t="s">
        <v>1659</v>
      </c>
      <c r="DK16" s="89">
        <v>20301</v>
      </c>
      <c r="DL16" s="88">
        <v>5116</v>
      </c>
      <c r="DM16" s="88">
        <f>SUM(DK16:DL16)</f>
        <v>25417</v>
      </c>
      <c r="DN16" s="129">
        <f>SUM(31064+58418+139)</f>
        <v>89621</v>
      </c>
      <c r="DO16" s="91">
        <f>SUM(DM16/DN16)</f>
        <v>0.28360540498320708</v>
      </c>
      <c r="DP16" s="97" t="s">
        <v>1721</v>
      </c>
      <c r="DS16" s="86" t="s">
        <v>1659</v>
      </c>
      <c r="DT16" s="89">
        <v>20637</v>
      </c>
      <c r="DU16" s="88">
        <v>5542</v>
      </c>
      <c r="DV16" s="88">
        <f>SUM(DT16:DU16)</f>
        <v>26179</v>
      </c>
      <c r="DW16" s="129">
        <f>SUM(31064+58418+139)</f>
        <v>89621</v>
      </c>
      <c r="DX16" s="91">
        <f>SUM(DV16/DW16)</f>
        <v>0.29210787650215908</v>
      </c>
      <c r="DY16" s="97" t="s">
        <v>1722</v>
      </c>
      <c r="EB16" s="86" t="s">
        <v>1659</v>
      </c>
      <c r="EC16" s="89">
        <v>21013</v>
      </c>
      <c r="ED16" s="88">
        <v>6347</v>
      </c>
      <c r="EE16" s="88">
        <f>SUM(EC16:ED16)</f>
        <v>27360</v>
      </c>
      <c r="EF16" s="129">
        <f>31492+58626+156</f>
        <v>90274</v>
      </c>
      <c r="EG16" s="91">
        <f>SUM(EE16/EF16)</f>
        <v>0.30307729800385491</v>
      </c>
      <c r="EH16" s="105">
        <v>0.29210787650215908</v>
      </c>
      <c r="EK16" s="86" t="s">
        <v>1659</v>
      </c>
      <c r="EL16" s="89">
        <v>21131</v>
      </c>
      <c r="EM16" s="88">
        <v>6841</v>
      </c>
      <c r="EN16" s="88">
        <f>SUM(EL16:EM16)</f>
        <v>27972</v>
      </c>
      <c r="EO16" s="129">
        <f>31492+58626+156</f>
        <v>90274</v>
      </c>
      <c r="EP16" s="91">
        <f>SUM(EN16/EO16)</f>
        <v>0.30985665861709905</v>
      </c>
      <c r="EQ16" s="105">
        <v>0.30307729800385491</v>
      </c>
      <c r="ES16" s="86" t="s">
        <v>1659</v>
      </c>
      <c r="ET16" s="114">
        <v>21182</v>
      </c>
      <c r="EU16" s="108">
        <f>60+5417+447+2040</f>
        <v>7964</v>
      </c>
      <c r="EV16" s="108">
        <f>SUM(ET16:EU16)</f>
        <v>29146</v>
      </c>
      <c r="EW16" s="129">
        <f>31675+58568+161</f>
        <v>90404</v>
      </c>
      <c r="EX16" s="91">
        <f>SUM(EV16/EW16)</f>
        <v>0.32239723906021855</v>
      </c>
      <c r="EY16" s="105">
        <v>0.30985665861709905</v>
      </c>
      <c r="FA16" s="86" t="s">
        <v>1659</v>
      </c>
      <c r="FB16" s="114">
        <f>19570+1464</f>
        <v>21034</v>
      </c>
      <c r="FC16" s="108">
        <f>84+4630+1229+2816</f>
        <v>8759</v>
      </c>
      <c r="FD16" s="108">
        <f>SUM(FB16:FC16)</f>
        <v>29793</v>
      </c>
      <c r="FE16" s="129">
        <f>31722+58942+157</f>
        <v>90821</v>
      </c>
      <c r="FF16" s="91">
        <f>SUM(FD16/FE16)</f>
        <v>0.32804087160458484</v>
      </c>
      <c r="FG16" s="105">
        <v>0.32240000000000002</v>
      </c>
      <c r="FI16" s="86" t="s">
        <v>1659</v>
      </c>
      <c r="FJ16" s="114">
        <v>21804</v>
      </c>
      <c r="FK16" s="108">
        <v>9758</v>
      </c>
      <c r="FL16" s="108">
        <f>SUM(FJ16:FK16)</f>
        <v>31562</v>
      </c>
      <c r="FM16" s="129">
        <v>92898</v>
      </c>
      <c r="FN16" s="91">
        <f>SUM(FL16/FM16)</f>
        <v>0.33974897199078558</v>
      </c>
      <c r="FO16" s="105">
        <v>0.32800000000000001</v>
      </c>
      <c r="FQ16" s="86" t="s">
        <v>1659</v>
      </c>
      <c r="FR16" s="114">
        <f>[1]actrpt!B171+[1]actrpt!B312</f>
        <v>19274</v>
      </c>
      <c r="FS16" s="108">
        <f>[1]actrpt!B87+[1]actrpt!B129+[1]actrpt!B214+[1]actrpt!B263</f>
        <v>12865</v>
      </c>
      <c r="FT16" s="108">
        <f>SUM(FR16:FS16)</f>
        <v>32139</v>
      </c>
      <c r="FU16" s="129">
        <f>[1]html!E26+[1]html!E39+[1]html!H39</f>
        <v>92898</v>
      </c>
      <c r="FV16" s="91">
        <f>SUM(FT16/FU16)</f>
        <v>0.3459600852547956</v>
      </c>
      <c r="FW16" s="105">
        <v>0.32713677090653548</v>
      </c>
    </row>
    <row r="17" spans="2:179">
      <c r="B17" s="86" t="s">
        <v>1659</v>
      </c>
      <c r="C17" s="87">
        <v>0</v>
      </c>
      <c r="D17" s="88">
        <v>3251</v>
      </c>
      <c r="E17" s="88">
        <f t="shared" si="25"/>
        <v>3251</v>
      </c>
      <c r="G17" s="86" t="s">
        <v>1659</v>
      </c>
      <c r="H17" s="87">
        <v>0</v>
      </c>
      <c r="I17" s="88">
        <v>3342</v>
      </c>
      <c r="J17" s="88">
        <f t="shared" si="26"/>
        <v>3342</v>
      </c>
      <c r="L17" s="86" t="s">
        <v>1659</v>
      </c>
      <c r="M17" s="89">
        <v>0</v>
      </c>
      <c r="N17" s="88">
        <v>3399</v>
      </c>
      <c r="O17" s="88">
        <f t="shared" si="27"/>
        <v>3399</v>
      </c>
      <c r="Q17" s="86" t="s">
        <v>1659</v>
      </c>
      <c r="R17" s="89">
        <v>0</v>
      </c>
      <c r="S17" s="88">
        <v>3454</v>
      </c>
      <c r="T17" s="88">
        <f t="shared" si="28"/>
        <v>3454</v>
      </c>
      <c r="V17" s="86" t="s">
        <v>1659</v>
      </c>
      <c r="W17" s="89">
        <v>0</v>
      </c>
      <c r="X17" s="88">
        <v>3487</v>
      </c>
      <c r="Y17" s="88">
        <f t="shared" si="29"/>
        <v>3487</v>
      </c>
      <c r="AA17" s="86" t="s">
        <v>1659</v>
      </c>
      <c r="AB17" s="89">
        <v>0</v>
      </c>
      <c r="AC17" s="88">
        <v>3532</v>
      </c>
      <c r="AD17" s="88">
        <f t="shared" si="30"/>
        <v>3532</v>
      </c>
      <c r="AF17" s="86" t="s">
        <v>1659</v>
      </c>
      <c r="AG17" s="89">
        <v>0</v>
      </c>
      <c r="AH17" s="88">
        <v>3599</v>
      </c>
      <c r="AI17" s="88">
        <f t="shared" si="31"/>
        <v>3599</v>
      </c>
      <c r="AK17" s="86" t="s">
        <v>1659</v>
      </c>
      <c r="AL17" s="89">
        <v>0</v>
      </c>
      <c r="AM17" s="88">
        <v>3668</v>
      </c>
      <c r="AN17" s="88">
        <f t="shared" si="32"/>
        <v>3668</v>
      </c>
      <c r="AP17" s="86" t="s">
        <v>1659</v>
      </c>
      <c r="AQ17" s="89">
        <v>0</v>
      </c>
      <c r="AR17" s="88">
        <v>3742</v>
      </c>
      <c r="AS17" s="88">
        <f t="shared" si="33"/>
        <v>3742</v>
      </c>
      <c r="AW17" s="86" t="s">
        <v>1659</v>
      </c>
      <c r="AX17" s="89">
        <v>0</v>
      </c>
      <c r="AY17" s="88">
        <v>3803</v>
      </c>
      <c r="AZ17" s="88">
        <f t="shared" si="34"/>
        <v>3803</v>
      </c>
      <c r="BA17" s="574"/>
      <c r="BB17" s="575"/>
      <c r="BC17" s="576"/>
      <c r="BE17" s="86" t="s">
        <v>1659</v>
      </c>
      <c r="BF17" s="89">
        <v>1713</v>
      </c>
      <c r="BG17" s="88">
        <v>1782</v>
      </c>
      <c r="BH17" s="88">
        <f>SUM(BF17:BG17)</f>
        <v>3495</v>
      </c>
      <c r="BI17" s="129">
        <f>SUM(30572+54488+128)</f>
        <v>85188</v>
      </c>
      <c r="BJ17" s="91">
        <f>SUM(BH17/BI17)</f>
        <v>4.1026905197915201E-2</v>
      </c>
      <c r="BK17" s="97" t="s">
        <v>1640</v>
      </c>
      <c r="BM17" s="109" t="s">
        <v>1659</v>
      </c>
      <c r="BN17" s="110">
        <v>1943</v>
      </c>
      <c r="BO17" s="111">
        <v>2097</v>
      </c>
      <c r="BP17" s="111">
        <f>SUM(BN17:BO17)</f>
        <v>4040</v>
      </c>
      <c r="BQ17" s="130">
        <f>SUM(30469+54726+132)</f>
        <v>85327</v>
      </c>
      <c r="BR17" s="113">
        <f>SUM(BP17/BQ17)</f>
        <v>4.7347264054754062E-2</v>
      </c>
      <c r="BS17" s="103" t="s">
        <v>1723</v>
      </c>
      <c r="BU17" s="86" t="s">
        <v>1659</v>
      </c>
      <c r="BV17" s="89">
        <v>2304</v>
      </c>
      <c r="BW17" s="88">
        <v>2425</v>
      </c>
      <c r="BX17" s="88">
        <f>SUM(BV17:BW17)</f>
        <v>4729</v>
      </c>
      <c r="BY17" s="129">
        <f>SUM(30282+55535+107)</f>
        <v>85924</v>
      </c>
      <c r="BZ17" s="91">
        <f>SUM(BX17/BY17)</f>
        <v>5.5037009450211817E-2</v>
      </c>
      <c r="CA17" s="97" t="s">
        <v>1724</v>
      </c>
      <c r="CC17" s="86" t="s">
        <v>1668</v>
      </c>
      <c r="CD17" s="89">
        <v>724</v>
      </c>
      <c r="CE17" s="88">
        <v>479</v>
      </c>
      <c r="CF17" s="88">
        <f>SUM(CD17:CE17)</f>
        <v>1203</v>
      </c>
      <c r="CG17" s="129">
        <f>SUM(6644+2538+279)</f>
        <v>9461</v>
      </c>
      <c r="CH17" s="131">
        <f>SUM(CF17/CG17)</f>
        <v>0.12715357784589368</v>
      </c>
      <c r="CI17" s="97" t="s">
        <v>1725</v>
      </c>
      <c r="CK17" s="86" t="s">
        <v>1668</v>
      </c>
      <c r="CL17" s="89">
        <v>1223</v>
      </c>
      <c r="CM17" s="88">
        <v>548</v>
      </c>
      <c r="CN17" s="88">
        <f>SUM(CL17:CM17)</f>
        <v>1771</v>
      </c>
      <c r="CO17" s="129">
        <f>SUM(6639+2606+283)</f>
        <v>9528</v>
      </c>
      <c r="CP17" s="131">
        <f>SUM(CN17/CO17)</f>
        <v>0.18587321578505459</v>
      </c>
      <c r="CQ17" s="97" t="s">
        <v>1726</v>
      </c>
      <c r="CS17" s="86" t="s">
        <v>1668</v>
      </c>
      <c r="CT17" s="89">
        <v>1277</v>
      </c>
      <c r="CU17" s="88">
        <v>596</v>
      </c>
      <c r="CV17" s="88">
        <f>SUM(CT17:CU17)</f>
        <v>1873</v>
      </c>
      <c r="CW17" s="129">
        <f>SUM(7076+2590+280)</f>
        <v>9946</v>
      </c>
      <c r="CX17" s="131">
        <f>SUM(CV17/CW17)</f>
        <v>0.18831691132113412</v>
      </c>
      <c r="CY17" s="97" t="s">
        <v>1727</v>
      </c>
      <c r="DA17" s="86" t="s">
        <v>1668</v>
      </c>
      <c r="DB17" s="89">
        <v>1334</v>
      </c>
      <c r="DC17" s="88">
        <v>685</v>
      </c>
      <c r="DD17" s="88">
        <f>SUM(DB17:DC17)</f>
        <v>2019</v>
      </c>
      <c r="DE17" s="129">
        <v>9578</v>
      </c>
      <c r="DF17" s="131">
        <f>SUM(DD17/DE17)</f>
        <v>0.2107955731885571</v>
      </c>
      <c r="DG17" s="97" t="s">
        <v>1728</v>
      </c>
      <c r="DJ17" s="86" t="s">
        <v>1668</v>
      </c>
      <c r="DK17" s="89">
        <v>1371</v>
      </c>
      <c r="DL17" s="88">
        <v>742</v>
      </c>
      <c r="DM17" s="88">
        <f>SUM(DK17:DL17)</f>
        <v>2113</v>
      </c>
      <c r="DN17" s="129">
        <f>SUM(6748+2464+280)</f>
        <v>9492</v>
      </c>
      <c r="DO17" s="131">
        <f>SUM(DM17/DN17)</f>
        <v>0.22260851243152127</v>
      </c>
      <c r="DP17" s="97" t="s">
        <v>1729</v>
      </c>
      <c r="DS17" s="86" t="s">
        <v>1668</v>
      </c>
      <c r="DT17" s="89">
        <v>1405</v>
      </c>
      <c r="DU17" s="88">
        <v>798</v>
      </c>
      <c r="DV17" s="88">
        <f>SUM(DT17:DU17)</f>
        <v>2203</v>
      </c>
      <c r="DW17" s="129">
        <f>SUM(6748+2464+280)</f>
        <v>9492</v>
      </c>
      <c r="DX17" s="131">
        <f>SUM(DV17/DW17)</f>
        <v>0.23209018120522545</v>
      </c>
      <c r="DY17" s="97" t="s">
        <v>1730</v>
      </c>
      <c r="EB17" s="86" t="s">
        <v>1668</v>
      </c>
      <c r="EC17" s="89">
        <v>1442</v>
      </c>
      <c r="ED17" s="88">
        <v>889</v>
      </c>
      <c r="EE17" s="88">
        <f>SUM(EC17:ED17)</f>
        <v>2331</v>
      </c>
      <c r="EF17" s="129">
        <f>6611+2497+272</f>
        <v>9380</v>
      </c>
      <c r="EG17" s="131">
        <f>SUM(EE17/EF17)</f>
        <v>0.24850746268656718</v>
      </c>
      <c r="EH17" s="105">
        <v>0.23209018120522545</v>
      </c>
      <c r="EK17" s="86" t="s">
        <v>1668</v>
      </c>
      <c r="EL17" s="89">
        <v>1468</v>
      </c>
      <c r="EM17" s="88">
        <v>951</v>
      </c>
      <c r="EN17" s="88">
        <f>SUM(EL17:EM17)</f>
        <v>2419</v>
      </c>
      <c r="EO17" s="129">
        <f>6611+2497+272</f>
        <v>9380</v>
      </c>
      <c r="EP17" s="131">
        <f>SUM(EN17/EO17)</f>
        <v>0.25788912579957357</v>
      </c>
      <c r="EQ17" s="105">
        <v>0.24850746268656718</v>
      </c>
      <c r="ES17" s="86" t="s">
        <v>1668</v>
      </c>
      <c r="ET17" s="114">
        <v>1471</v>
      </c>
      <c r="EU17" s="108">
        <f>9+812+66+227</f>
        <v>1114</v>
      </c>
      <c r="EV17" s="108">
        <f>SUM(ET17:EU17)</f>
        <v>2585</v>
      </c>
      <c r="EW17" s="129">
        <f>6557+2393+267</f>
        <v>9217</v>
      </c>
      <c r="EX17" s="131">
        <f>SUM(EV17/EW17)</f>
        <v>0.28046001952913097</v>
      </c>
      <c r="EY17" s="105">
        <v>0.25788912579957357</v>
      </c>
      <c r="FA17" s="86" t="s">
        <v>1668</v>
      </c>
      <c r="FB17" s="114">
        <f>1227+171</f>
        <v>1398</v>
      </c>
      <c r="FC17" s="108">
        <f>13+696+164+492</f>
        <v>1365</v>
      </c>
      <c r="FD17" s="108">
        <f>SUM(FB17:FC17)</f>
        <v>2763</v>
      </c>
      <c r="FE17" s="129">
        <f>6570+2345+266</f>
        <v>9181</v>
      </c>
      <c r="FF17" s="131">
        <f>SUM(FD17/FE17)</f>
        <v>0.30094760919289837</v>
      </c>
      <c r="FG17" s="105">
        <v>0.28050000000000003</v>
      </c>
      <c r="FI17" s="86" t="s">
        <v>1668</v>
      </c>
      <c r="FJ17" s="114">
        <v>1404</v>
      </c>
      <c r="FK17" s="108">
        <v>1434</v>
      </c>
      <c r="FL17" s="108">
        <f>SUM(FJ17:FK17)</f>
        <v>2838</v>
      </c>
      <c r="FM17" s="129">
        <v>8942</v>
      </c>
      <c r="FN17" s="131">
        <f>SUM(FL17/FM17)</f>
        <v>0.31737866249161262</v>
      </c>
      <c r="FO17" s="105">
        <v>0.3009</v>
      </c>
      <c r="FQ17" s="86" t="s">
        <v>1668</v>
      </c>
      <c r="FR17" s="114">
        <f>[1]actrpt!B172+[1]actrpt!B313</f>
        <v>1413</v>
      </c>
      <c r="FS17" s="108">
        <f>[1]actrpt!B88+[1]actrpt!B130+[1]actrpt!B215+[1]actrpt!B313</f>
        <v>1265</v>
      </c>
      <c r="FT17" s="108">
        <f>SUM(FR17:FS17)</f>
        <v>2678</v>
      </c>
      <c r="FU17" s="129">
        <f>[1]html!E28+[1]html!E41+[1]html!H41</f>
        <v>8942</v>
      </c>
      <c r="FV17" s="131">
        <f>SUM(FT17/FU17)</f>
        <v>0.29948557369715945</v>
      </c>
      <c r="FW17" s="105">
        <v>0.26849917537108303</v>
      </c>
    </row>
    <row r="18" spans="2:179" ht="15" thickBot="1">
      <c r="B18" s="86" t="s">
        <v>1668</v>
      </c>
      <c r="C18" s="87">
        <v>0</v>
      </c>
      <c r="D18" s="88">
        <v>661</v>
      </c>
      <c r="E18" s="88">
        <f t="shared" si="25"/>
        <v>661</v>
      </c>
      <c r="G18" s="86" t="s">
        <v>1668</v>
      </c>
      <c r="H18" s="87">
        <v>0</v>
      </c>
      <c r="I18" s="88">
        <v>686</v>
      </c>
      <c r="J18" s="88">
        <f t="shared" si="26"/>
        <v>686</v>
      </c>
      <c r="L18" s="86" t="s">
        <v>1668</v>
      </c>
      <c r="M18" s="89">
        <v>0</v>
      </c>
      <c r="N18" s="88">
        <v>710</v>
      </c>
      <c r="O18" s="88">
        <f t="shared" si="27"/>
        <v>710</v>
      </c>
      <c r="Q18" s="86" t="s">
        <v>1668</v>
      </c>
      <c r="R18" s="89">
        <v>0</v>
      </c>
      <c r="S18" s="88">
        <v>721</v>
      </c>
      <c r="T18" s="88">
        <f t="shared" si="28"/>
        <v>721</v>
      </c>
      <c r="V18" s="86" t="s">
        <v>1668</v>
      </c>
      <c r="W18" s="89">
        <v>0</v>
      </c>
      <c r="X18" s="88">
        <v>726</v>
      </c>
      <c r="Y18" s="88">
        <f t="shared" si="29"/>
        <v>726</v>
      </c>
      <c r="AA18" s="86" t="s">
        <v>1668</v>
      </c>
      <c r="AB18" s="89">
        <v>0</v>
      </c>
      <c r="AC18" s="88">
        <v>731</v>
      </c>
      <c r="AD18" s="88">
        <f t="shared" si="30"/>
        <v>731</v>
      </c>
      <c r="AF18" s="86" t="s">
        <v>1668</v>
      </c>
      <c r="AG18" s="89">
        <v>0</v>
      </c>
      <c r="AH18" s="88">
        <v>736</v>
      </c>
      <c r="AI18" s="88">
        <f t="shared" si="31"/>
        <v>736</v>
      </c>
      <c r="AK18" s="86" t="s">
        <v>1668</v>
      </c>
      <c r="AL18" s="89">
        <v>0</v>
      </c>
      <c r="AM18" s="88">
        <v>742</v>
      </c>
      <c r="AN18" s="88">
        <f t="shared" si="32"/>
        <v>742</v>
      </c>
      <c r="AP18" s="86" t="s">
        <v>1668</v>
      </c>
      <c r="AQ18" s="89">
        <v>0</v>
      </c>
      <c r="AR18" s="88">
        <v>748</v>
      </c>
      <c r="AS18" s="88">
        <f t="shared" si="33"/>
        <v>748</v>
      </c>
      <c r="AW18" s="86" t="s">
        <v>1668</v>
      </c>
      <c r="AX18" s="89">
        <v>0</v>
      </c>
      <c r="AY18" s="88">
        <v>749</v>
      </c>
      <c r="AZ18" s="88">
        <f t="shared" si="34"/>
        <v>749</v>
      </c>
      <c r="BA18" s="574"/>
      <c r="BB18" s="575"/>
      <c r="BC18" s="576"/>
      <c r="BE18" s="86" t="s">
        <v>1668</v>
      </c>
      <c r="BF18" s="89">
        <v>120</v>
      </c>
      <c r="BG18" s="88">
        <v>328</v>
      </c>
      <c r="BH18" s="88">
        <f>SUM(BF18:BG18)</f>
        <v>448</v>
      </c>
      <c r="BI18" s="129">
        <f>SUM(6644+2650+280)</f>
        <v>9574</v>
      </c>
      <c r="BJ18" s="131">
        <f>SUM(BH18/BI18)</f>
        <v>4.6793398788385211E-2</v>
      </c>
      <c r="BK18" s="97" t="s">
        <v>1640</v>
      </c>
      <c r="BM18" s="109" t="s">
        <v>1668</v>
      </c>
      <c r="BN18" s="110">
        <v>145</v>
      </c>
      <c r="BO18" s="111">
        <v>372</v>
      </c>
      <c r="BP18" s="111">
        <f>SUM(BN18:BO18)</f>
        <v>517</v>
      </c>
      <c r="BQ18" s="130">
        <f>SUM(6670+2566+289)</f>
        <v>9525</v>
      </c>
      <c r="BR18" s="132">
        <f>SUM(BP18/BQ18)</f>
        <v>5.4278215223097115E-2</v>
      </c>
      <c r="BS18" s="103" t="s">
        <v>1731</v>
      </c>
      <c r="BU18" s="86" t="s">
        <v>1668</v>
      </c>
      <c r="BV18" s="89">
        <v>175</v>
      </c>
      <c r="BW18" s="88">
        <v>424</v>
      </c>
      <c r="BX18" s="88">
        <f>SUM(BV18:BW18)</f>
        <v>599</v>
      </c>
      <c r="BY18" s="129">
        <f>SUM(6605+2562+276)</f>
        <v>9443</v>
      </c>
      <c r="BZ18" s="131">
        <f>SUM(BX18/BY18)</f>
        <v>6.3433230964735784E-2</v>
      </c>
      <c r="CA18" s="97" t="s">
        <v>1732</v>
      </c>
      <c r="CC18" s="559" t="s">
        <v>1686</v>
      </c>
      <c r="CD18" s="560"/>
      <c r="CE18" s="560"/>
      <c r="CF18" s="121">
        <f>SUM(CF13:CF17)</f>
        <v>92550</v>
      </c>
      <c r="CG18" s="606"/>
      <c r="CH18" s="607"/>
      <c r="CI18" s="608"/>
      <c r="CK18" s="559" t="s">
        <v>1686</v>
      </c>
      <c r="CL18" s="560"/>
      <c r="CM18" s="560"/>
      <c r="CN18" s="121">
        <f>SUM(CN13:CN17)</f>
        <v>125857</v>
      </c>
      <c r="CO18" s="606"/>
      <c r="CP18" s="607"/>
      <c r="CQ18" s="608"/>
      <c r="CS18" s="559" t="s">
        <v>1686</v>
      </c>
      <c r="CT18" s="560"/>
      <c r="CU18" s="560"/>
      <c r="CV18" s="121">
        <f>SUM(CV13:CV17)</f>
        <v>132772</v>
      </c>
      <c r="CW18" s="606"/>
      <c r="CX18" s="607"/>
      <c r="CY18" s="608"/>
      <c r="DA18" s="559" t="s">
        <v>1686</v>
      </c>
      <c r="DB18" s="560"/>
      <c r="DC18" s="560"/>
      <c r="DD18" s="121">
        <f>SUM(DD13:DD17)</f>
        <v>143927</v>
      </c>
      <c r="DE18" s="606"/>
      <c r="DF18" s="607"/>
      <c r="DG18" s="608"/>
      <c r="DJ18" s="559" t="s">
        <v>1686</v>
      </c>
      <c r="DK18" s="560"/>
      <c r="DL18" s="560"/>
      <c r="DM18" s="121">
        <f>SUM(DM13:DM17)</f>
        <v>152168</v>
      </c>
      <c r="DN18" s="606"/>
      <c r="DO18" s="607"/>
      <c r="DP18" s="608"/>
      <c r="DS18" s="559" t="s">
        <v>1686</v>
      </c>
      <c r="DT18" s="560"/>
      <c r="DU18" s="560"/>
      <c r="DV18" s="121">
        <f>SUM(DV13:DV17)</f>
        <v>157674</v>
      </c>
      <c r="DW18" s="606"/>
      <c r="DX18" s="607"/>
      <c r="DY18" s="608"/>
      <c r="EB18" s="559" t="s">
        <v>1686</v>
      </c>
      <c r="EC18" s="560"/>
      <c r="ED18" s="560"/>
      <c r="EE18" s="121">
        <f>SUM(EE13:EE17)</f>
        <v>166531</v>
      </c>
      <c r="EF18" s="606"/>
      <c r="EG18" s="607"/>
      <c r="EH18" s="608"/>
      <c r="EK18" s="559" t="s">
        <v>1686</v>
      </c>
      <c r="EL18" s="560"/>
      <c r="EM18" s="560"/>
      <c r="EN18" s="121">
        <f>SUM(EN13:EN17)</f>
        <v>171803</v>
      </c>
      <c r="EO18" s="606"/>
      <c r="EP18" s="607"/>
      <c r="EQ18" s="608"/>
      <c r="ES18" s="559" t="s">
        <v>1686</v>
      </c>
      <c r="ET18" s="560"/>
      <c r="EU18" s="560"/>
      <c r="EV18" s="121">
        <f>SUM(EV13:EV17)</f>
        <v>178031</v>
      </c>
      <c r="EW18" s="606"/>
      <c r="EX18" s="607"/>
      <c r="EY18" s="608"/>
      <c r="FA18" s="559" t="s">
        <v>1686</v>
      </c>
      <c r="FB18" s="560"/>
      <c r="FC18" s="560"/>
      <c r="FD18" s="121">
        <f>SUM(FD13:FD17)</f>
        <v>182239</v>
      </c>
      <c r="FE18" s="606"/>
      <c r="FF18" s="607"/>
      <c r="FG18" s="608"/>
      <c r="FI18" s="559" t="s">
        <v>1686</v>
      </c>
      <c r="FJ18" s="560"/>
      <c r="FK18" s="560"/>
      <c r="FL18" s="121">
        <f>SUM(FL13:FL17)</f>
        <v>191925</v>
      </c>
      <c r="FM18" s="606"/>
      <c r="FN18" s="607"/>
      <c r="FO18" s="608"/>
      <c r="FQ18" s="559" t="s">
        <v>1686</v>
      </c>
      <c r="FR18" s="560"/>
      <c r="FS18" s="560"/>
      <c r="FT18" s="121">
        <f>SUM(FT13:FT17)</f>
        <v>202917</v>
      </c>
      <c r="FU18" s="606"/>
      <c r="FV18" s="607"/>
      <c r="FW18" s="608"/>
    </row>
    <row r="19" spans="2:179" ht="16" thickTop="1" thickBot="1">
      <c r="B19" s="86" t="s">
        <v>1677</v>
      </c>
      <c r="C19" s="87">
        <v>0</v>
      </c>
      <c r="D19" s="88">
        <v>888</v>
      </c>
      <c r="E19" s="88">
        <f t="shared" si="25"/>
        <v>888</v>
      </c>
      <c r="G19" s="86" t="s">
        <v>1677</v>
      </c>
      <c r="H19" s="87">
        <v>0</v>
      </c>
      <c r="I19" s="88">
        <v>925</v>
      </c>
      <c r="J19" s="88">
        <f t="shared" si="26"/>
        <v>925</v>
      </c>
      <c r="L19" s="86" t="s">
        <v>1677</v>
      </c>
      <c r="M19" s="89">
        <v>0</v>
      </c>
      <c r="N19" s="88">
        <v>943</v>
      </c>
      <c r="O19" s="88">
        <f t="shared" si="27"/>
        <v>943</v>
      </c>
      <c r="Q19" s="86" t="s">
        <v>1677</v>
      </c>
      <c r="R19" s="89">
        <v>0</v>
      </c>
      <c r="S19" s="88">
        <v>951</v>
      </c>
      <c r="T19" s="88">
        <f t="shared" si="28"/>
        <v>951</v>
      </c>
      <c r="V19" s="86" t="s">
        <v>1677</v>
      </c>
      <c r="W19" s="89">
        <v>0</v>
      </c>
      <c r="X19" s="88">
        <v>966</v>
      </c>
      <c r="Y19" s="88">
        <f t="shared" si="29"/>
        <v>966</v>
      </c>
      <c r="AA19" s="86" t="s">
        <v>1677</v>
      </c>
      <c r="AB19" s="89">
        <v>0</v>
      </c>
      <c r="AC19" s="88">
        <v>988</v>
      </c>
      <c r="AD19" s="88">
        <f t="shared" si="30"/>
        <v>988</v>
      </c>
      <c r="AF19" s="86" t="s">
        <v>1677</v>
      </c>
      <c r="AG19" s="89">
        <v>0</v>
      </c>
      <c r="AH19" s="88">
        <v>1006</v>
      </c>
      <c r="AI19" s="88">
        <f t="shared" si="31"/>
        <v>1006</v>
      </c>
      <c r="AK19" s="86" t="s">
        <v>1677</v>
      </c>
      <c r="AL19" s="89">
        <v>0</v>
      </c>
      <c r="AM19" s="88">
        <v>1023</v>
      </c>
      <c r="AN19" s="88">
        <f t="shared" si="32"/>
        <v>1023</v>
      </c>
      <c r="AP19" s="86" t="s">
        <v>1677</v>
      </c>
      <c r="AQ19" s="89">
        <v>0</v>
      </c>
      <c r="AR19" s="88">
        <v>1052</v>
      </c>
      <c r="AS19" s="88">
        <f t="shared" si="33"/>
        <v>1052</v>
      </c>
      <c r="AW19" s="86" t="s">
        <v>1677</v>
      </c>
      <c r="AX19" s="89">
        <v>0</v>
      </c>
      <c r="AY19" s="88">
        <v>1083</v>
      </c>
      <c r="AZ19" s="88">
        <f t="shared" si="34"/>
        <v>1083</v>
      </c>
      <c r="BA19" s="574"/>
      <c r="BB19" s="575"/>
      <c r="BC19" s="576"/>
      <c r="BE19" s="559" t="s">
        <v>1686</v>
      </c>
      <c r="BF19" s="560"/>
      <c r="BG19" s="560"/>
      <c r="BH19" s="121">
        <f>SUM(BH14:BH18)</f>
        <v>31523</v>
      </c>
      <c r="BI19" s="606"/>
      <c r="BJ19" s="607"/>
      <c r="BK19" s="608"/>
      <c r="BM19" s="604" t="s">
        <v>1686</v>
      </c>
      <c r="BN19" s="605"/>
      <c r="BO19" s="605"/>
      <c r="BP19" s="121">
        <f>SUM(BP14:BP18)</f>
        <v>35661</v>
      </c>
      <c r="BQ19" s="614"/>
      <c r="BR19" s="615"/>
      <c r="BS19" s="616"/>
      <c r="BU19" s="559" t="s">
        <v>1686</v>
      </c>
      <c r="BV19" s="560"/>
      <c r="BW19" s="560"/>
      <c r="BX19" s="121">
        <f>SUM(BX14:BX18)</f>
        <v>40494</v>
      </c>
      <c r="BY19" s="606"/>
      <c r="BZ19" s="607"/>
      <c r="CA19" s="608"/>
      <c r="CC19" s="609" t="s">
        <v>1733</v>
      </c>
      <c r="CD19" s="610"/>
      <c r="CE19" s="610"/>
      <c r="CF19" s="610"/>
      <c r="CG19" s="610"/>
      <c r="CH19" s="610"/>
      <c r="CI19" s="611"/>
      <c r="CK19" s="609" t="s">
        <v>1733</v>
      </c>
      <c r="CL19" s="610"/>
      <c r="CM19" s="610"/>
      <c r="CN19" s="610"/>
      <c r="CO19" s="610"/>
      <c r="CP19" s="610"/>
      <c r="CQ19" s="611"/>
      <c r="CS19" s="609" t="s">
        <v>1733</v>
      </c>
      <c r="CT19" s="610"/>
      <c r="CU19" s="610"/>
      <c r="CV19" s="610"/>
      <c r="CW19" s="610"/>
      <c r="CX19" s="610"/>
      <c r="CY19" s="611"/>
      <c r="DA19" s="609" t="s">
        <v>1733</v>
      </c>
      <c r="DB19" s="610"/>
      <c r="DC19" s="610"/>
      <c r="DD19" s="610"/>
      <c r="DE19" s="610"/>
      <c r="DF19" s="610"/>
      <c r="DG19" s="611"/>
      <c r="DJ19" s="609" t="s">
        <v>1733</v>
      </c>
      <c r="DK19" s="610"/>
      <c r="DL19" s="610"/>
      <c r="DM19" s="610"/>
      <c r="DN19" s="610"/>
      <c r="DO19" s="610"/>
      <c r="DP19" s="611"/>
      <c r="DS19" s="609" t="s">
        <v>1733</v>
      </c>
      <c r="DT19" s="610"/>
      <c r="DU19" s="610"/>
      <c r="DV19" s="610"/>
      <c r="DW19" s="610"/>
      <c r="DX19" s="610"/>
      <c r="DY19" s="611"/>
      <c r="EB19" s="609" t="s">
        <v>1733</v>
      </c>
      <c r="EC19" s="610"/>
      <c r="ED19" s="610"/>
      <c r="EE19" s="610"/>
      <c r="EF19" s="610"/>
      <c r="EG19" s="610"/>
      <c r="EH19" s="611"/>
      <c r="EK19" s="609" t="s">
        <v>1733</v>
      </c>
      <c r="EL19" s="610"/>
      <c r="EM19" s="610"/>
      <c r="EN19" s="610"/>
      <c r="EO19" s="610"/>
      <c r="EP19" s="610"/>
      <c r="EQ19" s="611"/>
      <c r="ES19" s="609" t="s">
        <v>1733</v>
      </c>
      <c r="ET19" s="610"/>
      <c r="EU19" s="610"/>
      <c r="EV19" s="610"/>
      <c r="EW19" s="610"/>
      <c r="EX19" s="610"/>
      <c r="EY19" s="611"/>
      <c r="FA19" s="609" t="s">
        <v>1733</v>
      </c>
      <c r="FB19" s="610"/>
      <c r="FC19" s="610"/>
      <c r="FD19" s="610"/>
      <c r="FE19" s="610"/>
      <c r="FF19" s="610"/>
      <c r="FG19" s="611"/>
      <c r="FI19" s="609" t="s">
        <v>1733</v>
      </c>
      <c r="FJ19" s="610"/>
      <c r="FK19" s="610"/>
      <c r="FL19" s="610"/>
      <c r="FM19" s="610"/>
      <c r="FN19" s="610"/>
      <c r="FO19" s="611"/>
      <c r="FQ19" s="609" t="s">
        <v>1733</v>
      </c>
      <c r="FR19" s="610"/>
      <c r="FS19" s="610"/>
      <c r="FT19" s="610"/>
      <c r="FU19" s="610"/>
      <c r="FV19" s="610"/>
      <c r="FW19" s="611"/>
    </row>
    <row r="20" spans="2:179" ht="15" thickTop="1">
      <c r="B20" s="86" t="s">
        <v>1686</v>
      </c>
      <c r="C20" s="115"/>
      <c r="D20" s="88"/>
      <c r="E20" s="117">
        <f>SUM(E14:E19)</f>
        <v>53204</v>
      </c>
      <c r="G20" s="86" t="s">
        <v>1687</v>
      </c>
      <c r="H20" s="87">
        <v>0</v>
      </c>
      <c r="I20" s="88">
        <v>519</v>
      </c>
      <c r="J20" s="88">
        <f>SUM(H20:I20)</f>
        <v>519</v>
      </c>
      <c r="L20" s="86" t="s">
        <v>1687</v>
      </c>
      <c r="M20" s="89">
        <v>0</v>
      </c>
      <c r="N20" s="88">
        <v>593</v>
      </c>
      <c r="O20" s="88">
        <f t="shared" si="27"/>
        <v>593</v>
      </c>
      <c r="Q20" s="86" t="s">
        <v>1687</v>
      </c>
      <c r="R20" s="89">
        <v>0</v>
      </c>
      <c r="S20" s="88">
        <v>648</v>
      </c>
      <c r="T20" s="88">
        <f t="shared" si="28"/>
        <v>648</v>
      </c>
      <c r="V20" s="86" t="s">
        <v>1687</v>
      </c>
      <c r="W20" s="89">
        <v>0</v>
      </c>
      <c r="X20" s="88">
        <v>707</v>
      </c>
      <c r="Y20" s="88">
        <f t="shared" si="29"/>
        <v>707</v>
      </c>
      <c r="AA20" s="86" t="s">
        <v>1687</v>
      </c>
      <c r="AB20" s="89">
        <v>0</v>
      </c>
      <c r="AC20" s="88">
        <v>755</v>
      </c>
      <c r="AD20" s="88">
        <f t="shared" si="30"/>
        <v>755</v>
      </c>
      <c r="AF20" s="86" t="s">
        <v>1687</v>
      </c>
      <c r="AG20" s="89">
        <v>0</v>
      </c>
      <c r="AH20" s="88">
        <v>807</v>
      </c>
      <c r="AI20" s="88">
        <f t="shared" si="31"/>
        <v>807</v>
      </c>
      <c r="AK20" s="86" t="s">
        <v>1687</v>
      </c>
      <c r="AL20" s="89">
        <v>0</v>
      </c>
      <c r="AM20" s="88">
        <v>852</v>
      </c>
      <c r="AN20" s="88">
        <f t="shared" si="32"/>
        <v>852</v>
      </c>
      <c r="AP20" s="86" t="s">
        <v>1687</v>
      </c>
      <c r="AQ20" s="89">
        <v>0</v>
      </c>
      <c r="AR20" s="88">
        <v>927</v>
      </c>
      <c r="AS20" s="88">
        <f t="shared" si="33"/>
        <v>927</v>
      </c>
      <c r="AW20" s="86" t="s">
        <v>1687</v>
      </c>
      <c r="AX20" s="89">
        <v>0</v>
      </c>
      <c r="AY20" s="88">
        <v>958</v>
      </c>
      <c r="AZ20" s="88">
        <f t="shared" si="34"/>
        <v>958</v>
      </c>
      <c r="BA20" s="574"/>
      <c r="BB20" s="575"/>
      <c r="BC20" s="576"/>
      <c r="BE20" s="609" t="s">
        <v>1733</v>
      </c>
      <c r="BF20" s="610"/>
      <c r="BG20" s="610"/>
      <c r="BH20" s="610"/>
      <c r="BI20" s="610"/>
      <c r="BJ20" s="610"/>
      <c r="BK20" s="611"/>
      <c r="BM20" s="609" t="s">
        <v>1733</v>
      </c>
      <c r="BN20" s="612"/>
      <c r="BO20" s="612"/>
      <c r="BP20" s="612"/>
      <c r="BQ20" s="612"/>
      <c r="BR20" s="612"/>
      <c r="BS20" s="613"/>
      <c r="BU20" s="609" t="s">
        <v>1733</v>
      </c>
      <c r="BV20" s="610"/>
      <c r="BW20" s="610"/>
      <c r="BX20" s="610"/>
      <c r="BY20" s="610"/>
      <c r="BZ20" s="610"/>
      <c r="CA20" s="611"/>
      <c r="CC20" s="92" t="s">
        <v>1635</v>
      </c>
      <c r="CD20" s="93">
        <v>34301</v>
      </c>
      <c r="CE20" s="94">
        <v>12682</v>
      </c>
      <c r="CF20" s="94">
        <f>SUM(CD20:CE20)</f>
        <v>46983</v>
      </c>
      <c r="CG20" s="90">
        <v>250143</v>
      </c>
      <c r="CH20" s="91">
        <f>SUM(CF20/CG20)</f>
        <v>0.18782456434919226</v>
      </c>
      <c r="CI20" s="97" t="s">
        <v>1734</v>
      </c>
      <c r="CK20" s="92" t="s">
        <v>1635</v>
      </c>
      <c r="CL20" s="93">
        <v>43030</v>
      </c>
      <c r="CM20" s="94">
        <v>14161</v>
      </c>
      <c r="CN20" s="94">
        <f>SUM(CL20:CM20)</f>
        <v>57191</v>
      </c>
      <c r="CO20" s="90">
        <v>248019</v>
      </c>
      <c r="CP20" s="91">
        <f>SUM(CN20/CO20)</f>
        <v>0.23059120470609107</v>
      </c>
      <c r="CQ20" s="97" t="s">
        <v>1735</v>
      </c>
      <c r="CS20" s="92" t="s">
        <v>1635</v>
      </c>
      <c r="CT20" s="93">
        <v>43716</v>
      </c>
      <c r="CU20" s="94">
        <v>16009</v>
      </c>
      <c r="CV20" s="94">
        <f>SUM(CT20:CU20)</f>
        <v>59725</v>
      </c>
      <c r="CW20" s="90">
        <v>251845</v>
      </c>
      <c r="CX20" s="91">
        <f>SUM(CV20/CW20)</f>
        <v>0.23714983422343108</v>
      </c>
      <c r="CY20" s="97" t="s">
        <v>1736</v>
      </c>
      <c r="DA20" s="92" t="s">
        <v>1635</v>
      </c>
      <c r="DB20" s="93">
        <v>45534</v>
      </c>
      <c r="DC20" s="94">
        <v>18800</v>
      </c>
      <c r="DD20" s="94">
        <f>SUM(DB20:DC20)</f>
        <v>64334</v>
      </c>
      <c r="DE20" s="90">
        <v>256718</v>
      </c>
      <c r="DF20" s="91">
        <f>SUM(DD20/DE20)</f>
        <v>0.25060182768641076</v>
      </c>
      <c r="DG20" s="97" t="s">
        <v>1737</v>
      </c>
      <c r="DJ20" s="92" t="s">
        <v>1635</v>
      </c>
      <c r="DK20" s="93">
        <v>46652</v>
      </c>
      <c r="DL20" s="94">
        <v>20951</v>
      </c>
      <c r="DM20" s="94">
        <f>SUM(DK20:DL20)</f>
        <v>67603</v>
      </c>
      <c r="DN20" s="90">
        <v>259904</v>
      </c>
      <c r="DO20" s="91">
        <f>SUM(DM20/DN20)</f>
        <v>0.26010757818271363</v>
      </c>
      <c r="DP20" s="97" t="s">
        <v>1738</v>
      </c>
      <c r="DS20" s="92" t="s">
        <v>1635</v>
      </c>
      <c r="DT20" s="93">
        <v>48103</v>
      </c>
      <c r="DU20" s="94">
        <v>23331</v>
      </c>
      <c r="DV20" s="94">
        <f>SUM(DT20:DU20)</f>
        <v>71434</v>
      </c>
      <c r="DW20" s="90">
        <v>259904</v>
      </c>
      <c r="DX20" s="91">
        <f>SUM(DV20/DW20)</f>
        <v>0.27484763605023393</v>
      </c>
      <c r="DY20" s="97" t="s">
        <v>1739</v>
      </c>
      <c r="EB20" s="92" t="s">
        <v>1635</v>
      </c>
      <c r="EC20" s="93">
        <v>47629</v>
      </c>
      <c r="ED20" s="94">
        <v>24801</v>
      </c>
      <c r="EE20" s="94">
        <f>SUM(EC20:ED20)</f>
        <v>72430</v>
      </c>
      <c r="EF20" s="90">
        <v>266223</v>
      </c>
      <c r="EG20" s="91">
        <f>SUM(EE20/EF20)</f>
        <v>0.27206514839063489</v>
      </c>
      <c r="EH20" s="105">
        <v>0.27484763605023393</v>
      </c>
      <c r="EK20" s="92" t="s">
        <v>1635</v>
      </c>
      <c r="EL20" s="93">
        <v>48497</v>
      </c>
      <c r="EM20" s="94">
        <v>26284</v>
      </c>
      <c r="EN20" s="94">
        <f>SUM(EL20:EM20)</f>
        <v>74781</v>
      </c>
      <c r="EO20" s="90">
        <v>266223</v>
      </c>
      <c r="EP20" s="91">
        <f>SUM(EN20/EO20)</f>
        <v>0.28089609087118694</v>
      </c>
      <c r="EQ20" s="105">
        <v>0.272065148390635</v>
      </c>
      <c r="ES20" s="92" t="s">
        <v>1635</v>
      </c>
      <c r="ET20" s="107">
        <v>48509</v>
      </c>
      <c r="EU20" s="133">
        <v>28304</v>
      </c>
      <c r="EV20" s="133">
        <f>SUM(ET20:EU20)</f>
        <v>76813</v>
      </c>
      <c r="EW20" s="90">
        <v>268264</v>
      </c>
      <c r="EX20" s="91">
        <f>SUM(EV20/EW20)</f>
        <v>0.28633361166611992</v>
      </c>
      <c r="EY20" s="105">
        <v>0.28089609087118694</v>
      </c>
      <c r="FA20" s="92" t="s">
        <v>1635</v>
      </c>
      <c r="FB20" s="107">
        <f>42428+5164</f>
        <v>47592</v>
      </c>
      <c r="FC20" s="133">
        <f>119+17128+1699+15963</f>
        <v>34909</v>
      </c>
      <c r="FD20" s="133">
        <f>SUM(FB20:FC20)</f>
        <v>82501</v>
      </c>
      <c r="FE20" s="90">
        <v>270146</v>
      </c>
      <c r="FF20" s="91">
        <f>SUM(FD20/FE20)</f>
        <v>0.30539412021647555</v>
      </c>
      <c r="FG20" s="105">
        <v>0.2863</v>
      </c>
      <c r="FI20" s="92" t="s">
        <v>1635</v>
      </c>
      <c r="FJ20" s="107">
        <v>47704</v>
      </c>
      <c r="FK20" s="133">
        <v>37883</v>
      </c>
      <c r="FL20" s="133">
        <f>SUM(FJ20:FK20)</f>
        <v>85587</v>
      </c>
      <c r="FM20" s="90">
        <v>265454</v>
      </c>
      <c r="FN20" s="91">
        <f>SUM(FL20/FM20)</f>
        <v>0.32241744332351369</v>
      </c>
      <c r="FO20" s="105">
        <v>0.3054</v>
      </c>
      <c r="FQ20" s="92" t="s">
        <v>1635</v>
      </c>
      <c r="FR20" s="107">
        <f>[1]actrpt!B176+[1]actrpt!B317</f>
        <v>43756</v>
      </c>
      <c r="FS20" s="133">
        <f>[1]actrpt!B92+[1]actrpt!B134+[1]actrpt!B219+[1]actrpt!B268</f>
        <v>45441</v>
      </c>
      <c r="FT20" s="133">
        <f>SUM(FR20:FS20)</f>
        <v>89197</v>
      </c>
      <c r="FU20" s="90">
        <f>[1]html!B24</f>
        <v>265454</v>
      </c>
      <c r="FV20" s="91">
        <f>SUM(FT20/FU20)</f>
        <v>0.33601678633586235</v>
      </c>
      <c r="FW20" s="105">
        <v>0.30803424857143913</v>
      </c>
    </row>
    <row r="21" spans="2:179">
      <c r="B21" s="118"/>
      <c r="C21" s="119"/>
      <c r="D21" s="120"/>
      <c r="E21" s="118"/>
      <c r="G21" s="86" t="s">
        <v>1686</v>
      </c>
      <c r="H21" s="115"/>
      <c r="I21" s="88"/>
      <c r="J21" s="117">
        <f>SUM(J14:J19)</f>
        <v>54730</v>
      </c>
      <c r="L21" s="86" t="s">
        <v>1686</v>
      </c>
      <c r="M21" s="110"/>
      <c r="N21" s="88"/>
      <c r="O21" s="117">
        <f>SUM(O14:O20)</f>
        <v>56596</v>
      </c>
      <c r="Q21" s="86" t="s">
        <v>1686</v>
      </c>
      <c r="R21" s="110"/>
      <c r="S21" s="88"/>
      <c r="T21" s="117">
        <f>SUM(T14:T20)</f>
        <v>57605</v>
      </c>
      <c r="V21" s="86" t="s">
        <v>1686</v>
      </c>
      <c r="W21" s="110"/>
      <c r="X21" s="88"/>
      <c r="Y21" s="117">
        <f>SUM(Y14:Y20)</f>
        <v>58416</v>
      </c>
      <c r="AA21" s="86" t="s">
        <v>1686</v>
      </c>
      <c r="AB21" s="110"/>
      <c r="AC21" s="88"/>
      <c r="AD21" s="117">
        <f>SUM(AD14:AD20)</f>
        <v>59255</v>
      </c>
      <c r="AF21" s="591" t="s">
        <v>1686</v>
      </c>
      <c r="AG21" s="592"/>
      <c r="AH21" s="592"/>
      <c r="AI21" s="117">
        <f>SUM(AI14:AI20)</f>
        <v>60359</v>
      </c>
      <c r="AK21" s="593" t="s">
        <v>1686</v>
      </c>
      <c r="AL21" s="594"/>
      <c r="AM21" s="595"/>
      <c r="AN21" s="117">
        <f>SUM(AN14:AN20)</f>
        <v>61439</v>
      </c>
      <c r="AP21" s="591" t="s">
        <v>1686</v>
      </c>
      <c r="AQ21" s="592"/>
      <c r="AR21" s="592"/>
      <c r="AS21" s="117">
        <f>SUM(AS14:AS20)</f>
        <v>62782</v>
      </c>
      <c r="AW21" s="591" t="s">
        <v>1686</v>
      </c>
      <c r="AX21" s="592"/>
      <c r="AY21" s="592"/>
      <c r="AZ21" s="117">
        <f>SUM(AZ14:AZ20)</f>
        <v>64105</v>
      </c>
      <c r="BA21" s="577"/>
      <c r="BB21" s="578"/>
      <c r="BC21" s="579"/>
      <c r="BE21" s="92" t="s">
        <v>1635</v>
      </c>
      <c r="BF21" s="93">
        <v>2702</v>
      </c>
      <c r="BG21" s="94">
        <v>8773</v>
      </c>
      <c r="BH21" s="94">
        <f>SUM(BF21:BG21)</f>
        <v>11475</v>
      </c>
      <c r="BI21" s="90">
        <v>261920</v>
      </c>
      <c r="BJ21" s="91">
        <f>SUM(BH21/BI21)</f>
        <v>4.3811087354917531E-2</v>
      </c>
      <c r="BK21" s="97" t="s">
        <v>1640</v>
      </c>
      <c r="BM21" s="98" t="s">
        <v>1635</v>
      </c>
      <c r="BN21" s="99">
        <v>3008</v>
      </c>
      <c r="BO21" s="100">
        <v>9971</v>
      </c>
      <c r="BP21" s="100">
        <f>SUM(BN21:BO21)</f>
        <v>12979</v>
      </c>
      <c r="BQ21" s="112">
        <v>257010</v>
      </c>
      <c r="BR21" s="113">
        <f>SUM(BP21/BQ21)</f>
        <v>5.0499980545504065E-2</v>
      </c>
      <c r="BS21" s="103" t="s">
        <v>1740</v>
      </c>
      <c r="BU21" s="92" t="s">
        <v>1635</v>
      </c>
      <c r="BV21" s="93">
        <v>3552</v>
      </c>
      <c r="BW21" s="94">
        <v>11303</v>
      </c>
      <c r="BX21" s="94">
        <f>SUM(BV21:BW21)</f>
        <v>14855</v>
      </c>
      <c r="BY21" s="90">
        <v>252327</v>
      </c>
      <c r="BZ21" s="91">
        <f>SUM(BX21/BY21)</f>
        <v>5.8872019244868762E-2</v>
      </c>
      <c r="CA21" s="97" t="s">
        <v>1741</v>
      </c>
      <c r="CC21" s="86" t="s">
        <v>1649</v>
      </c>
      <c r="CD21" s="89">
        <v>10484</v>
      </c>
      <c r="CE21" s="88">
        <v>5800</v>
      </c>
      <c r="CF21" s="88">
        <f>SUM(CD21:CE21)</f>
        <v>16284</v>
      </c>
      <c r="CG21" s="90">
        <v>77283</v>
      </c>
      <c r="CH21" s="91">
        <f>SUM(CF21/CG21)</f>
        <v>0.21070610612942045</v>
      </c>
      <c r="CI21" s="97" t="s">
        <v>1742</v>
      </c>
      <c r="CK21" s="86" t="s">
        <v>1649</v>
      </c>
      <c r="CL21" s="89">
        <v>12848</v>
      </c>
      <c r="CM21" s="88">
        <v>6388</v>
      </c>
      <c r="CN21" s="88">
        <f>SUM(CL21:CM21)</f>
        <v>19236</v>
      </c>
      <c r="CO21" s="90">
        <v>76704</v>
      </c>
      <c r="CP21" s="91">
        <f>SUM(CN21/CO21)</f>
        <v>0.25078222778473092</v>
      </c>
      <c r="CQ21" s="97" t="s">
        <v>1743</v>
      </c>
      <c r="CS21" s="86" t="s">
        <v>1649</v>
      </c>
      <c r="CT21" s="89">
        <v>12992</v>
      </c>
      <c r="CU21" s="88">
        <v>7114</v>
      </c>
      <c r="CV21" s="88">
        <f>SUM(CT21:CU21)</f>
        <v>20106</v>
      </c>
      <c r="CW21" s="90">
        <v>76602</v>
      </c>
      <c r="CX21" s="91">
        <f>SUM(CV21/CW21)</f>
        <v>0.26247356465888622</v>
      </c>
      <c r="CY21" s="97" t="s">
        <v>1744</v>
      </c>
      <c r="DA21" s="86" t="s">
        <v>1649</v>
      </c>
      <c r="DB21" s="89">
        <v>13310</v>
      </c>
      <c r="DC21" s="88">
        <v>8322</v>
      </c>
      <c r="DD21" s="88">
        <f>SUM(DB21:DC21)</f>
        <v>21632</v>
      </c>
      <c r="DE21" s="90">
        <v>77548</v>
      </c>
      <c r="DF21" s="91">
        <f>SUM(DD21/DE21)</f>
        <v>0.27894981172950944</v>
      </c>
      <c r="DG21" s="97" t="s">
        <v>1745</v>
      </c>
      <c r="DJ21" s="86" t="s">
        <v>1649</v>
      </c>
      <c r="DK21" s="89">
        <v>13531</v>
      </c>
      <c r="DL21" s="88">
        <v>9177</v>
      </c>
      <c r="DM21" s="88">
        <f>SUM(DK21:DL21)</f>
        <v>22708</v>
      </c>
      <c r="DN21" s="90">
        <v>77748</v>
      </c>
      <c r="DO21" s="91">
        <f>SUM(DM21/DN21)</f>
        <v>0.29207182178319702</v>
      </c>
      <c r="DP21" s="97" t="s">
        <v>1746</v>
      </c>
      <c r="DS21" s="86" t="s">
        <v>1649</v>
      </c>
      <c r="DT21" s="89">
        <v>14205</v>
      </c>
      <c r="DU21" s="88">
        <v>9976</v>
      </c>
      <c r="DV21" s="88">
        <f>SUM(DT21:DU21)</f>
        <v>24181</v>
      </c>
      <c r="DW21" s="90">
        <v>77748</v>
      </c>
      <c r="DX21" s="91">
        <f>SUM(DV21/DW21)</f>
        <v>0.31101764675618665</v>
      </c>
      <c r="DY21" s="97" t="s">
        <v>1747</v>
      </c>
      <c r="EB21" s="86" t="s">
        <v>1649</v>
      </c>
      <c r="EC21" s="89">
        <v>13759</v>
      </c>
      <c r="ED21" s="88">
        <v>10988</v>
      </c>
      <c r="EE21" s="88">
        <f>SUM(EC21:ED21)</f>
        <v>24747</v>
      </c>
      <c r="EF21" s="90">
        <v>77954</v>
      </c>
      <c r="EG21" s="91">
        <f>SUM(EE21/EF21)</f>
        <v>0.31745644867485956</v>
      </c>
      <c r="EH21" s="105">
        <v>0.31101764675618665</v>
      </c>
      <c r="EK21" s="86" t="s">
        <v>1649</v>
      </c>
      <c r="EL21" s="89">
        <v>13835</v>
      </c>
      <c r="EM21" s="88">
        <v>11704</v>
      </c>
      <c r="EN21" s="88">
        <f>SUM(EL21:EM21)</f>
        <v>25539</v>
      </c>
      <c r="EO21" s="90">
        <v>77954</v>
      </c>
      <c r="EP21" s="91">
        <f>SUM(EN21/EO21)</f>
        <v>0.32761628652795238</v>
      </c>
      <c r="EQ21" s="105">
        <v>0.31745644867485956</v>
      </c>
      <c r="ES21" s="86" t="s">
        <v>1649</v>
      </c>
      <c r="ET21" s="114">
        <v>13844</v>
      </c>
      <c r="EU21" s="108">
        <v>12899</v>
      </c>
      <c r="EV21" s="108">
        <f>SUM(ET21:EU21)</f>
        <v>26743</v>
      </c>
      <c r="EW21" s="90">
        <v>76581</v>
      </c>
      <c r="EX21" s="91">
        <f>SUM(EV21/EW21)</f>
        <v>0.34921194552173518</v>
      </c>
      <c r="EY21" s="105">
        <v>0.32761628652795238</v>
      </c>
      <c r="FA21" s="86" t="s">
        <v>1649</v>
      </c>
      <c r="FB21" s="114">
        <f>10401+2624</f>
        <v>13025</v>
      </c>
      <c r="FC21" s="108">
        <f>19+6808+382+8294</f>
        <v>15503</v>
      </c>
      <c r="FD21" s="108">
        <f>SUM(FB21:FC21)</f>
        <v>28528</v>
      </c>
      <c r="FE21" s="90">
        <v>76452</v>
      </c>
      <c r="FF21" s="91">
        <f>SUM(FD21/FE21)</f>
        <v>0.37314916548945742</v>
      </c>
      <c r="FG21" s="105">
        <v>0.34920000000000001</v>
      </c>
      <c r="FI21" s="86" t="s">
        <v>1649</v>
      </c>
      <c r="FJ21" s="114">
        <v>13227</v>
      </c>
      <c r="FK21" s="108">
        <v>16904</v>
      </c>
      <c r="FL21" s="108">
        <f>SUM(FJ21:FK21)</f>
        <v>30131</v>
      </c>
      <c r="FM21" s="90">
        <v>76191</v>
      </c>
      <c r="FN21" s="91">
        <f>SUM(FL21/FM21)</f>
        <v>0.39546665616673887</v>
      </c>
      <c r="FO21" s="105">
        <v>0.37309999999999999</v>
      </c>
      <c r="FQ21" s="86" t="s">
        <v>1649</v>
      </c>
      <c r="FR21" s="114">
        <f>[1]actrpt!B177+[1]actrpt!B318</f>
        <v>12690</v>
      </c>
      <c r="FS21" s="108">
        <f>[1]actrpt!B93+[1]actrpt!B135+[1]actrpt!B220+[1]actrpt!B269</f>
        <v>19586</v>
      </c>
      <c r="FT21" s="108">
        <f>SUM(FR21:FS21)</f>
        <v>32276</v>
      </c>
      <c r="FU21" s="90">
        <f>[1]html!B27</f>
        <v>76191</v>
      </c>
      <c r="FV21" s="91">
        <f>SUM(FT21/FU21)</f>
        <v>0.42361958761533514</v>
      </c>
      <c r="FW21" s="105">
        <v>0.38628990057561485</v>
      </c>
    </row>
    <row r="22" spans="2:179" ht="14.25" customHeight="1" thickBot="1">
      <c r="B22" s="118"/>
      <c r="C22" s="119"/>
      <c r="D22" s="120"/>
      <c r="E22" s="118"/>
      <c r="G22" s="118"/>
      <c r="H22" s="119"/>
      <c r="I22" s="120"/>
      <c r="J22" s="118"/>
      <c r="L22" s="118"/>
      <c r="M22" s="122"/>
      <c r="N22" s="120"/>
      <c r="O22" s="118"/>
      <c r="Q22" s="118"/>
      <c r="R22" s="122"/>
      <c r="S22" s="120"/>
      <c r="T22" s="118"/>
      <c r="V22" s="118"/>
      <c r="W22" s="122"/>
      <c r="X22" s="120"/>
      <c r="Y22" s="118"/>
      <c r="AA22" s="118"/>
      <c r="AB22" s="122"/>
      <c r="AC22" s="120"/>
      <c r="AD22" s="118"/>
      <c r="AF22" s="123"/>
      <c r="AG22" s="124"/>
      <c r="AH22" s="124"/>
      <c r="AI22" s="125"/>
      <c r="AK22" s="134"/>
      <c r="AL22" s="135"/>
      <c r="AM22" s="135"/>
      <c r="AN22" s="136"/>
      <c r="AP22" s="601"/>
      <c r="AQ22" s="602"/>
      <c r="AR22" s="602"/>
      <c r="AS22" s="603"/>
      <c r="AW22" s="601"/>
      <c r="AX22" s="602"/>
      <c r="AY22" s="602"/>
      <c r="AZ22" s="602"/>
      <c r="BA22" s="602"/>
      <c r="BB22" s="602"/>
      <c r="BC22" s="603"/>
      <c r="BE22" s="86" t="s">
        <v>1649</v>
      </c>
      <c r="BF22" s="89">
        <v>530</v>
      </c>
      <c r="BG22" s="88">
        <v>4098</v>
      </c>
      <c r="BH22" s="88">
        <f>SUM(BF22:BG22)</f>
        <v>4628</v>
      </c>
      <c r="BI22" s="90">
        <v>77832</v>
      </c>
      <c r="BJ22" s="91">
        <f>SUM(BH22/BI22)</f>
        <v>5.9461404049748173E-2</v>
      </c>
      <c r="BK22" s="97" t="s">
        <v>1640</v>
      </c>
      <c r="BM22" s="109" t="s">
        <v>1649</v>
      </c>
      <c r="BN22" s="110">
        <v>624</v>
      </c>
      <c r="BO22" s="111">
        <v>4619</v>
      </c>
      <c r="BP22" s="111">
        <f>SUM(BN22:BO22)</f>
        <v>5243</v>
      </c>
      <c r="BQ22" s="112">
        <v>77508</v>
      </c>
      <c r="BR22" s="113">
        <f>SUM(BP22/BQ22)</f>
        <v>6.7644630231718017E-2</v>
      </c>
      <c r="BS22" s="103" t="s">
        <v>1748</v>
      </c>
      <c r="BU22" s="86" t="s">
        <v>1649</v>
      </c>
      <c r="BV22" s="89">
        <v>726</v>
      </c>
      <c r="BW22" s="88">
        <v>5213</v>
      </c>
      <c r="BX22" s="88">
        <f>SUM(BV22:BW22)</f>
        <v>5939</v>
      </c>
      <c r="BY22" s="90">
        <v>77194</v>
      </c>
      <c r="BZ22" s="91">
        <f>SUM(BX22/BY22)</f>
        <v>7.6936031297769256E-2</v>
      </c>
      <c r="CA22" s="97" t="s">
        <v>1749</v>
      </c>
      <c r="CC22" s="559" t="s">
        <v>1686</v>
      </c>
      <c r="CD22" s="560"/>
      <c r="CE22" s="560"/>
      <c r="CF22" s="121">
        <f>SUM(CF20:CF21)</f>
        <v>63267</v>
      </c>
      <c r="CG22" s="606"/>
      <c r="CH22" s="607"/>
      <c r="CI22" s="608"/>
      <c r="CK22" s="559" t="s">
        <v>1686</v>
      </c>
      <c r="CL22" s="560"/>
      <c r="CM22" s="560"/>
      <c r="CN22" s="121">
        <f>SUM(CN20:CN21)</f>
        <v>76427</v>
      </c>
      <c r="CO22" s="606"/>
      <c r="CP22" s="607"/>
      <c r="CQ22" s="608"/>
      <c r="CS22" s="559" t="s">
        <v>1686</v>
      </c>
      <c r="CT22" s="560"/>
      <c r="CU22" s="560"/>
      <c r="CV22" s="121">
        <f>SUM(CV20:CV21)</f>
        <v>79831</v>
      </c>
      <c r="CW22" s="606"/>
      <c r="CX22" s="607"/>
      <c r="CY22" s="608"/>
      <c r="DA22" s="559" t="s">
        <v>1686</v>
      </c>
      <c r="DB22" s="560"/>
      <c r="DC22" s="560"/>
      <c r="DD22" s="121">
        <f>SUM(DD20:DD21)</f>
        <v>85966</v>
      </c>
      <c r="DE22" s="606"/>
      <c r="DF22" s="607"/>
      <c r="DG22" s="608"/>
      <c r="DJ22" s="559" t="s">
        <v>1686</v>
      </c>
      <c r="DK22" s="560"/>
      <c r="DL22" s="560"/>
      <c r="DM22" s="121">
        <f>SUM(DM20:DM21)</f>
        <v>90311</v>
      </c>
      <c r="DN22" s="606"/>
      <c r="DO22" s="607"/>
      <c r="DP22" s="608"/>
      <c r="DS22" s="559" t="s">
        <v>1686</v>
      </c>
      <c r="DT22" s="560"/>
      <c r="DU22" s="560"/>
      <c r="DV22" s="121">
        <f>SUM(DV20:DV21)</f>
        <v>95615</v>
      </c>
      <c r="DW22" s="606"/>
      <c r="DX22" s="607"/>
      <c r="DY22" s="608"/>
      <c r="EB22" s="559" t="s">
        <v>1686</v>
      </c>
      <c r="EC22" s="560"/>
      <c r="ED22" s="560"/>
      <c r="EE22" s="121">
        <f>SUM(EE20:EE21)</f>
        <v>97177</v>
      </c>
      <c r="EF22" s="606"/>
      <c r="EG22" s="607"/>
      <c r="EH22" s="608"/>
      <c r="EK22" s="559" t="s">
        <v>1686</v>
      </c>
      <c r="EL22" s="560"/>
      <c r="EM22" s="560"/>
      <c r="EN22" s="121">
        <f>SUM(EN20:EN21)</f>
        <v>100320</v>
      </c>
      <c r="EO22" s="606"/>
      <c r="EP22" s="607"/>
      <c r="EQ22" s="608"/>
      <c r="ES22" s="559" t="s">
        <v>1686</v>
      </c>
      <c r="ET22" s="560"/>
      <c r="EU22" s="560"/>
      <c r="EV22" s="121">
        <f>SUM(EV20:EV21)</f>
        <v>103556</v>
      </c>
      <c r="EW22" s="606"/>
      <c r="EX22" s="607"/>
      <c r="EY22" s="608"/>
      <c r="FA22" s="559" t="s">
        <v>1686</v>
      </c>
      <c r="FB22" s="560"/>
      <c r="FC22" s="560"/>
      <c r="FD22" s="121">
        <f>SUM(FD20:FD21)</f>
        <v>111029</v>
      </c>
      <c r="FE22" s="606"/>
      <c r="FF22" s="607"/>
      <c r="FG22" s="608"/>
      <c r="FI22" s="559" t="s">
        <v>1686</v>
      </c>
      <c r="FJ22" s="560"/>
      <c r="FK22" s="560"/>
      <c r="FL22" s="121">
        <f>SUM(FL20:FL21)</f>
        <v>115718</v>
      </c>
      <c r="FM22" s="606"/>
      <c r="FN22" s="607"/>
      <c r="FO22" s="608"/>
      <c r="FQ22" s="559" t="s">
        <v>1686</v>
      </c>
      <c r="FR22" s="560"/>
      <c r="FS22" s="560"/>
      <c r="FT22" s="121">
        <f>SUM(FT20:FT21)</f>
        <v>121473</v>
      </c>
      <c r="FU22" s="606"/>
      <c r="FV22" s="607"/>
      <c r="FW22" s="608"/>
    </row>
    <row r="23" spans="2:179" ht="16" thickTop="1" thickBot="1">
      <c r="B23" s="126" t="s">
        <v>1750</v>
      </c>
      <c r="C23" s="137"/>
      <c r="D23" s="138"/>
      <c r="E23" s="86"/>
      <c r="G23" s="126" t="s">
        <v>1750</v>
      </c>
      <c r="H23" s="137"/>
      <c r="I23" s="138"/>
      <c r="J23" s="86"/>
      <c r="L23" s="126" t="s">
        <v>1750</v>
      </c>
      <c r="M23" s="139"/>
      <c r="N23" s="138"/>
      <c r="O23" s="86"/>
      <c r="Q23" s="126" t="s">
        <v>1750</v>
      </c>
      <c r="R23" s="139"/>
      <c r="S23" s="138"/>
      <c r="T23" s="86"/>
      <c r="V23" s="126" t="s">
        <v>1750</v>
      </c>
      <c r="W23" s="139"/>
      <c r="X23" s="138"/>
      <c r="Y23" s="86"/>
      <c r="AA23" s="126" t="s">
        <v>1750</v>
      </c>
      <c r="AB23" s="139"/>
      <c r="AC23" s="138"/>
      <c r="AD23" s="86"/>
      <c r="AF23" s="127" t="s">
        <v>1750</v>
      </c>
      <c r="AG23" s="128"/>
      <c r="AH23" s="128"/>
      <c r="AI23" s="128"/>
      <c r="AK23" s="127" t="s">
        <v>1750</v>
      </c>
      <c r="AL23" s="140"/>
      <c r="AM23" s="140"/>
      <c r="AN23" s="140"/>
      <c r="AP23" s="599" t="s">
        <v>1750</v>
      </c>
      <c r="AQ23" s="600"/>
      <c r="AR23" s="600"/>
      <c r="AS23" s="600"/>
      <c r="AW23" s="599" t="s">
        <v>1750</v>
      </c>
      <c r="AX23" s="600"/>
      <c r="AY23" s="600"/>
      <c r="AZ23" s="600"/>
      <c r="BA23" s="141"/>
      <c r="BB23" s="141"/>
      <c r="BC23" s="142"/>
      <c r="BE23" s="559" t="s">
        <v>1686</v>
      </c>
      <c r="BF23" s="560"/>
      <c r="BG23" s="560"/>
      <c r="BH23" s="121">
        <f>SUM(BH21:BH22)</f>
        <v>16103</v>
      </c>
      <c r="BI23" s="606"/>
      <c r="BJ23" s="607"/>
      <c r="BK23" s="608"/>
      <c r="BM23" s="604" t="s">
        <v>1686</v>
      </c>
      <c r="BN23" s="605"/>
      <c r="BO23" s="605"/>
      <c r="BP23" s="121">
        <f>SUM(BP21:BP22)</f>
        <v>18222</v>
      </c>
      <c r="BQ23" s="614"/>
      <c r="BR23" s="615"/>
      <c r="BS23" s="616"/>
      <c r="BU23" s="559" t="s">
        <v>1686</v>
      </c>
      <c r="BV23" s="560"/>
      <c r="BW23" s="560"/>
      <c r="BX23" s="121">
        <f>SUM(BX21:BX22)</f>
        <v>20794</v>
      </c>
      <c r="BY23" s="606"/>
      <c r="BZ23" s="607"/>
      <c r="CA23" s="608"/>
      <c r="CC23" s="617" t="s">
        <v>1751</v>
      </c>
      <c r="CD23" s="618"/>
      <c r="CE23" s="618"/>
      <c r="CF23" s="618"/>
      <c r="CG23" s="619"/>
      <c r="CH23" s="619"/>
      <c r="CI23" s="620"/>
      <c r="CK23" s="617" t="s">
        <v>1751</v>
      </c>
      <c r="CL23" s="618"/>
      <c r="CM23" s="618"/>
      <c r="CN23" s="618"/>
      <c r="CO23" s="619"/>
      <c r="CP23" s="619"/>
      <c r="CQ23" s="620"/>
      <c r="CS23" s="617" t="s">
        <v>1751</v>
      </c>
      <c r="CT23" s="618"/>
      <c r="CU23" s="618"/>
      <c r="CV23" s="618"/>
      <c r="CW23" s="619"/>
      <c r="CX23" s="619"/>
      <c r="CY23" s="620"/>
      <c r="DA23" s="617" t="s">
        <v>1751</v>
      </c>
      <c r="DB23" s="618"/>
      <c r="DC23" s="618"/>
      <c r="DD23" s="618"/>
      <c r="DE23" s="619"/>
      <c r="DF23" s="619"/>
      <c r="DG23" s="620"/>
      <c r="DJ23" s="617" t="s">
        <v>1751</v>
      </c>
      <c r="DK23" s="618"/>
      <c r="DL23" s="618"/>
      <c r="DM23" s="618"/>
      <c r="DN23" s="619"/>
      <c r="DO23" s="619"/>
      <c r="DP23" s="620"/>
      <c r="DS23" s="617" t="s">
        <v>1751</v>
      </c>
      <c r="DT23" s="618"/>
      <c r="DU23" s="618"/>
      <c r="DV23" s="618"/>
      <c r="DW23" s="619"/>
      <c r="DX23" s="619"/>
      <c r="DY23" s="620"/>
      <c r="EB23" s="617" t="s">
        <v>1751</v>
      </c>
      <c r="EC23" s="618"/>
      <c r="ED23" s="618"/>
      <c r="EE23" s="618"/>
      <c r="EF23" s="619"/>
      <c r="EG23" s="619"/>
      <c r="EH23" s="620"/>
      <c r="EK23" s="617" t="s">
        <v>1751</v>
      </c>
      <c r="EL23" s="618"/>
      <c r="EM23" s="618"/>
      <c r="EN23" s="618"/>
      <c r="EO23" s="619"/>
      <c r="EP23" s="619"/>
      <c r="EQ23" s="620"/>
      <c r="ES23" s="617" t="s">
        <v>1751</v>
      </c>
      <c r="ET23" s="618"/>
      <c r="EU23" s="618"/>
      <c r="EV23" s="618"/>
      <c r="EW23" s="619"/>
      <c r="EX23" s="619"/>
      <c r="EY23" s="620"/>
      <c r="FA23" s="617" t="s">
        <v>1751</v>
      </c>
      <c r="FB23" s="618"/>
      <c r="FC23" s="618"/>
      <c r="FD23" s="618"/>
      <c r="FE23" s="619"/>
      <c r="FF23" s="619"/>
      <c r="FG23" s="620"/>
      <c r="FI23" s="617" t="s">
        <v>1751</v>
      </c>
      <c r="FJ23" s="618"/>
      <c r="FK23" s="618"/>
      <c r="FL23" s="618"/>
      <c r="FM23" s="619"/>
      <c r="FN23" s="619"/>
      <c r="FO23" s="620"/>
      <c r="FQ23" s="617" t="s">
        <v>1751</v>
      </c>
      <c r="FR23" s="618"/>
      <c r="FS23" s="618"/>
      <c r="FT23" s="618"/>
      <c r="FU23" s="619"/>
      <c r="FV23" s="619"/>
      <c r="FW23" s="620"/>
    </row>
    <row r="24" spans="2:179" ht="15" thickTop="1">
      <c r="B24" s="86" t="s">
        <v>1635</v>
      </c>
      <c r="C24" s="137">
        <v>159</v>
      </c>
      <c r="D24" s="143">
        <v>12896</v>
      </c>
      <c r="E24" s="88">
        <f t="shared" ref="E24:E29" si="35">SUM(C24:D24)</f>
        <v>13055</v>
      </c>
      <c r="G24" s="86" t="s">
        <v>1635</v>
      </c>
      <c r="H24" s="137">
        <v>215</v>
      </c>
      <c r="I24" s="143">
        <v>13459</v>
      </c>
      <c r="J24" s="88">
        <f t="shared" ref="J24:J29" si="36">SUM(H24:I24)</f>
        <v>13674</v>
      </c>
      <c r="L24" s="86" t="s">
        <v>1635</v>
      </c>
      <c r="M24" s="139">
        <v>971</v>
      </c>
      <c r="N24" s="143">
        <v>14654</v>
      </c>
      <c r="O24" s="88">
        <f t="shared" ref="O24:O29" si="37">SUM(M24:N24)</f>
        <v>15625</v>
      </c>
      <c r="Q24" s="86" t="s">
        <v>1635</v>
      </c>
      <c r="R24" s="139">
        <v>1189</v>
      </c>
      <c r="S24" s="143">
        <v>15437</v>
      </c>
      <c r="T24" s="88">
        <f t="shared" ref="T24:T29" si="38">SUM(R24:S24)</f>
        <v>16626</v>
      </c>
      <c r="V24" s="86" t="s">
        <v>1635</v>
      </c>
      <c r="W24" s="139">
        <v>1410</v>
      </c>
      <c r="X24" s="143">
        <v>16165</v>
      </c>
      <c r="Y24" s="88">
        <f t="shared" ref="Y24:Y29" si="39">SUM(W24:X24)</f>
        <v>17575</v>
      </c>
      <c r="AA24" s="86" t="s">
        <v>1635</v>
      </c>
      <c r="AB24" s="139">
        <v>2024</v>
      </c>
      <c r="AC24" s="143">
        <v>17805</v>
      </c>
      <c r="AD24" s="88">
        <f t="shared" ref="AD24:AD29" si="40">SUM(AB24:AC24)</f>
        <v>19829</v>
      </c>
      <c r="AF24" s="86" t="s">
        <v>1635</v>
      </c>
      <c r="AG24" s="139">
        <v>2721</v>
      </c>
      <c r="AH24" s="143">
        <v>19679</v>
      </c>
      <c r="AI24" s="88">
        <f t="shared" ref="AI24:AI29" si="41">SUM(AG24:AH24)</f>
        <v>22400</v>
      </c>
      <c r="AK24" s="86" t="s">
        <v>1635</v>
      </c>
      <c r="AL24" s="139">
        <v>3280</v>
      </c>
      <c r="AM24" s="143">
        <v>21531</v>
      </c>
      <c r="AN24" s="88">
        <f t="shared" ref="AN24:AN29" si="42">SUM(AL24:AM24)</f>
        <v>24811</v>
      </c>
      <c r="AP24" s="86" t="s">
        <v>1635</v>
      </c>
      <c r="AQ24" s="139">
        <v>3883</v>
      </c>
      <c r="AR24" s="143">
        <v>23629</v>
      </c>
      <c r="AS24" s="88">
        <f t="shared" ref="AS24:AS29" si="43">SUM(AQ24:AR24)</f>
        <v>27512</v>
      </c>
      <c r="AW24" s="86" t="s">
        <v>1635</v>
      </c>
      <c r="AX24" s="139">
        <v>4488</v>
      </c>
      <c r="AY24" s="143">
        <v>25704</v>
      </c>
      <c r="AZ24" s="88">
        <f t="shared" ref="AZ24:AZ29" si="44">SUM(AX24:AY24)</f>
        <v>30192</v>
      </c>
      <c r="BA24" s="95">
        <v>2029295</v>
      </c>
      <c r="BB24" s="96">
        <f>SUM(AZ24/BA24)</f>
        <v>1.4878073419586605E-2</v>
      </c>
      <c r="BC24" s="97" t="s">
        <v>1752</v>
      </c>
      <c r="BE24" s="617" t="s">
        <v>1751</v>
      </c>
      <c r="BF24" s="618"/>
      <c r="BG24" s="618"/>
      <c r="BH24" s="618"/>
      <c r="BI24" s="619"/>
      <c r="BJ24" s="619"/>
      <c r="BK24" s="620"/>
      <c r="BM24" s="617" t="s">
        <v>1751</v>
      </c>
      <c r="BN24" s="618"/>
      <c r="BO24" s="618"/>
      <c r="BP24" s="618"/>
      <c r="BQ24" s="621"/>
      <c r="BR24" s="621"/>
      <c r="BS24" s="622"/>
      <c r="BU24" s="617" t="s">
        <v>1751</v>
      </c>
      <c r="BV24" s="618"/>
      <c r="BW24" s="618"/>
      <c r="BX24" s="618"/>
      <c r="BY24" s="619"/>
      <c r="BZ24" s="619"/>
      <c r="CA24" s="620"/>
      <c r="CC24" s="86" t="s">
        <v>1635</v>
      </c>
      <c r="CD24" s="139">
        <v>36259</v>
      </c>
      <c r="CE24" s="143">
        <v>34944</v>
      </c>
      <c r="CF24" s="88">
        <f t="shared" ref="CF24:CF29" si="45">SUM(CD24:CE24)</f>
        <v>71203</v>
      </c>
      <c r="CG24" s="129">
        <v>754755</v>
      </c>
      <c r="CH24" s="96">
        <f>SUM(CF24/CG24)</f>
        <v>9.4339222661658423E-2</v>
      </c>
      <c r="CI24" s="97" t="s">
        <v>1753</v>
      </c>
      <c r="CK24" s="86" t="s">
        <v>1635</v>
      </c>
      <c r="CL24" s="139">
        <v>42057</v>
      </c>
      <c r="CM24" s="143">
        <v>38665</v>
      </c>
      <c r="CN24" s="88">
        <f t="shared" ref="CN24:CN29" si="46">SUM(CL24:CM24)</f>
        <v>80722</v>
      </c>
      <c r="CO24" s="129">
        <v>757631</v>
      </c>
      <c r="CP24" s="96">
        <f>SUM(CN24/CO24)</f>
        <v>0.10654527071885918</v>
      </c>
      <c r="CQ24" s="97" t="s">
        <v>1754</v>
      </c>
      <c r="CS24" s="86" t="s">
        <v>1635</v>
      </c>
      <c r="CT24" s="139">
        <v>42466</v>
      </c>
      <c r="CU24" s="143">
        <v>41756</v>
      </c>
      <c r="CV24" s="88">
        <f t="shared" ref="CV24:CV29" si="47">SUM(CT24:CU24)</f>
        <v>84222</v>
      </c>
      <c r="CW24" s="129">
        <v>758666</v>
      </c>
      <c r="CX24" s="96">
        <f>SUM(CV24/CW24)</f>
        <v>0.11101327857054356</v>
      </c>
      <c r="CY24" s="97" t="s">
        <v>1755</v>
      </c>
      <c r="DA24" s="86" t="s">
        <v>1635</v>
      </c>
      <c r="DB24" s="139">
        <v>43270</v>
      </c>
      <c r="DC24" s="143">
        <v>46937</v>
      </c>
      <c r="DD24" s="88">
        <f t="shared" ref="DD24:DD29" si="48">SUM(DB24:DC24)</f>
        <v>90207</v>
      </c>
      <c r="DE24" s="90">
        <v>759836</v>
      </c>
      <c r="DF24" s="96">
        <f>SUM(DD24/DE24)</f>
        <v>0.11871903937165389</v>
      </c>
      <c r="DG24" s="97" t="s">
        <v>1756</v>
      </c>
      <c r="DJ24" s="86" t="s">
        <v>1635</v>
      </c>
      <c r="DK24" s="139">
        <v>44011</v>
      </c>
      <c r="DL24" s="143">
        <v>50476</v>
      </c>
      <c r="DM24" s="88">
        <f t="shared" ref="DM24:DM29" si="49">SUM(DK24:DL24)</f>
        <v>94487</v>
      </c>
      <c r="DN24" s="90">
        <v>762082</v>
      </c>
      <c r="DO24" s="96">
        <f>SUM(DM24/DN24)</f>
        <v>0.12398534540902423</v>
      </c>
      <c r="DP24" s="97" t="s">
        <v>1757</v>
      </c>
      <c r="DS24" s="86" t="s">
        <v>1635</v>
      </c>
      <c r="DT24" s="139">
        <v>45571</v>
      </c>
      <c r="DU24" s="143">
        <v>54034</v>
      </c>
      <c r="DV24" s="88">
        <f t="shared" ref="DV24:DV29" si="50">SUM(DT24:DU24)</f>
        <v>99605</v>
      </c>
      <c r="DW24" s="90">
        <v>762082</v>
      </c>
      <c r="DX24" s="96">
        <f>SUM(DV24/DW24)</f>
        <v>0.13070115814308697</v>
      </c>
      <c r="DY24" s="97" t="s">
        <v>1758</v>
      </c>
      <c r="EB24" s="86" t="s">
        <v>1635</v>
      </c>
      <c r="EC24" s="139">
        <v>45540</v>
      </c>
      <c r="ED24" s="143">
        <v>58087</v>
      </c>
      <c r="EE24" s="88">
        <f t="shared" ref="EE24:EE29" si="51">SUM(EC24:ED24)</f>
        <v>103627</v>
      </c>
      <c r="EF24" s="90">
        <v>764629</v>
      </c>
      <c r="EG24" s="96">
        <f>SUM(EE24/EF24)</f>
        <v>0.13552585633032491</v>
      </c>
      <c r="EH24" s="105">
        <v>0.13070115814308697</v>
      </c>
      <c r="EK24" s="86" t="s">
        <v>1635</v>
      </c>
      <c r="EL24" s="139">
        <v>46125</v>
      </c>
      <c r="EM24" s="143">
        <v>61385</v>
      </c>
      <c r="EN24" s="88">
        <f t="shared" ref="EN24:EN29" si="52">SUM(EL24:EM24)</f>
        <v>107510</v>
      </c>
      <c r="EO24" s="90">
        <v>764629</v>
      </c>
      <c r="EP24" s="96">
        <f>SUM(EN24/EO24)</f>
        <v>0.14060413612353181</v>
      </c>
      <c r="EQ24" s="105">
        <v>0.13552585633032491</v>
      </c>
      <c r="ES24" s="86" t="s">
        <v>1635</v>
      </c>
      <c r="ET24" s="114">
        <v>46181</v>
      </c>
      <c r="EU24" s="108">
        <v>62799</v>
      </c>
      <c r="EV24" s="108">
        <f t="shared" ref="EV24:EV29" si="53">SUM(ET24:EU24)</f>
        <v>108980</v>
      </c>
      <c r="EW24" s="90">
        <v>768323</v>
      </c>
      <c r="EX24" s="96">
        <f>SUM(EV24/EW24)</f>
        <v>0.14184138702082327</v>
      </c>
      <c r="EY24" s="105">
        <v>0.14060413612353181</v>
      </c>
      <c r="FA24" s="86" t="s">
        <v>1635</v>
      </c>
      <c r="FB24" s="114">
        <f>43090+2070</f>
        <v>45160</v>
      </c>
      <c r="FC24" s="108">
        <f>272+37024+3162+23927</f>
        <v>64385</v>
      </c>
      <c r="FD24" s="108">
        <f t="shared" ref="FD24:FD29" si="54">SUM(FB24:FC24)</f>
        <v>109545</v>
      </c>
      <c r="FE24" s="90">
        <v>770357</v>
      </c>
      <c r="FF24" s="96">
        <f>SUM(FD24/FE24)</f>
        <v>0.14220030453413157</v>
      </c>
      <c r="FG24" s="105">
        <v>0.14180000000000001</v>
      </c>
      <c r="FI24" s="86" t="s">
        <v>1635</v>
      </c>
      <c r="FJ24" s="114">
        <v>46997</v>
      </c>
      <c r="FK24" s="108">
        <v>68982</v>
      </c>
      <c r="FL24" s="108">
        <f t="shared" ref="FL24:FL29" si="55">SUM(FJ24:FK24)</f>
        <v>115979</v>
      </c>
      <c r="FM24" s="90">
        <v>768557</v>
      </c>
      <c r="FN24" s="96">
        <f>SUM(FL24/FM24)</f>
        <v>0.1509048775822743</v>
      </c>
      <c r="FO24" s="105">
        <v>0.14219999999999999</v>
      </c>
      <c r="FQ24" s="86" t="s">
        <v>1635</v>
      </c>
      <c r="FR24" s="114">
        <f>[1]actrpt!B185+[1]actrpt!B333</f>
        <v>42683</v>
      </c>
      <c r="FS24" s="108">
        <f>[1]actrpt!B101+[1]actrpt!B143+[1]actrpt!B235+[1]actrpt!B284</f>
        <v>76376</v>
      </c>
      <c r="FT24" s="108">
        <f t="shared" ref="FT24:FT29" si="56">SUM(FR24:FS24)</f>
        <v>119059</v>
      </c>
      <c r="FU24" s="90">
        <f>[1]html!B37</f>
        <v>768557</v>
      </c>
      <c r="FV24" s="96">
        <f>SUM(FT24/FU24)</f>
        <v>0.15491238776043936</v>
      </c>
      <c r="FW24" s="105">
        <v>0.1426681131655273</v>
      </c>
    </row>
    <row r="25" spans="2:179">
      <c r="B25" s="86" t="s">
        <v>1638</v>
      </c>
      <c r="C25" s="137">
        <v>114</v>
      </c>
      <c r="D25" s="143">
        <v>14265</v>
      </c>
      <c r="E25" s="88">
        <f t="shared" si="35"/>
        <v>14379</v>
      </c>
      <c r="G25" s="86" t="s">
        <v>1638</v>
      </c>
      <c r="H25" s="137">
        <v>171</v>
      </c>
      <c r="I25" s="143">
        <v>14830</v>
      </c>
      <c r="J25" s="88">
        <f t="shared" si="36"/>
        <v>15001</v>
      </c>
      <c r="L25" s="86" t="s">
        <v>1638</v>
      </c>
      <c r="M25" s="139">
        <v>671</v>
      </c>
      <c r="N25" s="143">
        <v>15621</v>
      </c>
      <c r="O25" s="88">
        <f t="shared" si="37"/>
        <v>16292</v>
      </c>
      <c r="Q25" s="86" t="s">
        <v>1638</v>
      </c>
      <c r="R25" s="139">
        <v>799</v>
      </c>
      <c r="S25" s="143">
        <v>16282</v>
      </c>
      <c r="T25" s="88">
        <f t="shared" si="38"/>
        <v>17081</v>
      </c>
      <c r="V25" s="86" t="s">
        <v>1638</v>
      </c>
      <c r="W25" s="139">
        <v>912</v>
      </c>
      <c r="X25" s="143">
        <v>16885</v>
      </c>
      <c r="Y25" s="88">
        <f t="shared" si="39"/>
        <v>17797</v>
      </c>
      <c r="AA25" s="86" t="s">
        <v>1638</v>
      </c>
      <c r="AB25" s="139">
        <v>1243</v>
      </c>
      <c r="AC25" s="143">
        <v>18284</v>
      </c>
      <c r="AD25" s="88">
        <f t="shared" si="40"/>
        <v>19527</v>
      </c>
      <c r="AF25" s="86" t="s">
        <v>1638</v>
      </c>
      <c r="AG25" s="139">
        <v>1661</v>
      </c>
      <c r="AH25" s="143">
        <v>19897</v>
      </c>
      <c r="AI25" s="88">
        <f t="shared" si="41"/>
        <v>21558</v>
      </c>
      <c r="AK25" s="86" t="s">
        <v>1638</v>
      </c>
      <c r="AL25" s="139">
        <v>2020</v>
      </c>
      <c r="AM25" s="143">
        <v>21337</v>
      </c>
      <c r="AN25" s="88">
        <f t="shared" si="42"/>
        <v>23357</v>
      </c>
      <c r="AP25" s="86" t="s">
        <v>1638</v>
      </c>
      <c r="AQ25" s="139">
        <v>2382</v>
      </c>
      <c r="AR25" s="143">
        <v>23243</v>
      </c>
      <c r="AS25" s="88">
        <f t="shared" si="43"/>
        <v>25625</v>
      </c>
      <c r="AW25" s="86" t="s">
        <v>1638</v>
      </c>
      <c r="AX25" s="139">
        <v>2809</v>
      </c>
      <c r="AY25" s="143">
        <v>25105</v>
      </c>
      <c r="AZ25" s="88">
        <f t="shared" si="44"/>
        <v>27914</v>
      </c>
      <c r="BA25" s="90">
        <v>976989</v>
      </c>
      <c r="BB25" s="91">
        <f>SUM(AZ25/BA25)</f>
        <v>2.857145781579936E-2</v>
      </c>
      <c r="BC25" s="97" t="s">
        <v>1759</v>
      </c>
      <c r="BE25" s="86" t="s">
        <v>1635</v>
      </c>
      <c r="BF25" s="139">
        <v>4967</v>
      </c>
      <c r="BG25" s="143">
        <v>27775</v>
      </c>
      <c r="BH25" s="88">
        <f t="shared" ref="BH25:BH30" si="57">SUM(BF25:BG25)</f>
        <v>32742</v>
      </c>
      <c r="BI25" s="129">
        <v>751083</v>
      </c>
      <c r="BJ25" s="96">
        <f>SUM(BH25/BI25)</f>
        <v>4.3593051633441314E-2</v>
      </c>
      <c r="BK25" s="97" t="s">
        <v>1640</v>
      </c>
      <c r="BM25" s="109" t="s">
        <v>1635</v>
      </c>
      <c r="BN25" s="144">
        <v>5574</v>
      </c>
      <c r="BO25" s="145">
        <v>29990</v>
      </c>
      <c r="BP25" s="111">
        <f t="shared" ref="BP25:BP30" si="58">SUM(BN25:BO25)</f>
        <v>35564</v>
      </c>
      <c r="BQ25" s="130">
        <v>752726</v>
      </c>
      <c r="BR25" s="102">
        <f>SUM(BP25/BQ25)</f>
        <v>4.7246939789511722E-2</v>
      </c>
      <c r="BS25" s="103" t="s">
        <v>1760</v>
      </c>
      <c r="BU25" s="86" t="s">
        <v>1635</v>
      </c>
      <c r="BV25" s="139">
        <v>6268</v>
      </c>
      <c r="BW25" s="143">
        <v>32085</v>
      </c>
      <c r="BX25" s="88">
        <f t="shared" ref="BX25:BX30" si="59">SUM(BV25:BW25)</f>
        <v>38353</v>
      </c>
      <c r="BY25" s="129">
        <v>753478</v>
      </c>
      <c r="BZ25" s="96">
        <f>SUM(BX25/BY25)</f>
        <v>5.0901287097964376E-2</v>
      </c>
      <c r="CA25" s="97" t="s">
        <v>1761</v>
      </c>
      <c r="CC25" s="86" t="s">
        <v>1638</v>
      </c>
      <c r="CD25" s="139">
        <v>22328</v>
      </c>
      <c r="CE25" s="143">
        <v>19903</v>
      </c>
      <c r="CF25" s="88">
        <f t="shared" si="45"/>
        <v>42231</v>
      </c>
      <c r="CG25" s="129">
        <v>505268</v>
      </c>
      <c r="CH25" s="91">
        <f>SUM(CF25/CG25)</f>
        <v>8.3581386511712596E-2</v>
      </c>
      <c r="CI25" s="97" t="s">
        <v>1667</v>
      </c>
      <c r="CK25" s="86" t="s">
        <v>1638</v>
      </c>
      <c r="CL25" s="139">
        <v>27031</v>
      </c>
      <c r="CM25" s="143">
        <v>21816</v>
      </c>
      <c r="CN25" s="88">
        <f t="shared" si="46"/>
        <v>48847</v>
      </c>
      <c r="CO25" s="129">
        <v>506458</v>
      </c>
      <c r="CP25" s="91">
        <f>SUM(CN25/CO25)</f>
        <v>9.6448274091829919E-2</v>
      </c>
      <c r="CQ25" s="97" t="s">
        <v>1667</v>
      </c>
      <c r="CS25" s="86" t="s">
        <v>1638</v>
      </c>
      <c r="CT25" s="139">
        <v>27283</v>
      </c>
      <c r="CU25" s="143">
        <v>23672</v>
      </c>
      <c r="CV25" s="88">
        <f t="shared" si="47"/>
        <v>50955</v>
      </c>
      <c r="CW25" s="129">
        <v>506328</v>
      </c>
      <c r="CX25" s="91">
        <f>SUM(CV25/CW25)</f>
        <v>0.10063634639996208</v>
      </c>
      <c r="CY25" s="97" t="s">
        <v>1762</v>
      </c>
      <c r="DA25" s="86" t="s">
        <v>1638</v>
      </c>
      <c r="DB25" s="139">
        <v>27802</v>
      </c>
      <c r="DC25" s="143">
        <v>26672</v>
      </c>
      <c r="DD25" s="88">
        <f t="shared" si="48"/>
        <v>54474</v>
      </c>
      <c r="DE25" s="90">
        <v>506294</v>
      </c>
      <c r="DF25" s="91">
        <f>SUM(DD25/DE25)</f>
        <v>0.10759361161696564</v>
      </c>
      <c r="DG25" s="97" t="s">
        <v>1763</v>
      </c>
      <c r="DJ25" s="86" t="s">
        <v>1638</v>
      </c>
      <c r="DK25" s="139">
        <v>28091</v>
      </c>
      <c r="DL25" s="143">
        <v>28705</v>
      </c>
      <c r="DM25" s="88">
        <f t="shared" si="49"/>
        <v>56796</v>
      </c>
      <c r="DN25" s="90">
        <v>506970</v>
      </c>
      <c r="DO25" s="91">
        <f>SUM(DM25/DN25)</f>
        <v>0.11203029765074857</v>
      </c>
      <c r="DP25" s="97" t="s">
        <v>1764</v>
      </c>
      <c r="DS25" s="86" t="s">
        <v>1638</v>
      </c>
      <c r="DT25" s="139">
        <v>29259</v>
      </c>
      <c r="DU25" s="143">
        <v>31028</v>
      </c>
      <c r="DV25" s="88">
        <f t="shared" si="50"/>
        <v>60287</v>
      </c>
      <c r="DW25" s="90">
        <v>506970</v>
      </c>
      <c r="DX25" s="91">
        <f>SUM(DV25/DW25)</f>
        <v>0.11891630668481369</v>
      </c>
      <c r="DY25" s="97" t="s">
        <v>1765</v>
      </c>
      <c r="EB25" s="86" t="s">
        <v>1638</v>
      </c>
      <c r="EC25" s="139">
        <v>28865</v>
      </c>
      <c r="ED25" s="143">
        <v>32874</v>
      </c>
      <c r="EE25" s="88">
        <f t="shared" si="51"/>
        <v>61739</v>
      </c>
      <c r="EF25" s="90">
        <v>506637</v>
      </c>
      <c r="EG25" s="91">
        <f>SUM(EE25/EF25)</f>
        <v>0.12186042472223703</v>
      </c>
      <c r="EH25" s="105">
        <v>0.11891630668481369</v>
      </c>
      <c r="EK25" s="86" t="s">
        <v>1638</v>
      </c>
      <c r="EL25" s="139">
        <v>29123</v>
      </c>
      <c r="EM25" s="143">
        <v>34600</v>
      </c>
      <c r="EN25" s="88">
        <f t="shared" si="52"/>
        <v>63723</v>
      </c>
      <c r="EO25" s="90">
        <v>506637</v>
      </c>
      <c r="EP25" s="91">
        <f>SUM(EN25/EO25)</f>
        <v>0.12577644348912534</v>
      </c>
      <c r="EQ25" s="105">
        <v>0.12186042472223703</v>
      </c>
      <c r="ES25" s="86" t="s">
        <v>1638</v>
      </c>
      <c r="ET25" s="114">
        <v>29182</v>
      </c>
      <c r="EU25" s="108">
        <f>117+25785+716+8784</f>
        <v>35402</v>
      </c>
      <c r="EV25" s="108">
        <f t="shared" si="53"/>
        <v>64584</v>
      </c>
      <c r="EW25" s="90">
        <v>507740</v>
      </c>
      <c r="EX25" s="91">
        <f>SUM(EV25/EW25)</f>
        <v>0.1271989600976878</v>
      </c>
      <c r="EY25" s="105">
        <v>0.12577644348912534</v>
      </c>
      <c r="FA25" s="86" t="s">
        <v>1638</v>
      </c>
      <c r="FB25" s="114">
        <f>27296+1269</f>
        <v>28565</v>
      </c>
      <c r="FC25" s="108">
        <f>156+22623+1732+13597</f>
        <v>38108</v>
      </c>
      <c r="FD25" s="108">
        <f t="shared" si="54"/>
        <v>66673</v>
      </c>
      <c r="FE25" s="90">
        <v>508586</v>
      </c>
      <c r="FF25" s="91">
        <f>SUM(FD25/FE25)</f>
        <v>0.13109483941752231</v>
      </c>
      <c r="FG25" s="105">
        <v>0.12720000000000001</v>
      </c>
      <c r="FI25" s="86" t="s">
        <v>1638</v>
      </c>
      <c r="FJ25" s="114">
        <v>28804</v>
      </c>
      <c r="FK25" s="108">
        <v>40746</v>
      </c>
      <c r="FL25" s="108">
        <f t="shared" si="55"/>
        <v>69550</v>
      </c>
      <c r="FM25" s="90">
        <v>506051</v>
      </c>
      <c r="FN25" s="91">
        <f>SUM(FL25/FM25)</f>
        <v>0.1374367405656742</v>
      </c>
      <c r="FO25" s="105">
        <v>0.13109999999999999</v>
      </c>
      <c r="FQ25" s="86" t="s">
        <v>1638</v>
      </c>
      <c r="FR25" s="114">
        <f>[1]actrpt!B187+[1]actrpt!B335</f>
        <v>27276</v>
      </c>
      <c r="FS25" s="108">
        <f>[1]actrpt!B103+[1]actrpt!B145+[1]actrpt!B237+[1]actrpt!B286</f>
        <v>45000</v>
      </c>
      <c r="FT25" s="108">
        <f t="shared" si="56"/>
        <v>72276</v>
      </c>
      <c r="FU25" s="90">
        <f>[1]html!B38</f>
        <v>506051</v>
      </c>
      <c r="FV25" s="91">
        <f>SUM(FT25/FU25)</f>
        <v>0.14282354940509948</v>
      </c>
      <c r="FW25" s="105">
        <v>0.13175909347814918</v>
      </c>
    </row>
    <row r="26" spans="2:179">
      <c r="B26" s="86" t="s">
        <v>1649</v>
      </c>
      <c r="C26" s="137">
        <v>73</v>
      </c>
      <c r="D26" s="143">
        <v>7692</v>
      </c>
      <c r="E26" s="88">
        <f t="shared" si="35"/>
        <v>7765</v>
      </c>
      <c r="G26" s="86" t="s">
        <v>1649</v>
      </c>
      <c r="H26" s="137">
        <v>114</v>
      </c>
      <c r="I26" s="143">
        <v>8059</v>
      </c>
      <c r="J26" s="88">
        <f t="shared" si="36"/>
        <v>8173</v>
      </c>
      <c r="L26" s="86" t="s">
        <v>1649</v>
      </c>
      <c r="M26" s="139">
        <v>548</v>
      </c>
      <c r="N26" s="143">
        <v>8503</v>
      </c>
      <c r="O26" s="88">
        <f t="shared" si="37"/>
        <v>9051</v>
      </c>
      <c r="Q26" s="86" t="s">
        <v>1649</v>
      </c>
      <c r="R26" s="139">
        <v>649</v>
      </c>
      <c r="S26" s="143">
        <v>8934</v>
      </c>
      <c r="T26" s="88">
        <f t="shared" si="38"/>
        <v>9583</v>
      </c>
      <c r="V26" s="86" t="s">
        <v>1649</v>
      </c>
      <c r="W26" s="139">
        <v>741</v>
      </c>
      <c r="X26" s="143">
        <v>9329</v>
      </c>
      <c r="Y26" s="88">
        <f t="shared" si="39"/>
        <v>10070</v>
      </c>
      <c r="AA26" s="86" t="s">
        <v>1649</v>
      </c>
      <c r="AB26" s="139">
        <v>1034</v>
      </c>
      <c r="AC26" s="143">
        <v>10146</v>
      </c>
      <c r="AD26" s="88">
        <f t="shared" si="40"/>
        <v>11180</v>
      </c>
      <c r="AF26" s="86" t="s">
        <v>1649</v>
      </c>
      <c r="AG26" s="139">
        <v>1439</v>
      </c>
      <c r="AH26" s="143">
        <v>11126</v>
      </c>
      <c r="AI26" s="88">
        <f t="shared" si="41"/>
        <v>12565</v>
      </c>
      <c r="AK26" s="86" t="s">
        <v>1649</v>
      </c>
      <c r="AL26" s="139">
        <v>1766</v>
      </c>
      <c r="AM26" s="143">
        <v>12186</v>
      </c>
      <c r="AN26" s="88">
        <f t="shared" si="42"/>
        <v>13952</v>
      </c>
      <c r="AP26" s="86" t="s">
        <v>1649</v>
      </c>
      <c r="AQ26" s="139">
        <v>2089</v>
      </c>
      <c r="AR26" s="143">
        <v>13392</v>
      </c>
      <c r="AS26" s="88">
        <f t="shared" si="43"/>
        <v>15481</v>
      </c>
      <c r="AW26" s="86" t="s">
        <v>1649</v>
      </c>
      <c r="AX26" s="139">
        <v>2426</v>
      </c>
      <c r="AY26" s="143">
        <v>14466</v>
      </c>
      <c r="AZ26" s="88">
        <f t="shared" si="44"/>
        <v>16892</v>
      </c>
      <c r="BA26" s="90">
        <v>1269304</v>
      </c>
      <c r="BB26" s="91">
        <f>SUM(AZ26/BA26)</f>
        <v>1.330808064892256E-2</v>
      </c>
      <c r="BC26" s="97" t="s">
        <v>1766</v>
      </c>
      <c r="BE26" s="86" t="s">
        <v>1638</v>
      </c>
      <c r="BF26" s="139">
        <v>2721</v>
      </c>
      <c r="BG26" s="143">
        <v>15655</v>
      </c>
      <c r="BH26" s="88">
        <f t="shared" si="57"/>
        <v>18376</v>
      </c>
      <c r="BI26" s="129">
        <v>504286</v>
      </c>
      <c r="BJ26" s="91">
        <f>SUM(BH26/BI26)</f>
        <v>3.6439639410969171E-2</v>
      </c>
      <c r="BK26" s="97" t="s">
        <v>1640</v>
      </c>
      <c r="BM26" s="109" t="s">
        <v>1638</v>
      </c>
      <c r="BN26" s="144">
        <v>3058</v>
      </c>
      <c r="BO26" s="145">
        <v>17017</v>
      </c>
      <c r="BP26" s="111">
        <f t="shared" si="58"/>
        <v>20075</v>
      </c>
      <c r="BQ26" s="130">
        <v>505054</v>
      </c>
      <c r="BR26" s="113">
        <f>SUM(BP26/BQ26)</f>
        <v>3.9748224942283403E-2</v>
      </c>
      <c r="BS26" s="103" t="s">
        <v>1767</v>
      </c>
      <c r="BU26" s="86" t="s">
        <v>1638</v>
      </c>
      <c r="BV26" s="139">
        <v>3442</v>
      </c>
      <c r="BW26" s="143">
        <v>18330</v>
      </c>
      <c r="BX26" s="88">
        <f t="shared" si="59"/>
        <v>21772</v>
      </c>
      <c r="BY26" s="129">
        <v>505354</v>
      </c>
      <c r="BZ26" s="91">
        <f>SUM(BX26/BY26)</f>
        <v>4.308267076148601E-2</v>
      </c>
      <c r="CA26" s="97" t="s">
        <v>1768</v>
      </c>
      <c r="CC26" s="86" t="s">
        <v>1649</v>
      </c>
      <c r="CD26" s="139">
        <v>21001</v>
      </c>
      <c r="CE26" s="143">
        <v>33201</v>
      </c>
      <c r="CF26" s="88">
        <f t="shared" si="45"/>
        <v>54202</v>
      </c>
      <c r="CG26" s="129">
        <v>685724</v>
      </c>
      <c r="CH26" s="91">
        <f>SUM(CF26/CG26)</f>
        <v>7.904346355093303E-2</v>
      </c>
      <c r="CI26" s="97" t="s">
        <v>1769</v>
      </c>
      <c r="CK26" s="86" t="s">
        <v>1649</v>
      </c>
      <c r="CL26" s="139">
        <v>25732</v>
      </c>
      <c r="CM26" s="143">
        <v>36267</v>
      </c>
      <c r="CN26" s="88">
        <f t="shared" si="46"/>
        <v>61999</v>
      </c>
      <c r="CO26" s="129">
        <v>687514</v>
      </c>
      <c r="CP26" s="91">
        <f>SUM(CN26/CO26)</f>
        <v>9.0178527273626422E-2</v>
      </c>
      <c r="CQ26" s="97" t="s">
        <v>1770</v>
      </c>
      <c r="CS26" s="86" t="s">
        <v>1649</v>
      </c>
      <c r="CT26" s="139">
        <v>26066</v>
      </c>
      <c r="CU26" s="143">
        <v>38723</v>
      </c>
      <c r="CV26" s="88">
        <f t="shared" si="47"/>
        <v>64789</v>
      </c>
      <c r="CW26" s="129">
        <v>687980</v>
      </c>
      <c r="CX26" s="91">
        <f>SUM(CV26/CW26)</f>
        <v>9.4172795720805835E-2</v>
      </c>
      <c r="CY26" s="97" t="s">
        <v>1771</v>
      </c>
      <c r="DA26" s="86" t="s">
        <v>1649</v>
      </c>
      <c r="DB26" s="139">
        <v>26726</v>
      </c>
      <c r="DC26" s="143">
        <v>43057</v>
      </c>
      <c r="DD26" s="88">
        <f t="shared" si="48"/>
        <v>69783</v>
      </c>
      <c r="DE26" s="90">
        <v>687576</v>
      </c>
      <c r="DF26" s="91">
        <f>SUM(DD26/DE26)</f>
        <v>0.10149132604977486</v>
      </c>
      <c r="DG26" s="97" t="s">
        <v>1772</v>
      </c>
      <c r="DJ26" s="86" t="s">
        <v>1649</v>
      </c>
      <c r="DK26" s="139">
        <v>27282</v>
      </c>
      <c r="DL26" s="143">
        <v>46234</v>
      </c>
      <c r="DM26" s="88">
        <f t="shared" si="49"/>
        <v>73516</v>
      </c>
      <c r="DN26" s="90">
        <v>688691</v>
      </c>
      <c r="DO26" s="91">
        <f>SUM(DM26/DN26)</f>
        <v>0.10674743825605387</v>
      </c>
      <c r="DP26" s="97" t="s">
        <v>1773</v>
      </c>
      <c r="DS26" s="86" t="s">
        <v>1649</v>
      </c>
      <c r="DT26" s="139">
        <v>28566</v>
      </c>
      <c r="DU26" s="143">
        <v>49484</v>
      </c>
      <c r="DV26" s="88">
        <f t="shared" si="50"/>
        <v>78050</v>
      </c>
      <c r="DW26" s="90">
        <v>688691</v>
      </c>
      <c r="DX26" s="91">
        <f>SUM(DV26/DW26)</f>
        <v>0.11333094232391595</v>
      </c>
      <c r="DY26" s="97" t="s">
        <v>1774</v>
      </c>
      <c r="EB26" s="86" t="s">
        <v>1649</v>
      </c>
      <c r="EC26" s="139">
        <v>28212</v>
      </c>
      <c r="ED26" s="143">
        <v>52403</v>
      </c>
      <c r="EE26" s="88">
        <f t="shared" si="51"/>
        <v>80615</v>
      </c>
      <c r="EF26" s="90">
        <v>689310</v>
      </c>
      <c r="EG26" s="91">
        <f>SUM(EE26/EF26)</f>
        <v>0.11695028361695028</v>
      </c>
      <c r="EH26" s="105">
        <v>0.11333094232391595</v>
      </c>
      <c r="EK26" s="86" t="s">
        <v>1649</v>
      </c>
      <c r="EL26" s="139">
        <v>28623</v>
      </c>
      <c r="EM26" s="143">
        <v>54859</v>
      </c>
      <c r="EN26" s="88">
        <f t="shared" si="52"/>
        <v>83482</v>
      </c>
      <c r="EO26" s="90">
        <v>689310</v>
      </c>
      <c r="EP26" s="91">
        <f>SUM(EN26/EO26)</f>
        <v>0.12110951531241386</v>
      </c>
      <c r="EQ26" s="105">
        <v>0.11695028361695028</v>
      </c>
      <c r="ES26" s="86" t="s">
        <v>1649</v>
      </c>
      <c r="ET26" s="114">
        <v>28632</v>
      </c>
      <c r="EU26" s="108">
        <f>133+41237+751+13124</f>
        <v>55245</v>
      </c>
      <c r="EV26" s="108">
        <f t="shared" si="53"/>
        <v>83877</v>
      </c>
      <c r="EW26" s="90">
        <v>690328</v>
      </c>
      <c r="EX26" s="91">
        <f>SUM(EV26/EW26)</f>
        <v>0.12150311156435781</v>
      </c>
      <c r="EY26" s="105">
        <v>0.12110951531241386</v>
      </c>
      <c r="FA26" s="86" t="s">
        <v>1649</v>
      </c>
      <c r="FB26" s="114">
        <f>26822+1227</f>
        <v>28049</v>
      </c>
      <c r="FC26" s="108">
        <f>173+35873+1927+20971</f>
        <v>58944</v>
      </c>
      <c r="FD26" s="108">
        <f t="shared" si="54"/>
        <v>86993</v>
      </c>
      <c r="FE26" s="90">
        <v>691185</v>
      </c>
      <c r="FF26" s="91">
        <f>SUM(FD26/FE26)</f>
        <v>0.12586065959186035</v>
      </c>
      <c r="FG26" s="105">
        <v>0.1215</v>
      </c>
      <c r="FI26" s="86" t="s">
        <v>1649</v>
      </c>
      <c r="FJ26" s="114">
        <v>28247</v>
      </c>
      <c r="FK26" s="108">
        <v>61829</v>
      </c>
      <c r="FL26" s="108">
        <f t="shared" si="55"/>
        <v>90076</v>
      </c>
      <c r="FM26" s="90">
        <v>687716</v>
      </c>
      <c r="FN26" s="91">
        <f>SUM(FL26/FM26)</f>
        <v>0.13097848530498055</v>
      </c>
      <c r="FO26" s="105">
        <v>0.12590000000000001</v>
      </c>
      <c r="FQ26" s="86" t="s">
        <v>1649</v>
      </c>
      <c r="FR26" s="114">
        <f>[1]actrpt!B186+[1]actrpt!B334</f>
        <v>26788</v>
      </c>
      <c r="FS26" s="108">
        <f>[1]actrpt!B102+[1]actrpt!B144+[1]actrpt!B236+[1]actrpt!B285</f>
        <v>67305</v>
      </c>
      <c r="FT26" s="108">
        <f t="shared" si="56"/>
        <v>94093</v>
      </c>
      <c r="FU26" s="90">
        <f>[1]html!B40</f>
        <v>687716</v>
      </c>
      <c r="FV26" s="91">
        <f>SUM(FT26/FU26)</f>
        <v>0.13681955923666164</v>
      </c>
      <c r="FW26" s="105">
        <v>0.12646224652818663</v>
      </c>
    </row>
    <row r="27" spans="2:179">
      <c r="B27" s="86" t="s">
        <v>1659</v>
      </c>
      <c r="C27" s="137">
        <v>41</v>
      </c>
      <c r="D27" s="143">
        <v>1665</v>
      </c>
      <c r="E27" s="88">
        <f t="shared" si="35"/>
        <v>1706</v>
      </c>
      <c r="G27" s="86" t="s">
        <v>1659</v>
      </c>
      <c r="H27" s="137">
        <v>57</v>
      </c>
      <c r="I27" s="143">
        <v>1738</v>
      </c>
      <c r="J27" s="88">
        <f t="shared" si="36"/>
        <v>1795</v>
      </c>
      <c r="L27" s="86" t="s">
        <v>1659</v>
      </c>
      <c r="M27" s="139">
        <v>255</v>
      </c>
      <c r="N27" s="143">
        <v>1857</v>
      </c>
      <c r="O27" s="88">
        <f t="shared" si="37"/>
        <v>2112</v>
      </c>
      <c r="Q27" s="86" t="s">
        <v>1659</v>
      </c>
      <c r="R27" s="139">
        <v>305</v>
      </c>
      <c r="S27" s="143">
        <v>2040</v>
      </c>
      <c r="T27" s="88">
        <f t="shared" si="38"/>
        <v>2345</v>
      </c>
      <c r="V27" s="86" t="s">
        <v>1659</v>
      </c>
      <c r="W27" s="139">
        <v>327</v>
      </c>
      <c r="X27" s="143">
        <v>2159</v>
      </c>
      <c r="Y27" s="88">
        <f t="shared" si="39"/>
        <v>2486</v>
      </c>
      <c r="AA27" s="86" t="s">
        <v>1659</v>
      </c>
      <c r="AB27" s="139">
        <v>424</v>
      </c>
      <c r="AC27" s="143">
        <v>2394</v>
      </c>
      <c r="AD27" s="88">
        <f t="shared" si="40"/>
        <v>2818</v>
      </c>
      <c r="AF27" s="86" t="s">
        <v>1659</v>
      </c>
      <c r="AG27" s="139">
        <v>549</v>
      </c>
      <c r="AH27" s="143">
        <v>2696</v>
      </c>
      <c r="AI27" s="88">
        <f t="shared" si="41"/>
        <v>3245</v>
      </c>
      <c r="AK27" s="86" t="s">
        <v>1659</v>
      </c>
      <c r="AL27" s="139">
        <v>648</v>
      </c>
      <c r="AM27" s="143">
        <v>2949</v>
      </c>
      <c r="AN27" s="88">
        <f t="shared" si="42"/>
        <v>3597</v>
      </c>
      <c r="AP27" s="86" t="s">
        <v>1659</v>
      </c>
      <c r="AQ27" s="139">
        <v>753</v>
      </c>
      <c r="AR27" s="143">
        <v>3247</v>
      </c>
      <c r="AS27" s="88">
        <f t="shared" si="43"/>
        <v>4000</v>
      </c>
      <c r="AW27" s="86" t="s">
        <v>1659</v>
      </c>
      <c r="AX27" s="139">
        <v>839</v>
      </c>
      <c r="AY27" s="143">
        <v>3553</v>
      </c>
      <c r="AZ27" s="88">
        <f t="shared" si="44"/>
        <v>4392</v>
      </c>
      <c r="BA27" s="90">
        <v>420989</v>
      </c>
      <c r="BB27" s="91">
        <f>SUM(AZ27/BA27)</f>
        <v>1.0432576623142172E-2</v>
      </c>
      <c r="BC27" s="97" t="s">
        <v>1775</v>
      </c>
      <c r="BE27" s="86" t="s">
        <v>1649</v>
      </c>
      <c r="BF27" s="139">
        <v>3120</v>
      </c>
      <c r="BG27" s="143">
        <v>27031</v>
      </c>
      <c r="BH27" s="88">
        <f t="shared" si="57"/>
        <v>30151</v>
      </c>
      <c r="BI27" s="129">
        <v>684531</v>
      </c>
      <c r="BJ27" s="91">
        <f>SUM(BH27/BI27)</f>
        <v>4.4046215584100649E-2</v>
      </c>
      <c r="BK27" s="97" t="s">
        <v>1640</v>
      </c>
      <c r="BM27" s="109" t="s">
        <v>1649</v>
      </c>
      <c r="BN27" s="144">
        <v>3467</v>
      </c>
      <c r="BO27" s="145">
        <v>29035</v>
      </c>
      <c r="BP27" s="111">
        <f t="shared" si="58"/>
        <v>32502</v>
      </c>
      <c r="BQ27" s="130">
        <v>685352</v>
      </c>
      <c r="BR27" s="113">
        <f>SUM(BP27/BQ27)</f>
        <v>4.7423805577279994E-2</v>
      </c>
      <c r="BS27" s="103" t="s">
        <v>1776</v>
      </c>
      <c r="BU27" s="86" t="s">
        <v>1649</v>
      </c>
      <c r="BV27" s="139">
        <v>3911</v>
      </c>
      <c r="BW27" s="143">
        <v>30932</v>
      </c>
      <c r="BX27" s="88">
        <f t="shared" si="59"/>
        <v>34843</v>
      </c>
      <c r="BY27" s="129">
        <v>685339</v>
      </c>
      <c r="BZ27" s="91">
        <f>SUM(BX27/BY27)</f>
        <v>5.0840532933336638E-2</v>
      </c>
      <c r="CA27" s="97" t="s">
        <v>1777</v>
      </c>
      <c r="CC27" s="86" t="s">
        <v>1659</v>
      </c>
      <c r="CD27" s="139">
        <v>7038</v>
      </c>
      <c r="CE27" s="143">
        <v>5019</v>
      </c>
      <c r="CF27" s="88">
        <f t="shared" si="45"/>
        <v>12057</v>
      </c>
      <c r="CG27" s="129">
        <v>120137</v>
      </c>
      <c r="CH27" s="91">
        <f>SUM(CF27/CG27)</f>
        <v>0.10036042185171928</v>
      </c>
      <c r="CI27" s="97" t="s">
        <v>1778</v>
      </c>
      <c r="CK27" s="86" t="s">
        <v>1659</v>
      </c>
      <c r="CL27" s="139">
        <v>8236</v>
      </c>
      <c r="CM27" s="143">
        <v>5644</v>
      </c>
      <c r="CN27" s="88">
        <f t="shared" si="46"/>
        <v>13880</v>
      </c>
      <c r="CO27" s="129">
        <v>120574</v>
      </c>
      <c r="CP27" s="91">
        <f>SUM(CN27/CO27)</f>
        <v>0.11511602833114934</v>
      </c>
      <c r="CQ27" s="97" t="s">
        <v>1778</v>
      </c>
      <c r="CS27" s="86" t="s">
        <v>1659</v>
      </c>
      <c r="CT27" s="139">
        <v>8306</v>
      </c>
      <c r="CU27" s="143">
        <v>6149</v>
      </c>
      <c r="CV27" s="88">
        <f t="shared" si="47"/>
        <v>14455</v>
      </c>
      <c r="CW27" s="129">
        <v>120596</v>
      </c>
      <c r="CX27" s="91">
        <f>SUM(CV27/CW27)</f>
        <v>0.11986301369863013</v>
      </c>
      <c r="CY27" s="97" t="s">
        <v>1779</v>
      </c>
      <c r="DA27" s="86" t="s">
        <v>1659</v>
      </c>
      <c r="DB27" s="139">
        <v>8431</v>
      </c>
      <c r="DC27" s="143">
        <v>6981</v>
      </c>
      <c r="DD27" s="88">
        <f t="shared" si="48"/>
        <v>15412</v>
      </c>
      <c r="DE27" s="90">
        <v>120706</v>
      </c>
      <c r="DF27" s="91">
        <f>SUM(DD27/DE27)</f>
        <v>0.12768213676204995</v>
      </c>
      <c r="DG27" s="97" t="s">
        <v>1780</v>
      </c>
      <c r="DJ27" s="86" t="s">
        <v>1659</v>
      </c>
      <c r="DK27" s="139">
        <v>8592</v>
      </c>
      <c r="DL27" s="143">
        <v>7566</v>
      </c>
      <c r="DM27" s="88">
        <f t="shared" si="49"/>
        <v>16158</v>
      </c>
      <c r="DN27" s="90">
        <v>120921</v>
      </c>
      <c r="DO27" s="91">
        <f>SUM(DM27/DN27)</f>
        <v>0.13362443248071054</v>
      </c>
      <c r="DP27" s="97" t="s">
        <v>1781</v>
      </c>
      <c r="DS27" s="86" t="s">
        <v>1659</v>
      </c>
      <c r="DT27" s="139">
        <v>8993</v>
      </c>
      <c r="DU27" s="143">
        <v>8062</v>
      </c>
      <c r="DV27" s="88">
        <f t="shared" si="50"/>
        <v>17055</v>
      </c>
      <c r="DW27" s="90">
        <v>120921</v>
      </c>
      <c r="DX27" s="91">
        <f>SUM(DV27/DW27)</f>
        <v>0.14104249882154465</v>
      </c>
      <c r="DY27" s="97" t="s">
        <v>1782</v>
      </c>
      <c r="EB27" s="86" t="s">
        <v>1659</v>
      </c>
      <c r="EC27" s="139">
        <v>8802</v>
      </c>
      <c r="ED27" s="143">
        <v>8833</v>
      </c>
      <c r="EE27" s="88">
        <f t="shared" si="51"/>
        <v>17635</v>
      </c>
      <c r="EF27" s="90">
        <v>121058</v>
      </c>
      <c r="EG27" s="91">
        <f>SUM(EE27/EF27)</f>
        <v>0.14567397445852401</v>
      </c>
      <c r="EH27" s="105">
        <v>0.14104249882154465</v>
      </c>
      <c r="EK27" s="86" t="s">
        <v>1659</v>
      </c>
      <c r="EL27" s="139">
        <v>8885</v>
      </c>
      <c r="EM27" s="143">
        <v>9310</v>
      </c>
      <c r="EN27" s="88">
        <f t="shared" si="52"/>
        <v>18195</v>
      </c>
      <c r="EO27" s="90">
        <v>121058</v>
      </c>
      <c r="EP27" s="91">
        <f>SUM(EN27/EO27)</f>
        <v>0.15029985626724379</v>
      </c>
      <c r="EQ27" s="105">
        <v>0.14567397445852401</v>
      </c>
      <c r="ES27" s="86" t="s">
        <v>1659</v>
      </c>
      <c r="ET27" s="114">
        <v>8898</v>
      </c>
      <c r="EU27" s="108">
        <f>51+6610+216+2550</f>
        <v>9427</v>
      </c>
      <c r="EV27" s="108">
        <f t="shared" si="53"/>
        <v>18325</v>
      </c>
      <c r="EW27" s="90">
        <v>121386</v>
      </c>
      <c r="EX27" s="91">
        <f>SUM(EV27/EW27)</f>
        <v>0.15096469115054453</v>
      </c>
      <c r="EY27" s="105">
        <v>0.15029985626724379</v>
      </c>
      <c r="FA27" s="86" t="s">
        <v>1659</v>
      </c>
      <c r="FB27" s="114">
        <f>8080+322</f>
        <v>8402</v>
      </c>
      <c r="FC27" s="108">
        <f>64+5717+558+4161</f>
        <v>10500</v>
      </c>
      <c r="FD27" s="108">
        <f t="shared" si="54"/>
        <v>18902</v>
      </c>
      <c r="FE27" s="90">
        <v>121635</v>
      </c>
      <c r="FF27" s="91">
        <f>SUM(FD27/FE27)</f>
        <v>0.15539935051588769</v>
      </c>
      <c r="FG27" s="105">
        <v>0.151</v>
      </c>
      <c r="FI27" s="86" t="s">
        <v>1659</v>
      </c>
      <c r="FJ27" s="114">
        <v>8633</v>
      </c>
      <c r="FK27" s="108">
        <v>11371</v>
      </c>
      <c r="FL27" s="108">
        <f t="shared" si="55"/>
        <v>20004</v>
      </c>
      <c r="FM27" s="90">
        <v>121328</v>
      </c>
      <c r="FN27" s="91">
        <f>SUM(FL27/FM27)</f>
        <v>0.16487537913754452</v>
      </c>
      <c r="FO27" s="105">
        <v>0.15540000000000001</v>
      </c>
      <c r="FQ27" s="86" t="s">
        <v>1659</v>
      </c>
      <c r="FR27" s="114">
        <f>[1]actrpt!B188+[1]actrpt!B336</f>
        <v>8315</v>
      </c>
      <c r="FS27" s="108">
        <f>[1]actrpt!B104+[1]actrpt!B146+[1]actrpt!B238+[1]actrpt!B287</f>
        <v>12279</v>
      </c>
      <c r="FT27" s="108">
        <f t="shared" si="56"/>
        <v>20594</v>
      </c>
      <c r="FU27" s="90">
        <f>[1]html!B39</f>
        <v>121328</v>
      </c>
      <c r="FV27" s="91">
        <f>SUM(FT27/FU27)</f>
        <v>0.1697382302518792</v>
      </c>
      <c r="FW27" s="105">
        <v>0.15602017317232214</v>
      </c>
    </row>
    <row r="28" spans="2:179">
      <c r="B28" s="86" t="s">
        <v>1668</v>
      </c>
      <c r="C28" s="137">
        <v>15</v>
      </c>
      <c r="D28" s="143">
        <v>385</v>
      </c>
      <c r="E28" s="88">
        <f t="shared" si="35"/>
        <v>400</v>
      </c>
      <c r="G28" s="86" t="s">
        <v>1668</v>
      </c>
      <c r="H28" s="137">
        <v>23</v>
      </c>
      <c r="I28" s="143">
        <v>399</v>
      </c>
      <c r="J28" s="88">
        <f t="shared" si="36"/>
        <v>422</v>
      </c>
      <c r="L28" s="86" t="s">
        <v>1668</v>
      </c>
      <c r="M28" s="139">
        <v>61</v>
      </c>
      <c r="N28" s="143">
        <v>420</v>
      </c>
      <c r="O28" s="88">
        <f t="shared" si="37"/>
        <v>481</v>
      </c>
      <c r="Q28" s="86" t="s">
        <v>1668</v>
      </c>
      <c r="R28" s="139">
        <v>72</v>
      </c>
      <c r="S28" s="143">
        <v>436</v>
      </c>
      <c r="T28" s="88">
        <f t="shared" si="38"/>
        <v>508</v>
      </c>
      <c r="V28" s="86" t="s">
        <v>1668</v>
      </c>
      <c r="W28" s="139">
        <v>87</v>
      </c>
      <c r="X28" s="143">
        <v>459</v>
      </c>
      <c r="Y28" s="88">
        <f t="shared" si="39"/>
        <v>546</v>
      </c>
      <c r="AA28" s="86" t="s">
        <v>1668</v>
      </c>
      <c r="AB28" s="139">
        <v>139</v>
      </c>
      <c r="AC28" s="143">
        <v>502</v>
      </c>
      <c r="AD28" s="88">
        <f t="shared" si="40"/>
        <v>641</v>
      </c>
      <c r="AF28" s="86" t="s">
        <v>1668</v>
      </c>
      <c r="AG28" s="139">
        <v>206</v>
      </c>
      <c r="AH28" s="143">
        <v>549</v>
      </c>
      <c r="AI28" s="88">
        <f t="shared" si="41"/>
        <v>755</v>
      </c>
      <c r="AK28" s="86" t="s">
        <v>1668</v>
      </c>
      <c r="AL28" s="139">
        <v>246</v>
      </c>
      <c r="AM28" s="143">
        <v>593</v>
      </c>
      <c r="AN28" s="88">
        <f t="shared" si="42"/>
        <v>839</v>
      </c>
      <c r="AP28" s="86" t="s">
        <v>1668</v>
      </c>
      <c r="AQ28" s="139">
        <v>291</v>
      </c>
      <c r="AR28" s="143">
        <v>646</v>
      </c>
      <c r="AS28" s="88">
        <f t="shared" si="43"/>
        <v>937</v>
      </c>
      <c r="AW28" s="86" t="s">
        <v>1668</v>
      </c>
      <c r="AX28" s="139">
        <v>337</v>
      </c>
      <c r="AY28" s="143">
        <v>688</v>
      </c>
      <c r="AZ28" s="88">
        <f t="shared" si="44"/>
        <v>1025</v>
      </c>
      <c r="BA28" s="146">
        <v>93802</v>
      </c>
      <c r="BB28" s="131">
        <f>SUM(AZ28/BA28)</f>
        <v>1.0927272339608964E-2</v>
      </c>
      <c r="BC28" s="97" t="s">
        <v>1783</v>
      </c>
      <c r="BE28" s="86" t="s">
        <v>1659</v>
      </c>
      <c r="BF28" s="139">
        <v>938</v>
      </c>
      <c r="BG28" s="143">
        <v>3887</v>
      </c>
      <c r="BH28" s="88">
        <f t="shared" si="57"/>
        <v>4825</v>
      </c>
      <c r="BI28" s="129">
        <v>119773</v>
      </c>
      <c r="BJ28" s="91">
        <f>SUM(BH28/BI28)</f>
        <v>4.0284538251525802E-2</v>
      </c>
      <c r="BK28" s="97" t="s">
        <v>1640</v>
      </c>
      <c r="BM28" s="109" t="s">
        <v>1659</v>
      </c>
      <c r="BN28" s="144">
        <v>1064</v>
      </c>
      <c r="BO28" s="145">
        <v>4234</v>
      </c>
      <c r="BP28" s="111">
        <f t="shared" si="58"/>
        <v>5298</v>
      </c>
      <c r="BQ28" s="130">
        <v>119940</v>
      </c>
      <c r="BR28" s="113">
        <f>SUM(BP28/BQ28)</f>
        <v>4.4172086043021509E-2</v>
      </c>
      <c r="BS28" s="103" t="s">
        <v>1680</v>
      </c>
      <c r="BU28" s="86" t="s">
        <v>1659</v>
      </c>
      <c r="BV28" s="139">
        <v>1207</v>
      </c>
      <c r="BW28" s="143">
        <v>4581</v>
      </c>
      <c r="BX28" s="88">
        <f t="shared" si="59"/>
        <v>5788</v>
      </c>
      <c r="BY28" s="129">
        <v>120090</v>
      </c>
      <c r="BZ28" s="91">
        <f>SUM(BX28/BY28)</f>
        <v>4.8197185444250147E-2</v>
      </c>
      <c r="CA28" s="97" t="s">
        <v>1646</v>
      </c>
      <c r="CC28" s="86" t="s">
        <v>1668</v>
      </c>
      <c r="CD28" s="139">
        <v>1947</v>
      </c>
      <c r="CE28" s="143">
        <v>994</v>
      </c>
      <c r="CF28" s="88">
        <f t="shared" si="45"/>
        <v>2941</v>
      </c>
      <c r="CG28" s="129">
        <v>40042</v>
      </c>
      <c r="CH28" s="131">
        <f>SUM(CF28/CG28)</f>
        <v>7.3447879726287399E-2</v>
      </c>
      <c r="CI28" s="97" t="s">
        <v>1784</v>
      </c>
      <c r="CK28" s="86" t="s">
        <v>1668</v>
      </c>
      <c r="CL28" s="139">
        <v>2372</v>
      </c>
      <c r="CM28" s="143">
        <v>1135</v>
      </c>
      <c r="CN28" s="88">
        <f t="shared" si="46"/>
        <v>3507</v>
      </c>
      <c r="CO28" s="129">
        <v>40178</v>
      </c>
      <c r="CP28" s="131">
        <f>SUM(CN28/CO28)</f>
        <v>8.7286574742396331E-2</v>
      </c>
      <c r="CQ28" s="97" t="s">
        <v>1785</v>
      </c>
      <c r="CS28" s="86" t="s">
        <v>1668</v>
      </c>
      <c r="CT28" s="139">
        <v>2438</v>
      </c>
      <c r="CU28" s="143">
        <v>1282</v>
      </c>
      <c r="CV28" s="88">
        <f t="shared" si="47"/>
        <v>3720</v>
      </c>
      <c r="CW28" s="129">
        <v>40256</v>
      </c>
      <c r="CX28" s="131">
        <f>SUM(CV28/CW28)</f>
        <v>9.240858505564388E-2</v>
      </c>
      <c r="CY28" s="97" t="s">
        <v>1786</v>
      </c>
      <c r="DA28" s="86" t="s">
        <v>1668</v>
      </c>
      <c r="DB28" s="139">
        <v>2530</v>
      </c>
      <c r="DC28" s="143">
        <v>1515</v>
      </c>
      <c r="DD28" s="88">
        <f t="shared" si="48"/>
        <v>4045</v>
      </c>
      <c r="DE28" s="90">
        <v>40370</v>
      </c>
      <c r="DF28" s="131">
        <f>SUM(DD28/DE28)</f>
        <v>0.10019816695566014</v>
      </c>
      <c r="DG28" s="97" t="s">
        <v>1787</v>
      </c>
      <c r="DJ28" s="86" t="s">
        <v>1668</v>
      </c>
      <c r="DK28" s="139">
        <v>2616</v>
      </c>
      <c r="DL28" s="143">
        <v>1689</v>
      </c>
      <c r="DM28" s="88">
        <f t="shared" si="49"/>
        <v>4305</v>
      </c>
      <c r="DN28" s="90">
        <v>40584</v>
      </c>
      <c r="DO28" s="131">
        <f>SUM(DM28/DN28)</f>
        <v>0.10607628622117091</v>
      </c>
      <c r="DP28" s="97" t="s">
        <v>1788</v>
      </c>
      <c r="DS28" s="86" t="s">
        <v>1668</v>
      </c>
      <c r="DT28" s="139">
        <v>2688</v>
      </c>
      <c r="DU28" s="143">
        <v>1806</v>
      </c>
      <c r="DV28" s="88">
        <f t="shared" si="50"/>
        <v>4494</v>
      </c>
      <c r="DW28" s="90">
        <v>40584</v>
      </c>
      <c r="DX28" s="131">
        <f>SUM(DV28/DW28)</f>
        <v>0.11073329390892962</v>
      </c>
      <c r="DY28" s="97" t="s">
        <v>1789</v>
      </c>
      <c r="EB28" s="86" t="s">
        <v>1668</v>
      </c>
      <c r="EC28" s="139">
        <v>2731</v>
      </c>
      <c r="ED28" s="143">
        <v>1967</v>
      </c>
      <c r="EE28" s="88">
        <f t="shared" si="51"/>
        <v>4698</v>
      </c>
      <c r="EF28" s="90">
        <v>40740</v>
      </c>
      <c r="EG28" s="131">
        <f>SUM(EE28/EF28)</f>
        <v>0.11531664212076584</v>
      </c>
      <c r="EH28" s="105">
        <v>0.11073329390892962</v>
      </c>
      <c r="EK28" s="86" t="s">
        <v>1668</v>
      </c>
      <c r="EL28" s="139">
        <v>2792</v>
      </c>
      <c r="EM28" s="143">
        <v>2079</v>
      </c>
      <c r="EN28" s="88">
        <f t="shared" si="52"/>
        <v>4871</v>
      </c>
      <c r="EO28" s="90">
        <v>40740</v>
      </c>
      <c r="EP28" s="131">
        <f>SUM(EN28/EO28)</f>
        <v>0.11956308296514483</v>
      </c>
      <c r="EQ28" s="105">
        <v>0.11531664212076584</v>
      </c>
      <c r="ES28" s="86" t="s">
        <v>1668</v>
      </c>
      <c r="ET28" s="114">
        <v>2799</v>
      </c>
      <c r="EU28" s="108">
        <v>2144</v>
      </c>
      <c r="EV28" s="108">
        <f t="shared" si="53"/>
        <v>4943</v>
      </c>
      <c r="EW28" s="90">
        <v>40744</v>
      </c>
      <c r="EX28" s="131">
        <f>SUM(EV28/EW28)</f>
        <v>0.12131847634007462</v>
      </c>
      <c r="EY28" s="105">
        <v>0.11956308296514483</v>
      </c>
      <c r="FA28" s="86" t="s">
        <v>1668</v>
      </c>
      <c r="FB28" s="114">
        <f>2526+129</f>
        <v>2655</v>
      </c>
      <c r="FC28" s="108">
        <f>19+1305+357+906</f>
        <v>2587</v>
      </c>
      <c r="FD28" s="108">
        <f t="shared" si="54"/>
        <v>5242</v>
      </c>
      <c r="FE28" s="90">
        <v>40788</v>
      </c>
      <c r="FF28" s="131">
        <f>SUM(FD28/FE28)</f>
        <v>0.12851819162498773</v>
      </c>
      <c r="FG28" s="105">
        <v>0.12130000000000001</v>
      </c>
      <c r="FI28" s="86" t="s">
        <v>1668</v>
      </c>
      <c r="FJ28" s="114">
        <v>2670</v>
      </c>
      <c r="FK28" s="108">
        <v>2697</v>
      </c>
      <c r="FL28" s="108">
        <f t="shared" si="55"/>
        <v>5367</v>
      </c>
      <c r="FM28" s="90">
        <v>40744</v>
      </c>
      <c r="FN28" s="131">
        <f>SUM(FL28/FM28)</f>
        <v>0.13172491655213037</v>
      </c>
      <c r="FO28" s="105">
        <v>0.1285</v>
      </c>
      <c r="FQ28" s="86" t="s">
        <v>1668</v>
      </c>
      <c r="FR28" s="114">
        <f>[1]actrpt!B189+[1]actrpt!B337</f>
        <v>2663</v>
      </c>
      <c r="FS28" s="108">
        <f>[1]actrpt!B105+[1]actrpt!B147+[1]actrpt!B239+[1]actrpt!B288</f>
        <v>3230</v>
      </c>
      <c r="FT28" s="108">
        <f t="shared" si="56"/>
        <v>5893</v>
      </c>
      <c r="FU28" s="90">
        <f>[1]html!B41</f>
        <v>40744</v>
      </c>
      <c r="FV28" s="131">
        <f>SUM(FT28/FU28)</f>
        <v>0.1446347928529354</v>
      </c>
      <c r="FW28" s="105">
        <v>0.12878024812676575</v>
      </c>
    </row>
    <row r="29" spans="2:179">
      <c r="B29" s="86" t="s">
        <v>1677</v>
      </c>
      <c r="C29" s="137">
        <v>0</v>
      </c>
      <c r="D29" s="143">
        <v>123</v>
      </c>
      <c r="E29" s="88">
        <f t="shared" si="35"/>
        <v>123</v>
      </c>
      <c r="G29" s="86" t="s">
        <v>1677</v>
      </c>
      <c r="H29" s="137">
        <v>0</v>
      </c>
      <c r="I29" s="143">
        <v>124</v>
      </c>
      <c r="J29" s="88">
        <f t="shared" si="36"/>
        <v>124</v>
      </c>
      <c r="L29" s="86" t="s">
        <v>1677</v>
      </c>
      <c r="M29" s="139">
        <v>5</v>
      </c>
      <c r="N29" s="143">
        <v>127</v>
      </c>
      <c r="O29" s="88">
        <f t="shared" si="37"/>
        <v>132</v>
      </c>
      <c r="Q29" s="86" t="s">
        <v>1677</v>
      </c>
      <c r="R29" s="139">
        <v>6</v>
      </c>
      <c r="S29" s="143">
        <v>128</v>
      </c>
      <c r="T29" s="88">
        <f t="shared" si="38"/>
        <v>134</v>
      </c>
      <c r="V29" s="86" t="s">
        <v>1677</v>
      </c>
      <c r="W29" s="139">
        <v>9</v>
      </c>
      <c r="X29" s="143">
        <v>134</v>
      </c>
      <c r="Y29" s="88">
        <f t="shared" si="39"/>
        <v>143</v>
      </c>
      <c r="AA29" s="86" t="s">
        <v>1677</v>
      </c>
      <c r="AB29" s="139">
        <v>12</v>
      </c>
      <c r="AC29" s="143">
        <v>137</v>
      </c>
      <c r="AD29" s="88">
        <f t="shared" si="40"/>
        <v>149</v>
      </c>
      <c r="AF29" s="86" t="s">
        <v>1677</v>
      </c>
      <c r="AG29" s="139">
        <v>15</v>
      </c>
      <c r="AH29" s="143">
        <v>138</v>
      </c>
      <c r="AI29" s="88">
        <f t="shared" si="41"/>
        <v>153</v>
      </c>
      <c r="AK29" s="86" t="s">
        <v>1677</v>
      </c>
      <c r="AL29" s="139">
        <v>21</v>
      </c>
      <c r="AM29" s="143">
        <v>141</v>
      </c>
      <c r="AN29" s="88">
        <f t="shared" si="42"/>
        <v>162</v>
      </c>
      <c r="AP29" s="86" t="s">
        <v>1677</v>
      </c>
      <c r="AQ29" s="139">
        <v>24</v>
      </c>
      <c r="AR29" s="143">
        <v>152</v>
      </c>
      <c r="AS29" s="88">
        <f t="shared" si="43"/>
        <v>176</v>
      </c>
      <c r="AW29" s="86" t="s">
        <v>1677</v>
      </c>
      <c r="AX29" s="139">
        <v>27</v>
      </c>
      <c r="AY29" s="143">
        <v>156</v>
      </c>
      <c r="AZ29" s="88">
        <f t="shared" si="44"/>
        <v>183</v>
      </c>
      <c r="BA29" s="623"/>
      <c r="BB29" s="572"/>
      <c r="BC29" s="573"/>
      <c r="BE29" s="86" t="s">
        <v>1668</v>
      </c>
      <c r="BF29" s="139">
        <v>360</v>
      </c>
      <c r="BG29" s="143">
        <v>745</v>
      </c>
      <c r="BH29" s="88">
        <f t="shared" si="57"/>
        <v>1105</v>
      </c>
      <c r="BI29" s="129">
        <v>39882</v>
      </c>
      <c r="BJ29" s="131">
        <f>SUM(BH29/BI29)</f>
        <v>2.7706734867860187E-2</v>
      </c>
      <c r="BK29" s="97" t="s">
        <v>1640</v>
      </c>
      <c r="BM29" s="109" t="s">
        <v>1668</v>
      </c>
      <c r="BN29" s="144">
        <v>401</v>
      </c>
      <c r="BO29" s="145">
        <v>803</v>
      </c>
      <c r="BP29" s="111">
        <f t="shared" si="58"/>
        <v>1204</v>
      </c>
      <c r="BQ29" s="130">
        <v>39923</v>
      </c>
      <c r="BR29" s="132">
        <f>SUM(BP29/BQ29)</f>
        <v>3.0158054254439796E-2</v>
      </c>
      <c r="BS29" s="103" t="s">
        <v>1790</v>
      </c>
      <c r="BU29" s="86" t="s">
        <v>1668</v>
      </c>
      <c r="BV29" s="139">
        <v>470</v>
      </c>
      <c r="BW29" s="143">
        <v>884</v>
      </c>
      <c r="BX29" s="88">
        <f t="shared" si="59"/>
        <v>1354</v>
      </c>
      <c r="BY29" s="129">
        <v>39979</v>
      </c>
      <c r="BZ29" s="131">
        <f>SUM(BX29/BY29)</f>
        <v>3.3867780584807022E-2</v>
      </c>
      <c r="CA29" s="97" t="s">
        <v>1791</v>
      </c>
      <c r="CC29" s="86" t="s">
        <v>1677</v>
      </c>
      <c r="CD29" s="139">
        <v>108</v>
      </c>
      <c r="CE29" s="143">
        <v>182</v>
      </c>
      <c r="CF29" s="88">
        <f t="shared" si="45"/>
        <v>290</v>
      </c>
      <c r="CG29" s="624"/>
      <c r="CH29" s="566"/>
      <c r="CI29" s="567"/>
      <c r="CK29" s="86" t="s">
        <v>1677</v>
      </c>
      <c r="CL29" s="139">
        <v>136</v>
      </c>
      <c r="CM29" s="143">
        <v>199</v>
      </c>
      <c r="CN29" s="88">
        <f t="shared" si="46"/>
        <v>335</v>
      </c>
      <c r="CO29" s="624"/>
      <c r="CP29" s="566"/>
      <c r="CQ29" s="567"/>
      <c r="CS29" s="86" t="s">
        <v>1677</v>
      </c>
      <c r="CT29" s="139">
        <v>138</v>
      </c>
      <c r="CU29" s="143">
        <v>209</v>
      </c>
      <c r="CV29" s="88">
        <f t="shared" si="47"/>
        <v>347</v>
      </c>
      <c r="CW29" s="624"/>
      <c r="CX29" s="566"/>
      <c r="CY29" s="567"/>
      <c r="DA29" s="86" t="s">
        <v>1677</v>
      </c>
      <c r="DB29" s="139">
        <v>149</v>
      </c>
      <c r="DC29" s="143">
        <v>226</v>
      </c>
      <c r="DD29" s="88">
        <f t="shared" si="48"/>
        <v>375</v>
      </c>
      <c r="DE29" s="624"/>
      <c r="DF29" s="566"/>
      <c r="DG29" s="567"/>
      <c r="DJ29" s="86" t="s">
        <v>1677</v>
      </c>
      <c r="DK29" s="139">
        <v>161</v>
      </c>
      <c r="DL29" s="143">
        <v>235</v>
      </c>
      <c r="DM29" s="88">
        <f t="shared" si="49"/>
        <v>396</v>
      </c>
      <c r="DN29" s="624"/>
      <c r="DO29" s="566"/>
      <c r="DP29" s="567"/>
      <c r="DS29" s="86" t="s">
        <v>1677</v>
      </c>
      <c r="DT29" s="139">
        <v>164</v>
      </c>
      <c r="DU29" s="143">
        <v>250</v>
      </c>
      <c r="DV29" s="88">
        <f t="shared" si="50"/>
        <v>414</v>
      </c>
      <c r="DW29" s="624"/>
      <c r="DX29" s="566"/>
      <c r="DY29" s="567"/>
      <c r="EB29" s="86" t="s">
        <v>1677</v>
      </c>
      <c r="EC29" s="139">
        <v>173</v>
      </c>
      <c r="ED29" s="143">
        <v>268</v>
      </c>
      <c r="EE29" s="88">
        <f t="shared" si="51"/>
        <v>441</v>
      </c>
      <c r="EF29" s="624"/>
      <c r="EG29" s="566"/>
      <c r="EH29" s="567"/>
      <c r="EK29" s="86" t="s">
        <v>1677</v>
      </c>
      <c r="EL29" s="139">
        <v>184</v>
      </c>
      <c r="EM29" s="143">
        <v>278</v>
      </c>
      <c r="EN29" s="88">
        <f t="shared" si="52"/>
        <v>462</v>
      </c>
      <c r="EO29" s="624"/>
      <c r="EP29" s="566"/>
      <c r="EQ29" s="567"/>
      <c r="ES29" s="86" t="s">
        <v>1677</v>
      </c>
      <c r="ET29" s="114">
        <v>184</v>
      </c>
      <c r="EU29" s="108">
        <f>0+255+14+31</f>
        <v>300</v>
      </c>
      <c r="EV29" s="108">
        <f t="shared" si="53"/>
        <v>484</v>
      </c>
      <c r="EW29" s="624"/>
      <c r="EX29" s="566"/>
      <c r="EY29" s="567"/>
      <c r="FA29" s="86" t="s">
        <v>1677</v>
      </c>
      <c r="FB29" s="114">
        <f>166+16</f>
        <v>182</v>
      </c>
      <c r="FC29" s="108">
        <f>0+227+36+65</f>
        <v>328</v>
      </c>
      <c r="FD29" s="108">
        <f t="shared" si="54"/>
        <v>510</v>
      </c>
      <c r="FE29" s="624"/>
      <c r="FF29" s="566"/>
      <c r="FG29" s="567"/>
      <c r="FI29" s="86" t="s">
        <v>1677</v>
      </c>
      <c r="FJ29" s="114">
        <v>183</v>
      </c>
      <c r="FK29" s="108">
        <v>339</v>
      </c>
      <c r="FL29" s="108">
        <f t="shared" si="55"/>
        <v>522</v>
      </c>
      <c r="FM29" s="624"/>
      <c r="FN29" s="566"/>
      <c r="FO29" s="567"/>
      <c r="FQ29" s="86" t="s">
        <v>1677</v>
      </c>
      <c r="FR29" s="114">
        <f>[1]actrpt!B190+[1]actrpt!B338</f>
        <v>181</v>
      </c>
      <c r="FS29" s="108">
        <f>[1]actrpt!B106+[1]actrpt!B148+[1]actrpt!B240+[1]actrpt!B289</f>
        <v>390</v>
      </c>
      <c r="FT29" s="108">
        <f t="shared" si="56"/>
        <v>571</v>
      </c>
      <c r="FU29" s="624"/>
      <c r="FV29" s="566"/>
      <c r="FW29" s="567"/>
    </row>
    <row r="30" spans="2:179" ht="16.5" customHeight="1" thickBot="1">
      <c r="B30" s="86" t="s">
        <v>1686</v>
      </c>
      <c r="C30" s="147"/>
      <c r="D30" s="143"/>
      <c r="E30" s="117">
        <f>SUM(E24:E29)</f>
        <v>37428</v>
      </c>
      <c r="G30" s="86" t="s">
        <v>1686</v>
      </c>
      <c r="H30" s="147"/>
      <c r="I30" s="143"/>
      <c r="J30" s="117">
        <f>SUM(J24:J29)</f>
        <v>39189</v>
      </c>
      <c r="L30" s="86" t="s">
        <v>1686</v>
      </c>
      <c r="M30" s="144"/>
      <c r="N30" s="143"/>
      <c r="O30" s="117">
        <f>SUM(O24:O29)</f>
        <v>43693</v>
      </c>
      <c r="Q30" s="86" t="s">
        <v>1686</v>
      </c>
      <c r="R30" s="144"/>
      <c r="S30" s="143"/>
      <c r="T30" s="117">
        <f>SUM(T24:T29)</f>
        <v>46277</v>
      </c>
      <c r="V30" s="86" t="s">
        <v>1686</v>
      </c>
      <c r="W30" s="144"/>
      <c r="X30" s="143"/>
      <c r="Y30" s="117">
        <f>SUM(Y24:Y29)</f>
        <v>48617</v>
      </c>
      <c r="AA30" s="86" t="s">
        <v>1686</v>
      </c>
      <c r="AB30" s="144"/>
      <c r="AC30" s="143"/>
      <c r="AD30" s="117">
        <f>SUM(AD24:AD29)</f>
        <v>54144</v>
      </c>
      <c r="AF30" s="591" t="s">
        <v>1686</v>
      </c>
      <c r="AG30" s="592"/>
      <c r="AH30" s="592"/>
      <c r="AI30" s="117">
        <f>SUM(AI24:AI29)</f>
        <v>60676</v>
      </c>
      <c r="AK30" s="593" t="s">
        <v>1686</v>
      </c>
      <c r="AL30" s="594"/>
      <c r="AM30" s="595"/>
      <c r="AN30" s="117">
        <f>SUM(AN24:AN29)</f>
        <v>66718</v>
      </c>
      <c r="AP30" s="591" t="s">
        <v>1686</v>
      </c>
      <c r="AQ30" s="592"/>
      <c r="AR30" s="592"/>
      <c r="AS30" s="117">
        <f>SUM(AS24:AS29)</f>
        <v>73731</v>
      </c>
      <c r="AW30" s="591" t="s">
        <v>1686</v>
      </c>
      <c r="AX30" s="592"/>
      <c r="AY30" s="592"/>
      <c r="AZ30" s="117">
        <f>SUM(AZ24:AZ29)</f>
        <v>80598</v>
      </c>
      <c r="BA30" s="574"/>
      <c r="BB30" s="575"/>
      <c r="BC30" s="576"/>
      <c r="BE30" s="86" t="s">
        <v>1677</v>
      </c>
      <c r="BF30" s="139">
        <v>28</v>
      </c>
      <c r="BG30" s="143">
        <v>160</v>
      </c>
      <c r="BH30" s="88">
        <f t="shared" si="57"/>
        <v>188</v>
      </c>
      <c r="BI30" s="624"/>
      <c r="BJ30" s="566"/>
      <c r="BK30" s="567"/>
      <c r="BM30" s="109" t="s">
        <v>1677</v>
      </c>
      <c r="BN30" s="144">
        <v>30</v>
      </c>
      <c r="BO30" s="145">
        <v>166</v>
      </c>
      <c r="BP30" s="111">
        <f t="shared" si="58"/>
        <v>196</v>
      </c>
      <c r="BQ30" s="628"/>
      <c r="BR30" s="583"/>
      <c r="BS30" s="584"/>
      <c r="BU30" s="86" t="s">
        <v>1677</v>
      </c>
      <c r="BV30" s="139">
        <v>35</v>
      </c>
      <c r="BW30" s="143">
        <v>173</v>
      </c>
      <c r="BX30" s="88">
        <f t="shared" si="59"/>
        <v>208</v>
      </c>
      <c r="BY30" s="624"/>
      <c r="BZ30" s="566"/>
      <c r="CA30" s="567"/>
      <c r="CC30" s="559" t="s">
        <v>1686</v>
      </c>
      <c r="CD30" s="560"/>
      <c r="CE30" s="560"/>
      <c r="CF30" s="121">
        <f>SUM(CF24:CF29)</f>
        <v>182924</v>
      </c>
      <c r="CG30" s="568"/>
      <c r="CH30" s="569"/>
      <c r="CI30" s="570"/>
      <c r="CK30" s="559" t="s">
        <v>1686</v>
      </c>
      <c r="CL30" s="560"/>
      <c r="CM30" s="560"/>
      <c r="CN30" s="121">
        <f>SUM(CN24:CN29)</f>
        <v>209290</v>
      </c>
      <c r="CO30" s="568"/>
      <c r="CP30" s="569"/>
      <c r="CQ30" s="570"/>
      <c r="CS30" s="559" t="s">
        <v>1686</v>
      </c>
      <c r="CT30" s="560"/>
      <c r="CU30" s="560"/>
      <c r="CV30" s="121">
        <f>SUM(CV24:CV29)</f>
        <v>218488</v>
      </c>
      <c r="CW30" s="568"/>
      <c r="CX30" s="569"/>
      <c r="CY30" s="570"/>
      <c r="DA30" s="559" t="s">
        <v>1686</v>
      </c>
      <c r="DB30" s="560"/>
      <c r="DC30" s="560"/>
      <c r="DD30" s="121">
        <f>SUM(DD24:DD29)</f>
        <v>234296</v>
      </c>
      <c r="DE30" s="568"/>
      <c r="DF30" s="569"/>
      <c r="DG30" s="570"/>
      <c r="DJ30" s="559" t="s">
        <v>1686</v>
      </c>
      <c r="DK30" s="560"/>
      <c r="DL30" s="560"/>
      <c r="DM30" s="121">
        <f>SUM(DM24:DM29)</f>
        <v>245658</v>
      </c>
      <c r="DN30" s="568"/>
      <c r="DO30" s="569"/>
      <c r="DP30" s="570"/>
      <c r="DS30" s="559" t="s">
        <v>1686</v>
      </c>
      <c r="DT30" s="560"/>
      <c r="DU30" s="560"/>
      <c r="DV30" s="121">
        <f>SUM(DV24:DV29)</f>
        <v>259905</v>
      </c>
      <c r="DW30" s="568"/>
      <c r="DX30" s="569"/>
      <c r="DY30" s="570"/>
      <c r="EB30" s="559" t="s">
        <v>1686</v>
      </c>
      <c r="EC30" s="560"/>
      <c r="ED30" s="560"/>
      <c r="EE30" s="121">
        <f>SUM(EE24:EE29)</f>
        <v>268755</v>
      </c>
      <c r="EF30" s="568"/>
      <c r="EG30" s="569"/>
      <c r="EH30" s="570"/>
      <c r="EK30" s="559" t="s">
        <v>1686</v>
      </c>
      <c r="EL30" s="560"/>
      <c r="EM30" s="560"/>
      <c r="EN30" s="121">
        <f>SUM(EN24:EN29)</f>
        <v>278243</v>
      </c>
      <c r="EO30" s="568"/>
      <c r="EP30" s="569"/>
      <c r="EQ30" s="570"/>
      <c r="ES30" s="559" t="s">
        <v>1686</v>
      </c>
      <c r="ET30" s="560"/>
      <c r="EU30" s="560"/>
      <c r="EV30" s="121">
        <f>SUM(EV24:EV29)</f>
        <v>281193</v>
      </c>
      <c r="EW30" s="568"/>
      <c r="EX30" s="569"/>
      <c r="EY30" s="570"/>
      <c r="FA30" s="559" t="s">
        <v>1686</v>
      </c>
      <c r="FB30" s="560"/>
      <c r="FC30" s="560"/>
      <c r="FD30" s="121">
        <f>SUM(FD24:FD29)</f>
        <v>287865</v>
      </c>
      <c r="FE30" s="568"/>
      <c r="FF30" s="569"/>
      <c r="FG30" s="570"/>
      <c r="FI30" s="559" t="s">
        <v>1686</v>
      </c>
      <c r="FJ30" s="560"/>
      <c r="FK30" s="560"/>
      <c r="FL30" s="121">
        <f>SUM(FL24:FL29)</f>
        <v>301498</v>
      </c>
      <c r="FM30" s="568"/>
      <c r="FN30" s="569"/>
      <c r="FO30" s="570"/>
      <c r="FQ30" s="559" t="s">
        <v>1686</v>
      </c>
      <c r="FR30" s="560"/>
      <c r="FS30" s="560"/>
      <c r="FT30" s="121">
        <f>SUM(FT24:FT29)</f>
        <v>312486</v>
      </c>
      <c r="FU30" s="568"/>
      <c r="FV30" s="569"/>
      <c r="FW30" s="570"/>
    </row>
    <row r="31" spans="2:179" ht="17.25" customHeight="1" thickTop="1" thickBot="1">
      <c r="B31" s="118"/>
      <c r="C31" s="119"/>
      <c r="D31" s="120"/>
      <c r="E31" s="118"/>
      <c r="G31" s="118"/>
      <c r="H31" s="119"/>
      <c r="I31" s="120"/>
      <c r="J31" s="118"/>
      <c r="L31" s="118"/>
      <c r="M31" s="122"/>
      <c r="N31" s="120"/>
      <c r="O31" s="118"/>
      <c r="Q31" s="118"/>
      <c r="R31" s="122"/>
      <c r="S31" s="120"/>
      <c r="T31" s="118"/>
      <c r="V31" s="118"/>
      <c r="W31" s="122"/>
      <c r="X31" s="120"/>
      <c r="Y31" s="118"/>
      <c r="AA31" s="118"/>
      <c r="AB31" s="122"/>
      <c r="AC31" s="120"/>
      <c r="AD31" s="118"/>
      <c r="AF31" s="123"/>
      <c r="AG31" s="124"/>
      <c r="AH31" s="124"/>
      <c r="AI31" s="125"/>
      <c r="AK31" s="134"/>
      <c r="AL31" s="135"/>
      <c r="AM31" s="148"/>
      <c r="AN31" s="125"/>
      <c r="AP31" s="601"/>
      <c r="AQ31" s="602"/>
      <c r="AR31" s="602"/>
      <c r="AS31" s="603"/>
      <c r="AW31" s="601"/>
      <c r="AX31" s="602"/>
      <c r="AY31" s="602"/>
      <c r="AZ31" s="603"/>
      <c r="BA31" s="574"/>
      <c r="BB31" s="575"/>
      <c r="BC31" s="576"/>
      <c r="BE31" s="559" t="s">
        <v>1686</v>
      </c>
      <c r="BF31" s="560"/>
      <c r="BG31" s="560"/>
      <c r="BH31" s="121">
        <f>SUM(BH25:BH30)</f>
        <v>87387</v>
      </c>
      <c r="BI31" s="568"/>
      <c r="BJ31" s="569"/>
      <c r="BK31" s="570"/>
      <c r="BM31" s="604" t="s">
        <v>1686</v>
      </c>
      <c r="BN31" s="605"/>
      <c r="BO31" s="605"/>
      <c r="BP31" s="121">
        <f>SUM(BP25:BP30)</f>
        <v>94839</v>
      </c>
      <c r="BQ31" s="588"/>
      <c r="BR31" s="589"/>
      <c r="BS31" s="590"/>
      <c r="BU31" s="559" t="s">
        <v>1686</v>
      </c>
      <c r="BV31" s="560"/>
      <c r="BW31" s="560"/>
      <c r="BX31" s="121">
        <f>SUM(BX25:BX30)</f>
        <v>102318</v>
      </c>
      <c r="BY31" s="568"/>
      <c r="BZ31" s="569"/>
      <c r="CA31" s="570"/>
      <c r="CC31" s="609" t="s">
        <v>1792</v>
      </c>
      <c r="CD31" s="625"/>
      <c r="CE31" s="625"/>
      <c r="CF31" s="625"/>
      <c r="CG31" s="626"/>
      <c r="CH31" s="626"/>
      <c r="CI31" s="627"/>
      <c r="CK31" s="609" t="s">
        <v>1792</v>
      </c>
      <c r="CL31" s="625"/>
      <c r="CM31" s="625"/>
      <c r="CN31" s="625"/>
      <c r="CO31" s="626"/>
      <c r="CP31" s="626"/>
      <c r="CQ31" s="627"/>
      <c r="CS31" s="609" t="s">
        <v>1792</v>
      </c>
      <c r="CT31" s="625"/>
      <c r="CU31" s="625"/>
      <c r="CV31" s="625"/>
      <c r="CW31" s="626"/>
      <c r="CX31" s="626"/>
      <c r="CY31" s="627"/>
      <c r="DA31" s="609" t="s">
        <v>1792</v>
      </c>
      <c r="DB31" s="625"/>
      <c r="DC31" s="625"/>
      <c r="DD31" s="625"/>
      <c r="DE31" s="626"/>
      <c r="DF31" s="626"/>
      <c r="DG31" s="627"/>
      <c r="DJ31" s="609" t="s">
        <v>1792</v>
      </c>
      <c r="DK31" s="625"/>
      <c r="DL31" s="625"/>
      <c r="DM31" s="625"/>
      <c r="DN31" s="626"/>
      <c r="DO31" s="626"/>
      <c r="DP31" s="627"/>
      <c r="DS31" s="609" t="s">
        <v>1792</v>
      </c>
      <c r="DT31" s="625"/>
      <c r="DU31" s="625"/>
      <c r="DV31" s="625"/>
      <c r="DW31" s="626"/>
      <c r="DX31" s="626"/>
      <c r="DY31" s="627"/>
      <c r="EB31" s="609" t="s">
        <v>1792</v>
      </c>
      <c r="EC31" s="625"/>
      <c r="ED31" s="625"/>
      <c r="EE31" s="625"/>
      <c r="EF31" s="626"/>
      <c r="EG31" s="626"/>
      <c r="EH31" s="627"/>
      <c r="EK31" s="609" t="s">
        <v>1792</v>
      </c>
      <c r="EL31" s="625"/>
      <c r="EM31" s="625"/>
      <c r="EN31" s="625"/>
      <c r="EO31" s="626"/>
      <c r="EP31" s="626"/>
      <c r="EQ31" s="627"/>
      <c r="ES31" s="609" t="s">
        <v>1792</v>
      </c>
      <c r="ET31" s="625"/>
      <c r="EU31" s="625"/>
      <c r="EV31" s="625"/>
      <c r="EW31" s="626"/>
      <c r="EX31" s="626"/>
      <c r="EY31" s="627"/>
      <c r="FA31" s="609" t="s">
        <v>1792</v>
      </c>
      <c r="FB31" s="625"/>
      <c r="FC31" s="625"/>
      <c r="FD31" s="625"/>
      <c r="FE31" s="626"/>
      <c r="FF31" s="626"/>
      <c r="FG31" s="627"/>
      <c r="FI31" s="609" t="s">
        <v>1792</v>
      </c>
      <c r="FJ31" s="625"/>
      <c r="FK31" s="625"/>
      <c r="FL31" s="625"/>
      <c r="FM31" s="626"/>
      <c r="FN31" s="626"/>
      <c r="FO31" s="627"/>
      <c r="FQ31" s="609" t="s">
        <v>1793</v>
      </c>
      <c r="FR31" s="625"/>
      <c r="FS31" s="625"/>
      <c r="FT31" s="625"/>
      <c r="FU31" s="626"/>
      <c r="FV31" s="626"/>
      <c r="FW31" s="627"/>
    </row>
    <row r="32" spans="2:179" ht="16.5" customHeight="1" thickTop="1" thickBot="1">
      <c r="B32" s="149" t="s">
        <v>1794</v>
      </c>
      <c r="C32" s="137">
        <f>SUM(C4:C30)</f>
        <v>755</v>
      </c>
      <c r="D32" s="150"/>
      <c r="E32" s="150"/>
      <c r="G32" s="149" t="s">
        <v>1794</v>
      </c>
      <c r="H32" s="137">
        <f>SUM(H4:H30)</f>
        <v>1193</v>
      </c>
      <c r="I32" s="150"/>
      <c r="J32" s="150"/>
      <c r="L32" s="149" t="s">
        <v>1794</v>
      </c>
      <c r="M32" s="139">
        <f>SUM(M4:M30)</f>
        <v>8370</v>
      </c>
      <c r="N32" s="151">
        <f>SUM(N4:N30)</f>
        <v>144355</v>
      </c>
      <c r="O32" s="151">
        <f>SUM(O11+O21+O30)</f>
        <v>152725</v>
      </c>
      <c r="Q32" s="149" t="s">
        <v>1794</v>
      </c>
      <c r="R32" s="139">
        <f>SUM(R4:R30)</f>
        <v>9808</v>
      </c>
      <c r="S32" s="151">
        <f>SUM(S4:S30)</f>
        <v>150241</v>
      </c>
      <c r="T32" s="151">
        <f>SUM(T11+T21+T30)</f>
        <v>160049</v>
      </c>
      <c r="V32" s="149" t="s">
        <v>1794</v>
      </c>
      <c r="W32" s="139">
        <f>SUM(W4:W30)</f>
        <v>10971</v>
      </c>
      <c r="X32" s="151">
        <f>SUM(X4:X30)</f>
        <v>155508</v>
      </c>
      <c r="Y32" s="151">
        <f>SUM(Y11+Y21+Y30)</f>
        <v>166479</v>
      </c>
      <c r="AA32" s="149" t="s">
        <v>1794</v>
      </c>
      <c r="AB32" s="139">
        <f>SUM(AB4:AB30)</f>
        <v>14554</v>
      </c>
      <c r="AC32" s="151">
        <f>SUM(AC4:AC30)</f>
        <v>164734</v>
      </c>
      <c r="AD32" s="151">
        <f>SUM(AD11+AD21+AD30)</f>
        <v>179288</v>
      </c>
      <c r="AF32" s="152" t="s">
        <v>1795</v>
      </c>
      <c r="AG32" s="139">
        <f>SUM(AG4:AG30)</f>
        <v>19135</v>
      </c>
      <c r="AH32" s="143">
        <f>SUM(AH4:AH30)</f>
        <v>176506</v>
      </c>
      <c r="AI32" s="143">
        <f>SUM(AI11+AI21+AI30)</f>
        <v>195641</v>
      </c>
      <c r="AK32" s="152" t="s">
        <v>1795</v>
      </c>
      <c r="AL32" s="139">
        <f>SUM(AL4:AL30)</f>
        <v>22778</v>
      </c>
      <c r="AM32" s="143">
        <f>SUM(AM4:AM30)</f>
        <v>189358</v>
      </c>
      <c r="AN32" s="143">
        <f>SUM(AN11+AN21+AN30)</f>
        <v>212136</v>
      </c>
      <c r="AP32" s="152" t="s">
        <v>1795</v>
      </c>
      <c r="AQ32" s="139">
        <f>SUM(AQ4:AQ30)</f>
        <v>26415</v>
      </c>
      <c r="AR32" s="143">
        <f>SUM(AR4:AR30)</f>
        <v>205683</v>
      </c>
      <c r="AS32" s="143">
        <f>SUM(AS11+AS21+AS30)</f>
        <v>232098</v>
      </c>
      <c r="AW32" s="152" t="s">
        <v>1795</v>
      </c>
      <c r="AX32" s="139">
        <f>SUM(AX4:AX30)</f>
        <v>30255</v>
      </c>
      <c r="AY32" s="143">
        <f>SUM(AY4:AY30)</f>
        <v>221791</v>
      </c>
      <c r="AZ32" s="143">
        <f>SUM(AZ11+AZ21+AZ30)</f>
        <v>252046</v>
      </c>
      <c r="BA32" s="574"/>
      <c r="BB32" s="575"/>
      <c r="BC32" s="576"/>
      <c r="BE32" s="609" t="s">
        <v>1792</v>
      </c>
      <c r="BF32" s="625"/>
      <c r="BG32" s="625"/>
      <c r="BH32" s="625"/>
      <c r="BI32" s="626"/>
      <c r="BJ32" s="626"/>
      <c r="BK32" s="627"/>
      <c r="BM32" s="609" t="s">
        <v>1792</v>
      </c>
      <c r="BN32" s="625"/>
      <c r="BO32" s="625"/>
      <c r="BP32" s="625"/>
      <c r="BQ32" s="629"/>
      <c r="BR32" s="629"/>
      <c r="BS32" s="630"/>
      <c r="BU32" s="609" t="s">
        <v>1792</v>
      </c>
      <c r="BV32" s="625"/>
      <c r="BW32" s="625"/>
      <c r="BX32" s="625"/>
      <c r="BY32" s="626"/>
      <c r="BZ32" s="626"/>
      <c r="CA32" s="627"/>
      <c r="CC32" s="86" t="s">
        <v>1635</v>
      </c>
      <c r="CD32" s="89">
        <v>0</v>
      </c>
      <c r="CE32" s="88">
        <v>30562</v>
      </c>
      <c r="CF32" s="88">
        <f t="shared" ref="CF32:CF37" si="60">SUM(CD32:CE32)</f>
        <v>30562</v>
      </c>
      <c r="CG32" s="631" t="s">
        <v>1796</v>
      </c>
      <c r="CH32" s="632"/>
      <c r="CI32" s="633"/>
      <c r="CK32" s="86" t="s">
        <v>1635</v>
      </c>
      <c r="CL32" s="89">
        <v>0</v>
      </c>
      <c r="CM32" s="88">
        <v>31327</v>
      </c>
      <c r="CN32" s="88">
        <f t="shared" ref="CN32:CN37" si="61">SUM(CL32:CM32)</f>
        <v>31327</v>
      </c>
      <c r="CO32" s="631" t="s">
        <v>1796</v>
      </c>
      <c r="CP32" s="632"/>
      <c r="CQ32" s="633"/>
      <c r="CS32" s="86" t="s">
        <v>1635</v>
      </c>
      <c r="CT32" s="89">
        <v>0</v>
      </c>
      <c r="CU32" s="88">
        <v>32012</v>
      </c>
      <c r="CV32" s="88">
        <f t="shared" ref="CV32:CV37" si="62">SUM(CT32:CU32)</f>
        <v>32012</v>
      </c>
      <c r="CW32" s="631" t="s">
        <v>1796</v>
      </c>
      <c r="CX32" s="632"/>
      <c r="CY32" s="633"/>
      <c r="DA32" s="86" t="s">
        <v>1635</v>
      </c>
      <c r="DB32" s="89">
        <v>0</v>
      </c>
      <c r="DC32" s="88">
        <v>33349</v>
      </c>
      <c r="DD32" s="88">
        <f t="shared" ref="DD32:DD37" si="63">SUM(DB32:DC32)</f>
        <v>33349</v>
      </c>
      <c r="DE32" s="631" t="s">
        <v>1796</v>
      </c>
      <c r="DF32" s="632"/>
      <c r="DG32" s="633"/>
      <c r="DJ32" s="86" t="s">
        <v>1635</v>
      </c>
      <c r="DK32" s="89">
        <v>0</v>
      </c>
      <c r="DL32" s="88">
        <v>34160</v>
      </c>
      <c r="DM32" s="88">
        <f t="shared" ref="DM32:DM37" si="64">SUM(DK32:DL32)</f>
        <v>34160</v>
      </c>
      <c r="DN32" s="631" t="s">
        <v>1796</v>
      </c>
      <c r="DO32" s="632"/>
      <c r="DP32" s="633"/>
      <c r="DS32" s="86" t="s">
        <v>1635</v>
      </c>
      <c r="DT32" s="89">
        <v>0</v>
      </c>
      <c r="DU32" s="88">
        <v>35795</v>
      </c>
      <c r="DV32" s="88">
        <f t="shared" ref="DV32:DV37" si="65">SUM(DT32:DU32)</f>
        <v>35795</v>
      </c>
      <c r="DW32" s="631" t="s">
        <v>1796</v>
      </c>
      <c r="DX32" s="632"/>
      <c r="DY32" s="633"/>
      <c r="EB32" s="86" t="s">
        <v>1635</v>
      </c>
      <c r="EC32" s="89">
        <v>0</v>
      </c>
      <c r="ED32" s="88">
        <v>36191</v>
      </c>
      <c r="EE32" s="88">
        <f t="shared" ref="EE32:EE37" si="66">SUM(EC32:ED32)</f>
        <v>36191</v>
      </c>
      <c r="EF32" s="631" t="s">
        <v>1796</v>
      </c>
      <c r="EG32" s="632"/>
      <c r="EH32" s="633"/>
      <c r="EK32" s="86" t="s">
        <v>1635</v>
      </c>
      <c r="EL32" s="89">
        <v>0</v>
      </c>
      <c r="EM32" s="88">
        <v>37036</v>
      </c>
      <c r="EN32" s="88">
        <f t="shared" ref="EN32:EN37" si="67">SUM(EL32:EM32)</f>
        <v>37036</v>
      </c>
      <c r="EO32" s="631" t="s">
        <v>1796</v>
      </c>
      <c r="EP32" s="632"/>
      <c r="EQ32" s="633"/>
      <c r="ES32" s="86" t="s">
        <v>1635</v>
      </c>
      <c r="ET32" s="89">
        <v>0</v>
      </c>
      <c r="EU32" s="88">
        <v>37902</v>
      </c>
      <c r="EV32" s="88">
        <f t="shared" ref="EV32:EV37" si="68">SUM(ET32:EU32)</f>
        <v>37902</v>
      </c>
      <c r="EW32" s="631" t="s">
        <v>1796</v>
      </c>
      <c r="EX32" s="632"/>
      <c r="EY32" s="633"/>
      <c r="FA32" s="86" t="s">
        <v>1635</v>
      </c>
      <c r="FB32" s="89">
        <v>0</v>
      </c>
      <c r="FC32" s="88">
        <v>38114</v>
      </c>
      <c r="FD32" s="88">
        <f t="shared" ref="FD32:FD37" si="69">SUM(FB32:FC32)</f>
        <v>38114</v>
      </c>
      <c r="FE32" s="631" t="s">
        <v>1796</v>
      </c>
      <c r="FF32" s="632"/>
      <c r="FG32" s="633"/>
      <c r="FI32" s="86" t="s">
        <v>1635</v>
      </c>
      <c r="FJ32" s="89">
        <v>0</v>
      </c>
      <c r="FK32" s="88">
        <v>40196</v>
      </c>
      <c r="FL32" s="88">
        <f t="shared" ref="FL32:FL37" si="70">SUM(FJ32:FK32)</f>
        <v>40196</v>
      </c>
      <c r="FM32" s="631" t="s">
        <v>1796</v>
      </c>
      <c r="FN32" s="632"/>
      <c r="FO32" s="633"/>
      <c r="FQ32" s="86" t="s">
        <v>1635</v>
      </c>
      <c r="FR32" s="89">
        <v>0</v>
      </c>
      <c r="FS32" s="88">
        <v>40078</v>
      </c>
      <c r="FT32" s="88">
        <f t="shared" ref="FT32:FT37" si="71">SUM(FR32:FS32)</f>
        <v>40078</v>
      </c>
      <c r="FU32" s="631" t="s">
        <v>1797</v>
      </c>
      <c r="FV32" s="632"/>
      <c r="FW32" s="633"/>
    </row>
    <row r="33" spans="1:179" ht="15" thickBot="1">
      <c r="B33" s="153" t="s">
        <v>167</v>
      </c>
      <c r="C33" s="154">
        <v>1947</v>
      </c>
      <c r="D33" s="155">
        <v>1563</v>
      </c>
      <c r="E33" s="155">
        <f>SUM(C33:D33)</f>
        <v>3510</v>
      </c>
      <c r="G33" s="153" t="s">
        <v>167</v>
      </c>
      <c r="H33" s="154">
        <v>2520</v>
      </c>
      <c r="I33" s="155">
        <v>1863</v>
      </c>
      <c r="J33" s="155">
        <f>SUM(H33:I33)</f>
        <v>4383</v>
      </c>
      <c r="L33" s="156" t="s">
        <v>167</v>
      </c>
      <c r="M33" s="154">
        <v>8283</v>
      </c>
      <c r="N33" s="155">
        <v>2443</v>
      </c>
      <c r="O33" s="157">
        <f>SUM(M33:N33)</f>
        <v>10726</v>
      </c>
      <c r="Q33" s="156" t="s">
        <v>167</v>
      </c>
      <c r="R33" s="154">
        <v>10006</v>
      </c>
      <c r="S33" s="155">
        <v>2820</v>
      </c>
      <c r="T33" s="157">
        <f>SUM(R33:S33)</f>
        <v>12826</v>
      </c>
      <c r="V33" s="156" t="s">
        <v>167</v>
      </c>
      <c r="W33" s="154">
        <v>12061</v>
      </c>
      <c r="X33" s="155">
        <v>3210</v>
      </c>
      <c r="Y33" s="157">
        <f>SUM(W33:X33)</f>
        <v>15271</v>
      </c>
      <c r="AA33" s="156" t="s">
        <v>167</v>
      </c>
      <c r="AB33" s="154">
        <v>18247</v>
      </c>
      <c r="AC33" s="155">
        <v>4461</v>
      </c>
      <c r="AD33" s="157">
        <f>SUM(AB33:AC33)</f>
        <v>22708</v>
      </c>
      <c r="AF33" s="158" t="s">
        <v>1798</v>
      </c>
      <c r="AG33" s="115">
        <v>25268</v>
      </c>
      <c r="AH33" s="147">
        <v>6071</v>
      </c>
      <c r="AI33" s="147">
        <f>SUM(AG33:AH33)</f>
        <v>31339</v>
      </c>
      <c r="AK33" s="158" t="s">
        <v>1798</v>
      </c>
      <c r="AL33" s="115">
        <v>30045</v>
      </c>
      <c r="AM33" s="147">
        <v>8266</v>
      </c>
      <c r="AN33" s="147">
        <f>SUM(AL33:AM33)</f>
        <v>38311</v>
      </c>
      <c r="AP33" s="158" t="s">
        <v>1798</v>
      </c>
      <c r="AQ33" s="115">
        <v>35412</v>
      </c>
      <c r="AR33" s="147">
        <v>11022</v>
      </c>
      <c r="AS33" s="147">
        <f>SUM(AQ33:AR33)</f>
        <v>46434</v>
      </c>
      <c r="AW33" s="158" t="s">
        <v>1798</v>
      </c>
      <c r="AX33" s="115">
        <v>40810</v>
      </c>
      <c r="AY33" s="147">
        <v>13859</v>
      </c>
      <c r="AZ33" s="147">
        <f>SUM(AX33:AY33)</f>
        <v>54669</v>
      </c>
      <c r="BA33" s="577"/>
      <c r="BB33" s="578"/>
      <c r="BC33" s="579"/>
      <c r="BE33" s="86" t="s">
        <v>1635</v>
      </c>
      <c r="BF33" s="89">
        <v>0</v>
      </c>
      <c r="BG33" s="88">
        <v>27770</v>
      </c>
      <c r="BH33" s="88">
        <f t="shared" ref="BH33:BH39" si="72">SUM(BF33:BG33)</f>
        <v>27770</v>
      </c>
      <c r="BI33" s="631" t="s">
        <v>1796</v>
      </c>
      <c r="BJ33" s="632"/>
      <c r="BK33" s="633"/>
      <c r="BM33" s="109" t="s">
        <v>1635</v>
      </c>
      <c r="BN33" s="110">
        <v>0</v>
      </c>
      <c r="BO33" s="111">
        <v>28347</v>
      </c>
      <c r="BP33" s="111">
        <f t="shared" ref="BP33:BP39" si="73">SUM(BN33:BO33)</f>
        <v>28347</v>
      </c>
      <c r="BQ33" s="631" t="s">
        <v>1796</v>
      </c>
      <c r="BR33" s="632"/>
      <c r="BS33" s="633"/>
      <c r="BU33" s="86" t="s">
        <v>1635</v>
      </c>
      <c r="BV33" s="89">
        <v>0</v>
      </c>
      <c r="BW33" s="88">
        <v>28911</v>
      </c>
      <c r="BX33" s="88">
        <f t="shared" ref="BX33:BX39" si="74">SUM(BV33:BW33)</f>
        <v>28911</v>
      </c>
      <c r="BY33" s="631" t="s">
        <v>1796</v>
      </c>
      <c r="BZ33" s="632"/>
      <c r="CA33" s="633"/>
      <c r="CC33" s="86" t="s">
        <v>1638</v>
      </c>
      <c r="CD33" s="89">
        <v>0</v>
      </c>
      <c r="CE33" s="88">
        <v>13370</v>
      </c>
      <c r="CF33" s="88">
        <f t="shared" si="60"/>
        <v>13370</v>
      </c>
      <c r="CG33" s="634"/>
      <c r="CH33" s="635"/>
      <c r="CI33" s="636"/>
      <c r="CK33" s="86" t="s">
        <v>1638</v>
      </c>
      <c r="CL33" s="89">
        <v>0</v>
      </c>
      <c r="CM33" s="88">
        <v>13710</v>
      </c>
      <c r="CN33" s="88">
        <f t="shared" si="61"/>
        <v>13710</v>
      </c>
      <c r="CO33" s="634"/>
      <c r="CP33" s="635"/>
      <c r="CQ33" s="636"/>
      <c r="CS33" s="86" t="s">
        <v>1638</v>
      </c>
      <c r="CT33" s="89">
        <v>0</v>
      </c>
      <c r="CU33" s="88">
        <v>14097</v>
      </c>
      <c r="CV33" s="88">
        <f t="shared" si="62"/>
        <v>14097</v>
      </c>
      <c r="CW33" s="634"/>
      <c r="CX33" s="635"/>
      <c r="CY33" s="636"/>
      <c r="DA33" s="86" t="s">
        <v>1638</v>
      </c>
      <c r="DB33" s="89">
        <v>0</v>
      </c>
      <c r="DC33" s="88">
        <v>14802</v>
      </c>
      <c r="DD33" s="88">
        <f t="shared" si="63"/>
        <v>14802</v>
      </c>
      <c r="DE33" s="634"/>
      <c r="DF33" s="635"/>
      <c r="DG33" s="636"/>
      <c r="DJ33" s="86" t="s">
        <v>1638</v>
      </c>
      <c r="DK33" s="89">
        <v>0</v>
      </c>
      <c r="DL33" s="88">
        <v>15276</v>
      </c>
      <c r="DM33" s="88">
        <f t="shared" si="64"/>
        <v>15276</v>
      </c>
      <c r="DN33" s="634"/>
      <c r="DO33" s="635"/>
      <c r="DP33" s="636"/>
      <c r="DS33" s="86" t="s">
        <v>1638</v>
      </c>
      <c r="DT33" s="89">
        <v>0</v>
      </c>
      <c r="DU33" s="88">
        <v>16425</v>
      </c>
      <c r="DV33" s="88">
        <f t="shared" si="65"/>
        <v>16425</v>
      </c>
      <c r="DW33" s="634"/>
      <c r="DX33" s="635"/>
      <c r="DY33" s="636"/>
      <c r="EB33" s="86" t="s">
        <v>1638</v>
      </c>
      <c r="EC33" s="89">
        <v>0</v>
      </c>
      <c r="ED33" s="88">
        <v>16264</v>
      </c>
      <c r="EE33" s="88">
        <f t="shared" si="66"/>
        <v>16264</v>
      </c>
      <c r="EF33" s="634"/>
      <c r="EG33" s="635"/>
      <c r="EH33" s="636"/>
      <c r="EK33" s="86" t="s">
        <v>1638</v>
      </c>
      <c r="EL33" s="89">
        <v>0</v>
      </c>
      <c r="EM33" s="88">
        <v>16642</v>
      </c>
      <c r="EN33" s="88">
        <f t="shared" si="67"/>
        <v>16642</v>
      </c>
      <c r="EO33" s="634"/>
      <c r="EP33" s="635"/>
      <c r="EQ33" s="636"/>
      <c r="ES33" s="86" t="s">
        <v>1638</v>
      </c>
      <c r="ET33" s="89">
        <v>0</v>
      </c>
      <c r="EU33" s="88">
        <v>16919</v>
      </c>
      <c r="EV33" s="88">
        <f t="shared" si="68"/>
        <v>16919</v>
      </c>
      <c r="EW33" s="634"/>
      <c r="EX33" s="635"/>
      <c r="EY33" s="636"/>
      <c r="FA33" s="86" t="s">
        <v>1638</v>
      </c>
      <c r="FB33" s="89">
        <v>0</v>
      </c>
      <c r="FC33" s="88">
        <v>16990</v>
      </c>
      <c r="FD33" s="88">
        <f t="shared" si="69"/>
        <v>16990</v>
      </c>
      <c r="FE33" s="634"/>
      <c r="FF33" s="635"/>
      <c r="FG33" s="636"/>
      <c r="FI33" s="86" t="s">
        <v>1638</v>
      </c>
      <c r="FJ33" s="89">
        <v>0</v>
      </c>
      <c r="FK33" s="88">
        <v>18421</v>
      </c>
      <c r="FL33" s="88">
        <f t="shared" si="70"/>
        <v>18421</v>
      </c>
      <c r="FM33" s="634"/>
      <c r="FN33" s="635"/>
      <c r="FO33" s="636"/>
      <c r="FQ33" s="86" t="s">
        <v>1638</v>
      </c>
      <c r="FR33" s="89">
        <v>0</v>
      </c>
      <c r="FS33" s="88">
        <v>17866</v>
      </c>
      <c r="FT33" s="88">
        <f t="shared" si="71"/>
        <v>17866</v>
      </c>
      <c r="FU33" s="634"/>
      <c r="FV33" s="635"/>
      <c r="FW33" s="636"/>
    </row>
    <row r="34" spans="1:179" ht="15" thickBot="1">
      <c r="B34" s="159" t="s">
        <v>1634</v>
      </c>
      <c r="C34" s="160">
        <f>SUM(C32+C33)</f>
        <v>2702</v>
      </c>
      <c r="D34" s="161">
        <f>SUM(D4:D33)</f>
        <v>130465</v>
      </c>
      <c r="E34" s="162">
        <f>SUM(C34:D34)</f>
        <v>133167</v>
      </c>
      <c r="G34" s="159" t="s">
        <v>1634</v>
      </c>
      <c r="H34" s="160">
        <f>SUM(H32+H33)</f>
        <v>3713</v>
      </c>
      <c r="I34" s="161">
        <f>SUM(I4:I33)</f>
        <v>137261</v>
      </c>
      <c r="J34" s="162">
        <f>SUM(H34:I34)</f>
        <v>140974</v>
      </c>
      <c r="L34" s="163" t="s">
        <v>1634</v>
      </c>
      <c r="M34" s="160">
        <f>SUM(M32+M33)</f>
        <v>16653</v>
      </c>
      <c r="N34" s="164">
        <f>SUM(N32+N33)</f>
        <v>146798</v>
      </c>
      <c r="O34" s="165">
        <f>SUM(M34:N34)</f>
        <v>163451</v>
      </c>
      <c r="Q34" s="163" t="s">
        <v>1634</v>
      </c>
      <c r="R34" s="166">
        <f>SUM(R32+R33)</f>
        <v>19814</v>
      </c>
      <c r="S34" s="167">
        <f>SUM(S32+S33)</f>
        <v>153061</v>
      </c>
      <c r="T34" s="168">
        <f>SUM(R34:S34)</f>
        <v>172875</v>
      </c>
      <c r="V34" s="163" t="s">
        <v>1634</v>
      </c>
      <c r="W34" s="166">
        <f>SUM(W32+W33)</f>
        <v>23032</v>
      </c>
      <c r="X34" s="167">
        <f>SUM(X32+X33)</f>
        <v>158718</v>
      </c>
      <c r="Y34" s="168">
        <f>SUM(W34:X34)</f>
        <v>181750</v>
      </c>
      <c r="AA34" s="163" t="s">
        <v>1634</v>
      </c>
      <c r="AB34" s="166">
        <f>SUM(AB32+AB33)</f>
        <v>32801</v>
      </c>
      <c r="AC34" s="167">
        <f>SUM(AC32+AC33)</f>
        <v>169195</v>
      </c>
      <c r="AD34" s="169">
        <f>SUM(AB34:AC34)</f>
        <v>201996</v>
      </c>
      <c r="AF34" s="170" t="s">
        <v>1799</v>
      </c>
      <c r="AG34" s="171">
        <f>SUM(AG32+AG33)</f>
        <v>44403</v>
      </c>
      <c r="AH34" s="172">
        <f>SUM(AH32+AH33)</f>
        <v>182577</v>
      </c>
      <c r="AI34" s="173">
        <f>SUM(AG34:AH34)</f>
        <v>226980</v>
      </c>
      <c r="AK34" s="170" t="s">
        <v>1799</v>
      </c>
      <c r="AL34" s="174">
        <f>SUM(AL32+AL33)</f>
        <v>52823</v>
      </c>
      <c r="AM34" s="174">
        <f>SUM(AM32+AM33)</f>
        <v>197624</v>
      </c>
      <c r="AN34" s="173">
        <f>SUM(AL34:AM34)</f>
        <v>250447</v>
      </c>
      <c r="AP34" s="170" t="s">
        <v>1799</v>
      </c>
      <c r="AQ34" s="174">
        <f>SUM(AQ32+AQ33)</f>
        <v>61827</v>
      </c>
      <c r="AR34" s="174">
        <f>SUM(AR32+AR33)</f>
        <v>216705</v>
      </c>
      <c r="AS34" s="173">
        <f>SUM(AQ34:AR34)</f>
        <v>278532</v>
      </c>
      <c r="AW34" s="170" t="s">
        <v>1799</v>
      </c>
      <c r="AX34" s="174">
        <f>SUM(AX32+AX33)</f>
        <v>71065</v>
      </c>
      <c r="AY34" s="174">
        <f>SUM(AY32+AY33)</f>
        <v>235650</v>
      </c>
      <c r="AZ34" s="173">
        <f>SUM(AX34:AY34)</f>
        <v>306715</v>
      </c>
      <c r="BE34" s="86" t="s">
        <v>1638</v>
      </c>
      <c r="BF34" s="89">
        <v>0</v>
      </c>
      <c r="BG34" s="88">
        <v>12105</v>
      </c>
      <c r="BH34" s="88">
        <f t="shared" si="72"/>
        <v>12105</v>
      </c>
      <c r="BI34" s="634"/>
      <c r="BJ34" s="635"/>
      <c r="BK34" s="636"/>
      <c r="BM34" s="109" t="s">
        <v>1638</v>
      </c>
      <c r="BN34" s="110">
        <v>0</v>
      </c>
      <c r="BO34" s="111">
        <v>12352</v>
      </c>
      <c r="BP34" s="111">
        <f t="shared" si="73"/>
        <v>12352</v>
      </c>
      <c r="BQ34" s="634"/>
      <c r="BR34" s="635"/>
      <c r="BS34" s="636"/>
      <c r="BU34" s="86" t="s">
        <v>1638</v>
      </c>
      <c r="BV34" s="89">
        <v>0</v>
      </c>
      <c r="BW34" s="88">
        <v>12610</v>
      </c>
      <c r="BX34" s="88">
        <f t="shared" si="74"/>
        <v>12610</v>
      </c>
      <c r="BY34" s="634"/>
      <c r="BZ34" s="635"/>
      <c r="CA34" s="636"/>
      <c r="CC34" s="86" t="s">
        <v>1649</v>
      </c>
      <c r="CD34" s="89">
        <v>0</v>
      </c>
      <c r="CE34" s="88">
        <v>20834</v>
      </c>
      <c r="CF34" s="88">
        <f t="shared" si="60"/>
        <v>20834</v>
      </c>
      <c r="CG34" s="634"/>
      <c r="CH34" s="635"/>
      <c r="CI34" s="636"/>
      <c r="CK34" s="86" t="s">
        <v>1649</v>
      </c>
      <c r="CL34" s="89">
        <v>0</v>
      </c>
      <c r="CM34" s="88">
        <v>21300</v>
      </c>
      <c r="CN34" s="88">
        <f t="shared" si="61"/>
        <v>21300</v>
      </c>
      <c r="CO34" s="634"/>
      <c r="CP34" s="635"/>
      <c r="CQ34" s="636"/>
      <c r="CS34" s="86" t="s">
        <v>1649</v>
      </c>
      <c r="CT34" s="89">
        <v>0</v>
      </c>
      <c r="CU34" s="88">
        <v>21800</v>
      </c>
      <c r="CV34" s="88">
        <f t="shared" si="62"/>
        <v>21800</v>
      </c>
      <c r="CW34" s="634"/>
      <c r="CX34" s="635"/>
      <c r="CY34" s="636"/>
      <c r="DA34" s="86" t="s">
        <v>1649</v>
      </c>
      <c r="DB34" s="89">
        <v>0</v>
      </c>
      <c r="DC34" s="88">
        <v>22846</v>
      </c>
      <c r="DD34" s="88">
        <f t="shared" si="63"/>
        <v>22846</v>
      </c>
      <c r="DE34" s="634"/>
      <c r="DF34" s="635"/>
      <c r="DG34" s="636"/>
      <c r="DJ34" s="86" t="s">
        <v>1649</v>
      </c>
      <c r="DK34" s="89">
        <v>0</v>
      </c>
      <c r="DL34" s="88">
        <v>23469</v>
      </c>
      <c r="DM34" s="88">
        <f t="shared" si="64"/>
        <v>23469</v>
      </c>
      <c r="DN34" s="634"/>
      <c r="DO34" s="635"/>
      <c r="DP34" s="636"/>
      <c r="DS34" s="86" t="s">
        <v>1649</v>
      </c>
      <c r="DT34" s="89">
        <v>0</v>
      </c>
      <c r="DU34" s="88">
        <v>24888</v>
      </c>
      <c r="DV34" s="88">
        <f t="shared" si="65"/>
        <v>24888</v>
      </c>
      <c r="DW34" s="634"/>
      <c r="DX34" s="635"/>
      <c r="DY34" s="636"/>
      <c r="EB34" s="86" t="s">
        <v>1649</v>
      </c>
      <c r="EC34" s="89">
        <v>0</v>
      </c>
      <c r="ED34" s="88">
        <v>25870</v>
      </c>
      <c r="EE34" s="88">
        <f t="shared" si="66"/>
        <v>25870</v>
      </c>
      <c r="EF34" s="634"/>
      <c r="EG34" s="635"/>
      <c r="EH34" s="636"/>
      <c r="EK34" s="86" t="s">
        <v>1649</v>
      </c>
      <c r="EL34" s="89">
        <v>0</v>
      </c>
      <c r="EM34" s="88">
        <v>25481</v>
      </c>
      <c r="EN34" s="88">
        <f t="shared" si="67"/>
        <v>25481</v>
      </c>
      <c r="EO34" s="634"/>
      <c r="EP34" s="635"/>
      <c r="EQ34" s="636"/>
      <c r="ES34" s="86" t="s">
        <v>1649</v>
      </c>
      <c r="ET34" s="89">
        <v>0</v>
      </c>
      <c r="EU34" s="88">
        <v>25636</v>
      </c>
      <c r="EV34" s="88">
        <f t="shared" si="68"/>
        <v>25636</v>
      </c>
      <c r="EW34" s="634"/>
      <c r="EX34" s="635"/>
      <c r="EY34" s="636"/>
      <c r="FA34" s="86" t="s">
        <v>1649</v>
      </c>
      <c r="FB34" s="89">
        <v>0</v>
      </c>
      <c r="FC34" s="88">
        <v>25901</v>
      </c>
      <c r="FD34" s="88">
        <f t="shared" si="69"/>
        <v>25901</v>
      </c>
      <c r="FE34" s="634"/>
      <c r="FF34" s="635"/>
      <c r="FG34" s="636"/>
      <c r="FI34" s="86" t="s">
        <v>1649</v>
      </c>
      <c r="FJ34" s="89">
        <v>0</v>
      </c>
      <c r="FK34" s="88">
        <v>28019</v>
      </c>
      <c r="FL34" s="88">
        <f t="shared" si="70"/>
        <v>28019</v>
      </c>
      <c r="FM34" s="634"/>
      <c r="FN34" s="635"/>
      <c r="FO34" s="636"/>
      <c r="FQ34" s="86" t="s">
        <v>1649</v>
      </c>
      <c r="FR34" s="89">
        <v>0</v>
      </c>
      <c r="FS34" s="88">
        <v>27236</v>
      </c>
      <c r="FT34" s="88">
        <f t="shared" si="71"/>
        <v>27236</v>
      </c>
      <c r="FU34" s="634"/>
      <c r="FV34" s="635"/>
      <c r="FW34" s="636"/>
    </row>
    <row r="35" spans="1:179">
      <c r="BE35" s="86" t="s">
        <v>1649</v>
      </c>
      <c r="BF35" s="89">
        <v>0</v>
      </c>
      <c r="BG35" s="88">
        <v>18926</v>
      </c>
      <c r="BH35" s="88">
        <f t="shared" si="72"/>
        <v>18926</v>
      </c>
      <c r="BI35" s="634"/>
      <c r="BJ35" s="635"/>
      <c r="BK35" s="636"/>
      <c r="BM35" s="109" t="s">
        <v>1649</v>
      </c>
      <c r="BN35" s="110">
        <v>0</v>
      </c>
      <c r="BO35" s="111">
        <v>19351</v>
      </c>
      <c r="BP35" s="111">
        <f t="shared" si="73"/>
        <v>19351</v>
      </c>
      <c r="BQ35" s="634"/>
      <c r="BR35" s="635"/>
      <c r="BS35" s="636"/>
      <c r="BU35" s="86" t="s">
        <v>1649</v>
      </c>
      <c r="BV35" s="89">
        <v>0</v>
      </c>
      <c r="BW35" s="88">
        <v>19726</v>
      </c>
      <c r="BX35" s="88">
        <f t="shared" si="74"/>
        <v>19726</v>
      </c>
      <c r="BY35" s="634"/>
      <c r="BZ35" s="635"/>
      <c r="CA35" s="636"/>
      <c r="CC35" s="86" t="s">
        <v>1659</v>
      </c>
      <c r="CD35" s="89">
        <v>0</v>
      </c>
      <c r="CE35" s="88">
        <v>4280</v>
      </c>
      <c r="CF35" s="88">
        <f t="shared" si="60"/>
        <v>4280</v>
      </c>
      <c r="CG35" s="634"/>
      <c r="CH35" s="635"/>
      <c r="CI35" s="636"/>
      <c r="CK35" s="86" t="s">
        <v>1659</v>
      </c>
      <c r="CL35" s="89">
        <v>0</v>
      </c>
      <c r="CM35" s="88">
        <v>4373</v>
      </c>
      <c r="CN35" s="88">
        <f t="shared" si="61"/>
        <v>4373</v>
      </c>
      <c r="CO35" s="634"/>
      <c r="CP35" s="635"/>
      <c r="CQ35" s="636"/>
      <c r="CS35" s="86" t="s">
        <v>1659</v>
      </c>
      <c r="CT35" s="89">
        <v>0</v>
      </c>
      <c r="CU35" s="88">
        <v>4491</v>
      </c>
      <c r="CV35" s="88">
        <f t="shared" si="62"/>
        <v>4491</v>
      </c>
      <c r="CW35" s="634"/>
      <c r="CX35" s="635"/>
      <c r="CY35" s="636"/>
      <c r="DA35" s="86" t="s">
        <v>1659</v>
      </c>
      <c r="DB35" s="89">
        <v>0</v>
      </c>
      <c r="DC35" s="88">
        <v>4746</v>
      </c>
      <c r="DD35" s="88">
        <f t="shared" si="63"/>
        <v>4746</v>
      </c>
      <c r="DE35" s="634"/>
      <c r="DF35" s="635"/>
      <c r="DG35" s="636"/>
      <c r="DJ35" s="86" t="s">
        <v>1659</v>
      </c>
      <c r="DK35" s="89">
        <v>0</v>
      </c>
      <c r="DL35" s="88">
        <v>4899</v>
      </c>
      <c r="DM35" s="88">
        <f t="shared" si="64"/>
        <v>4899</v>
      </c>
      <c r="DN35" s="634"/>
      <c r="DO35" s="635"/>
      <c r="DP35" s="636"/>
      <c r="DS35" s="86" t="s">
        <v>1659</v>
      </c>
      <c r="DT35" s="89">
        <v>0</v>
      </c>
      <c r="DU35" s="88">
        <v>5084</v>
      </c>
      <c r="DV35" s="88">
        <f t="shared" si="65"/>
        <v>5084</v>
      </c>
      <c r="DW35" s="634"/>
      <c r="DX35" s="635"/>
      <c r="DY35" s="636"/>
      <c r="EB35" s="86" t="s">
        <v>1659</v>
      </c>
      <c r="EC35" s="89">
        <v>0</v>
      </c>
      <c r="ED35" s="88">
        <v>5214</v>
      </c>
      <c r="EE35" s="88">
        <f t="shared" si="66"/>
        <v>5214</v>
      </c>
      <c r="EF35" s="634"/>
      <c r="EG35" s="635"/>
      <c r="EH35" s="636"/>
      <c r="EK35" s="86" t="s">
        <v>1659</v>
      </c>
      <c r="EL35" s="89">
        <v>0</v>
      </c>
      <c r="EM35" s="88">
        <v>5334</v>
      </c>
      <c r="EN35" s="88">
        <f t="shared" si="67"/>
        <v>5334</v>
      </c>
      <c r="EO35" s="634"/>
      <c r="EP35" s="635"/>
      <c r="EQ35" s="636"/>
      <c r="ES35" s="86" t="s">
        <v>1659</v>
      </c>
      <c r="ET35" s="89">
        <v>0</v>
      </c>
      <c r="EU35" s="88">
        <v>5380</v>
      </c>
      <c r="EV35" s="88">
        <f t="shared" si="68"/>
        <v>5380</v>
      </c>
      <c r="EW35" s="634"/>
      <c r="EX35" s="635"/>
      <c r="EY35" s="636"/>
      <c r="FA35" s="86" t="s">
        <v>1659</v>
      </c>
      <c r="FB35" s="89">
        <v>0</v>
      </c>
      <c r="FC35" s="88">
        <v>5412</v>
      </c>
      <c r="FD35" s="88">
        <f t="shared" si="69"/>
        <v>5412</v>
      </c>
      <c r="FE35" s="634"/>
      <c r="FF35" s="635"/>
      <c r="FG35" s="636"/>
      <c r="FI35" s="86" t="s">
        <v>1659</v>
      </c>
      <c r="FJ35" s="89">
        <v>0</v>
      </c>
      <c r="FK35" s="88">
        <v>5502</v>
      </c>
      <c r="FL35" s="88">
        <f t="shared" si="70"/>
        <v>5502</v>
      </c>
      <c r="FM35" s="634"/>
      <c r="FN35" s="635"/>
      <c r="FO35" s="636"/>
      <c r="FQ35" s="86" t="s">
        <v>1659</v>
      </c>
      <c r="FR35" s="89">
        <v>0</v>
      </c>
      <c r="FS35" s="88">
        <v>5691</v>
      </c>
      <c r="FT35" s="88">
        <f t="shared" si="71"/>
        <v>5691</v>
      </c>
      <c r="FU35" s="634"/>
      <c r="FV35" s="635"/>
      <c r="FW35" s="636"/>
    </row>
    <row r="36" spans="1:179">
      <c r="A36" s="175" t="s">
        <v>1800</v>
      </c>
      <c r="F36" s="175"/>
      <c r="G36" s="175"/>
      <c r="BE36" s="86" t="s">
        <v>1659</v>
      </c>
      <c r="BF36" s="89">
        <v>0</v>
      </c>
      <c r="BG36" s="88">
        <v>3888</v>
      </c>
      <c r="BH36" s="88">
        <f t="shared" si="72"/>
        <v>3888</v>
      </c>
      <c r="BI36" s="634"/>
      <c r="BJ36" s="635"/>
      <c r="BK36" s="636"/>
      <c r="BM36" s="109" t="s">
        <v>1659</v>
      </c>
      <c r="BN36" s="110">
        <v>0</v>
      </c>
      <c r="BO36" s="111">
        <v>3950</v>
      </c>
      <c r="BP36" s="111">
        <f t="shared" si="73"/>
        <v>3950</v>
      </c>
      <c r="BQ36" s="634"/>
      <c r="BR36" s="635"/>
      <c r="BS36" s="636"/>
      <c r="BU36" s="86" t="s">
        <v>1659</v>
      </c>
      <c r="BV36" s="89">
        <v>0</v>
      </c>
      <c r="BW36" s="88">
        <v>4029</v>
      </c>
      <c r="BX36" s="88">
        <f t="shared" si="74"/>
        <v>4029</v>
      </c>
      <c r="BY36" s="634"/>
      <c r="BZ36" s="635"/>
      <c r="CA36" s="636"/>
      <c r="CC36" s="86" t="s">
        <v>1668</v>
      </c>
      <c r="CD36" s="89">
        <v>0</v>
      </c>
      <c r="CE36" s="88">
        <v>822</v>
      </c>
      <c r="CF36" s="88">
        <f t="shared" si="60"/>
        <v>822</v>
      </c>
      <c r="CG36" s="634"/>
      <c r="CH36" s="635"/>
      <c r="CI36" s="636"/>
      <c r="CK36" s="86" t="s">
        <v>1668</v>
      </c>
      <c r="CL36" s="89">
        <v>0</v>
      </c>
      <c r="CM36" s="88">
        <v>841</v>
      </c>
      <c r="CN36" s="88">
        <f t="shared" si="61"/>
        <v>841</v>
      </c>
      <c r="CO36" s="634"/>
      <c r="CP36" s="635"/>
      <c r="CQ36" s="636"/>
      <c r="CS36" s="86" t="s">
        <v>1668</v>
      </c>
      <c r="CT36" s="89">
        <v>0</v>
      </c>
      <c r="CU36" s="88">
        <v>860</v>
      </c>
      <c r="CV36" s="88">
        <f t="shared" si="62"/>
        <v>860</v>
      </c>
      <c r="CW36" s="634"/>
      <c r="CX36" s="635"/>
      <c r="CY36" s="636"/>
      <c r="DA36" s="86" t="s">
        <v>1668</v>
      </c>
      <c r="DB36" s="89">
        <v>0</v>
      </c>
      <c r="DC36" s="88">
        <v>908</v>
      </c>
      <c r="DD36" s="88">
        <f t="shared" si="63"/>
        <v>908</v>
      </c>
      <c r="DE36" s="634"/>
      <c r="DF36" s="635"/>
      <c r="DG36" s="636"/>
      <c r="DJ36" s="86" t="s">
        <v>1668</v>
      </c>
      <c r="DK36" s="89">
        <v>0</v>
      </c>
      <c r="DL36" s="88">
        <v>937</v>
      </c>
      <c r="DM36" s="88">
        <f t="shared" si="64"/>
        <v>937</v>
      </c>
      <c r="DN36" s="634"/>
      <c r="DO36" s="635"/>
      <c r="DP36" s="636"/>
      <c r="DS36" s="86" t="s">
        <v>1668</v>
      </c>
      <c r="DT36" s="89">
        <v>0</v>
      </c>
      <c r="DU36" s="88">
        <v>982</v>
      </c>
      <c r="DV36" s="88">
        <f t="shared" si="65"/>
        <v>982</v>
      </c>
      <c r="DW36" s="634"/>
      <c r="DX36" s="635"/>
      <c r="DY36" s="636"/>
      <c r="EB36" s="86" t="s">
        <v>1668</v>
      </c>
      <c r="EC36" s="89">
        <v>0</v>
      </c>
      <c r="ED36" s="88">
        <v>981</v>
      </c>
      <c r="EE36" s="88">
        <f t="shared" si="66"/>
        <v>981</v>
      </c>
      <c r="EF36" s="634"/>
      <c r="EG36" s="635"/>
      <c r="EH36" s="636"/>
      <c r="EK36" s="86" t="s">
        <v>1668</v>
      </c>
      <c r="EL36" s="89">
        <v>0</v>
      </c>
      <c r="EM36" s="88">
        <v>1007</v>
      </c>
      <c r="EN36" s="88">
        <f t="shared" si="67"/>
        <v>1007</v>
      </c>
      <c r="EO36" s="634"/>
      <c r="EP36" s="635"/>
      <c r="EQ36" s="636"/>
      <c r="ES36" s="86" t="s">
        <v>1668</v>
      </c>
      <c r="ET36" s="89">
        <v>0</v>
      </c>
      <c r="EU36" s="88">
        <v>1029</v>
      </c>
      <c r="EV36" s="88">
        <f t="shared" si="68"/>
        <v>1029</v>
      </c>
      <c r="EW36" s="634"/>
      <c r="EX36" s="635"/>
      <c r="EY36" s="636"/>
      <c r="FA36" s="86" t="s">
        <v>1668</v>
      </c>
      <c r="FB36" s="89">
        <v>0</v>
      </c>
      <c r="FC36" s="88">
        <v>1033</v>
      </c>
      <c r="FD36" s="88">
        <f t="shared" si="69"/>
        <v>1033</v>
      </c>
      <c r="FE36" s="634"/>
      <c r="FF36" s="635"/>
      <c r="FG36" s="636"/>
      <c r="FI36" s="86" t="s">
        <v>1668</v>
      </c>
      <c r="FJ36" s="89">
        <v>0</v>
      </c>
      <c r="FK36" s="88">
        <v>1046</v>
      </c>
      <c r="FL36" s="88">
        <f t="shared" si="70"/>
        <v>1046</v>
      </c>
      <c r="FM36" s="634"/>
      <c r="FN36" s="635"/>
      <c r="FO36" s="636"/>
      <c r="FQ36" s="86" t="s">
        <v>1668</v>
      </c>
      <c r="FR36" s="89">
        <v>0</v>
      </c>
      <c r="FS36" s="88">
        <v>1086</v>
      </c>
      <c r="FT36" s="88">
        <f t="shared" si="71"/>
        <v>1086</v>
      </c>
      <c r="FU36" s="634"/>
      <c r="FV36" s="635"/>
      <c r="FW36" s="636"/>
    </row>
    <row r="37" spans="1:179" ht="15" thickBot="1">
      <c r="BE37" s="86" t="s">
        <v>1668</v>
      </c>
      <c r="BF37" s="89">
        <v>0</v>
      </c>
      <c r="BG37" s="88">
        <v>758</v>
      </c>
      <c r="BH37" s="88">
        <f t="shared" si="72"/>
        <v>758</v>
      </c>
      <c r="BI37" s="634"/>
      <c r="BJ37" s="635"/>
      <c r="BK37" s="636"/>
      <c r="BM37" s="109" t="s">
        <v>1668</v>
      </c>
      <c r="BN37" s="110">
        <v>0</v>
      </c>
      <c r="BO37" s="111">
        <v>776</v>
      </c>
      <c r="BP37" s="111">
        <f t="shared" si="73"/>
        <v>776</v>
      </c>
      <c r="BQ37" s="634"/>
      <c r="BR37" s="635"/>
      <c r="BS37" s="636"/>
      <c r="BU37" s="86" t="s">
        <v>1668</v>
      </c>
      <c r="BV37" s="89">
        <v>0</v>
      </c>
      <c r="BW37" s="88">
        <v>785</v>
      </c>
      <c r="BX37" s="88">
        <f t="shared" si="74"/>
        <v>785</v>
      </c>
      <c r="BY37" s="634"/>
      <c r="BZ37" s="635"/>
      <c r="CA37" s="636"/>
      <c r="CC37" s="86" t="s">
        <v>1688</v>
      </c>
      <c r="CD37" s="89">
        <v>0</v>
      </c>
      <c r="CE37" s="88">
        <v>1368</v>
      </c>
      <c r="CF37" s="88">
        <f t="shared" si="60"/>
        <v>1368</v>
      </c>
      <c r="CG37" s="580"/>
      <c r="CH37" s="581"/>
      <c r="CI37" s="582"/>
      <c r="CK37" s="86" t="s">
        <v>1688</v>
      </c>
      <c r="CL37" s="89">
        <v>0</v>
      </c>
      <c r="CM37" s="88">
        <v>1416</v>
      </c>
      <c r="CN37" s="88">
        <f t="shared" si="61"/>
        <v>1416</v>
      </c>
      <c r="CO37" s="580"/>
      <c r="CP37" s="581"/>
      <c r="CQ37" s="582"/>
      <c r="CS37" s="86" t="s">
        <v>1688</v>
      </c>
      <c r="CT37" s="89">
        <v>0</v>
      </c>
      <c r="CU37" s="88">
        <v>1429</v>
      </c>
      <c r="CV37" s="88">
        <f t="shared" si="62"/>
        <v>1429</v>
      </c>
      <c r="CW37" s="580"/>
      <c r="CX37" s="581"/>
      <c r="CY37" s="582"/>
      <c r="DA37" s="86" t="s">
        <v>1688</v>
      </c>
      <c r="DB37" s="89">
        <v>0</v>
      </c>
      <c r="DC37" s="88">
        <v>1491</v>
      </c>
      <c r="DD37" s="88">
        <f t="shared" si="63"/>
        <v>1491</v>
      </c>
      <c r="DE37" s="580"/>
      <c r="DF37" s="581"/>
      <c r="DG37" s="582"/>
      <c r="DJ37" s="86" t="s">
        <v>1688</v>
      </c>
      <c r="DK37" s="89">
        <v>0</v>
      </c>
      <c r="DL37" s="88">
        <v>1514</v>
      </c>
      <c r="DM37" s="88">
        <f t="shared" si="64"/>
        <v>1514</v>
      </c>
      <c r="DN37" s="580"/>
      <c r="DO37" s="581"/>
      <c r="DP37" s="582"/>
      <c r="DS37" s="86" t="s">
        <v>1688</v>
      </c>
      <c r="DT37" s="89">
        <v>0</v>
      </c>
      <c r="DU37" s="88">
        <v>1595</v>
      </c>
      <c r="DV37" s="88">
        <f t="shared" si="65"/>
        <v>1595</v>
      </c>
      <c r="DW37" s="580"/>
      <c r="DX37" s="581"/>
      <c r="DY37" s="582"/>
      <c r="EB37" s="86" t="s">
        <v>1688</v>
      </c>
      <c r="EC37" s="89">
        <v>0</v>
      </c>
      <c r="ED37" s="88">
        <v>1606</v>
      </c>
      <c r="EE37" s="88">
        <f t="shared" si="66"/>
        <v>1606</v>
      </c>
      <c r="EF37" s="580"/>
      <c r="EG37" s="581"/>
      <c r="EH37" s="582"/>
      <c r="EK37" s="86" t="s">
        <v>1688</v>
      </c>
      <c r="EL37" s="89">
        <v>0</v>
      </c>
      <c r="EM37" s="88">
        <v>1647</v>
      </c>
      <c r="EN37" s="88">
        <f t="shared" si="67"/>
        <v>1647</v>
      </c>
      <c r="EO37" s="580"/>
      <c r="EP37" s="581"/>
      <c r="EQ37" s="582"/>
      <c r="ES37" s="86" t="s">
        <v>1688</v>
      </c>
      <c r="ET37" s="89">
        <v>0</v>
      </c>
      <c r="EU37" s="88">
        <v>1711</v>
      </c>
      <c r="EV37" s="88">
        <f t="shared" si="68"/>
        <v>1711</v>
      </c>
      <c r="EW37" s="580"/>
      <c r="EX37" s="581"/>
      <c r="EY37" s="582"/>
      <c r="FA37" s="86" t="s">
        <v>1688</v>
      </c>
      <c r="FB37" s="89">
        <v>0</v>
      </c>
      <c r="FC37" s="88">
        <v>1723</v>
      </c>
      <c r="FD37" s="88">
        <f t="shared" si="69"/>
        <v>1723</v>
      </c>
      <c r="FE37" s="580"/>
      <c r="FF37" s="581"/>
      <c r="FG37" s="582"/>
      <c r="FI37" s="86" t="s">
        <v>1688</v>
      </c>
      <c r="FJ37" s="89">
        <v>0</v>
      </c>
      <c r="FK37" s="88">
        <v>1739</v>
      </c>
      <c r="FL37" s="88">
        <f t="shared" si="70"/>
        <v>1739</v>
      </c>
      <c r="FM37" s="580"/>
      <c r="FN37" s="581"/>
      <c r="FO37" s="582"/>
      <c r="FQ37" s="86" t="s">
        <v>1688</v>
      </c>
      <c r="FR37" s="89">
        <v>0</v>
      </c>
      <c r="FS37" s="88">
        <v>1812</v>
      </c>
      <c r="FT37" s="88">
        <f t="shared" si="71"/>
        <v>1812</v>
      </c>
      <c r="FU37" s="637">
        <f>SUM(FT40+FT30)</f>
        <v>1035619</v>
      </c>
      <c r="FV37" s="581"/>
      <c r="FW37" s="582"/>
    </row>
    <row r="38" spans="1:179" ht="16" thickBot="1">
      <c r="A38" t="s">
        <v>1801</v>
      </c>
      <c r="B38" s="176">
        <v>126650</v>
      </c>
      <c r="E38" t="s">
        <v>1802</v>
      </c>
      <c r="BE38" s="86" t="s">
        <v>1677</v>
      </c>
      <c r="BF38" s="89">
        <v>0</v>
      </c>
      <c r="BG38" s="88">
        <v>1107</v>
      </c>
      <c r="BH38" s="88">
        <f t="shared" si="72"/>
        <v>1107</v>
      </c>
      <c r="BI38" s="580"/>
      <c r="BJ38" s="581"/>
      <c r="BK38" s="582"/>
      <c r="BM38" s="109" t="s">
        <v>1677</v>
      </c>
      <c r="BN38" s="110">
        <v>0</v>
      </c>
      <c r="BO38" s="111">
        <v>1133</v>
      </c>
      <c r="BP38" s="111">
        <f t="shared" si="73"/>
        <v>1133</v>
      </c>
      <c r="BQ38" s="585"/>
      <c r="BR38" s="586"/>
      <c r="BS38" s="587"/>
      <c r="BU38" s="86" t="s">
        <v>1677</v>
      </c>
      <c r="BV38" s="89">
        <v>0</v>
      </c>
      <c r="BW38" s="88">
        <v>1150</v>
      </c>
      <c r="BX38" s="88">
        <f t="shared" si="74"/>
        <v>1150</v>
      </c>
      <c r="BY38" s="580"/>
      <c r="BZ38" s="581"/>
      <c r="CA38" s="582"/>
      <c r="CC38" s="559" t="s">
        <v>1686</v>
      </c>
      <c r="CD38" s="560"/>
      <c r="CE38" s="560"/>
      <c r="CF38" s="121">
        <f>SUM(CF32:CF37)</f>
        <v>71236</v>
      </c>
      <c r="CG38" s="568"/>
      <c r="CH38" s="569"/>
      <c r="CI38" s="570"/>
      <c r="CK38" s="559" t="s">
        <v>1686</v>
      </c>
      <c r="CL38" s="560"/>
      <c r="CM38" s="560"/>
      <c r="CN38" s="121">
        <f>SUM(CN32:CN37)</f>
        <v>72967</v>
      </c>
      <c r="CO38" s="568"/>
      <c r="CP38" s="569"/>
      <c r="CQ38" s="570"/>
      <c r="CS38" s="559" t="s">
        <v>1686</v>
      </c>
      <c r="CT38" s="560"/>
      <c r="CU38" s="560"/>
      <c r="CV38" s="121">
        <f>SUM(CV32:CV37)</f>
        <v>74689</v>
      </c>
      <c r="CW38" s="568"/>
      <c r="CX38" s="569"/>
      <c r="CY38" s="570"/>
      <c r="DA38" s="559" t="s">
        <v>1686</v>
      </c>
      <c r="DB38" s="560"/>
      <c r="DC38" s="560"/>
      <c r="DD38" s="121">
        <f>SUM(DD32:DD37)</f>
        <v>78142</v>
      </c>
      <c r="DE38" s="568"/>
      <c r="DF38" s="569"/>
      <c r="DG38" s="570"/>
      <c r="DJ38" s="559" t="s">
        <v>1686</v>
      </c>
      <c r="DK38" s="560"/>
      <c r="DL38" s="560"/>
      <c r="DM38" s="121">
        <f>SUM(DM32:DM37)</f>
        <v>80255</v>
      </c>
      <c r="DN38" s="568"/>
      <c r="DO38" s="569"/>
      <c r="DP38" s="570"/>
      <c r="DS38" s="559" t="s">
        <v>1686</v>
      </c>
      <c r="DT38" s="560"/>
      <c r="DU38" s="560"/>
      <c r="DV38" s="121">
        <f>SUM(DV32:DV37)</f>
        <v>84769</v>
      </c>
      <c r="DW38" s="568"/>
      <c r="DX38" s="569"/>
      <c r="DY38" s="570"/>
      <c r="EB38" s="559" t="s">
        <v>1686</v>
      </c>
      <c r="EC38" s="560"/>
      <c r="ED38" s="560"/>
      <c r="EE38" s="121">
        <f>SUM(EE32:EE37)</f>
        <v>86126</v>
      </c>
      <c r="EF38" s="568"/>
      <c r="EG38" s="569"/>
      <c r="EH38" s="570"/>
      <c r="EK38" s="559" t="s">
        <v>1686</v>
      </c>
      <c r="EL38" s="560"/>
      <c r="EM38" s="560"/>
      <c r="EN38" s="121">
        <f>SUM(EN32:EN37)</f>
        <v>87147</v>
      </c>
      <c r="EO38" s="568"/>
      <c r="EP38" s="569"/>
      <c r="EQ38" s="570"/>
      <c r="ES38" s="559" t="s">
        <v>1686</v>
      </c>
      <c r="ET38" s="560"/>
      <c r="EU38" s="560"/>
      <c r="EV38" s="121">
        <f>SUM(EV32:EV37)</f>
        <v>88577</v>
      </c>
      <c r="EW38" s="568"/>
      <c r="EX38" s="569"/>
      <c r="EY38" s="570"/>
      <c r="FA38" s="559" t="s">
        <v>1686</v>
      </c>
      <c r="FB38" s="560"/>
      <c r="FC38" s="560"/>
      <c r="FD38" s="121">
        <f>SUM(FD32:FD37)</f>
        <v>89173</v>
      </c>
      <c r="FE38" s="568"/>
      <c r="FF38" s="569"/>
      <c r="FG38" s="570"/>
      <c r="FI38" s="559" t="s">
        <v>1686</v>
      </c>
      <c r="FJ38" s="560"/>
      <c r="FK38" s="560"/>
      <c r="FL38" s="121">
        <f>SUM(FL32:FL37)</f>
        <v>94923</v>
      </c>
      <c r="FM38" s="568"/>
      <c r="FN38" s="569"/>
      <c r="FO38" s="570"/>
      <c r="FQ38" s="559" t="s">
        <v>1686</v>
      </c>
      <c r="FR38" s="560"/>
      <c r="FS38" s="560"/>
      <c r="FT38" s="121">
        <f>SUM(FT32:FT37)</f>
        <v>93769</v>
      </c>
      <c r="FU38" s="568"/>
      <c r="FV38" s="569"/>
      <c r="FW38" s="570"/>
    </row>
    <row r="39" spans="1:179" ht="17" thickTop="1" thickBot="1">
      <c r="A39" t="s">
        <v>1803</v>
      </c>
      <c r="B39" s="177">
        <v>163451</v>
      </c>
      <c r="D39" s="178">
        <f>B39-B38</f>
        <v>36801</v>
      </c>
      <c r="E39" s="179">
        <f>D39/B38</f>
        <v>0.29057244374259772</v>
      </c>
      <c r="BE39" s="86" t="s">
        <v>1687</v>
      </c>
      <c r="BF39" s="89">
        <v>0</v>
      </c>
      <c r="BG39" s="88">
        <v>1024</v>
      </c>
      <c r="BH39" s="88">
        <f t="shared" si="72"/>
        <v>1024</v>
      </c>
      <c r="BI39" s="580"/>
      <c r="BJ39" s="581"/>
      <c r="BK39" s="582"/>
      <c r="BM39" s="109" t="s">
        <v>1687</v>
      </c>
      <c r="BN39" s="110">
        <v>0</v>
      </c>
      <c r="BO39" s="111">
        <v>1116</v>
      </c>
      <c r="BP39" s="111">
        <f t="shared" si="73"/>
        <v>1116</v>
      </c>
      <c r="BQ39" s="585"/>
      <c r="BR39" s="586"/>
      <c r="BS39" s="587"/>
      <c r="BU39" s="86" t="s">
        <v>1687</v>
      </c>
      <c r="BV39" s="89">
        <v>0</v>
      </c>
      <c r="BW39" s="88">
        <v>1196</v>
      </c>
      <c r="BX39" s="88">
        <f t="shared" si="74"/>
        <v>1196</v>
      </c>
      <c r="BY39" s="580"/>
      <c r="BZ39" s="581"/>
      <c r="CA39" s="582"/>
      <c r="CC39" s="180" t="s">
        <v>1804</v>
      </c>
      <c r="CD39" s="181">
        <f>SUM(CD5:CD38)</f>
        <v>243165</v>
      </c>
      <c r="CE39" s="182">
        <f>SUM(CE5:CE38)</f>
        <v>294114</v>
      </c>
      <c r="CF39" s="182">
        <f>SUM(CF11+CF18+CF22+CF30+CF38)</f>
        <v>537279</v>
      </c>
      <c r="CG39" s="638"/>
      <c r="CH39" s="639"/>
      <c r="CI39" s="640"/>
      <c r="CK39" s="180" t="s">
        <v>1804</v>
      </c>
      <c r="CL39" s="181">
        <f>SUM(CL5:CL38)</f>
        <v>323020</v>
      </c>
      <c r="CM39" s="182">
        <f>SUM(CM5:CM38)</f>
        <v>317592</v>
      </c>
      <c r="CN39" s="182">
        <f>SUM(CN11+CN18+CN22+CN30+CN38)</f>
        <v>640612</v>
      </c>
      <c r="CO39" s="638"/>
      <c r="CP39" s="639"/>
      <c r="CQ39" s="640"/>
      <c r="CS39" s="180" t="s">
        <v>1804</v>
      </c>
      <c r="CT39" s="181">
        <f>SUM(CT5:CT38)</f>
        <v>329402</v>
      </c>
      <c r="CU39" s="182">
        <f>SUM(CU5:CU38)</f>
        <v>342476</v>
      </c>
      <c r="CV39" s="182">
        <f>SUM(CV11+CV18+CV22+CV30+CV38)</f>
        <v>671878</v>
      </c>
      <c r="CW39" s="638"/>
      <c r="CX39" s="639"/>
      <c r="CY39" s="640"/>
      <c r="DA39" s="180" t="s">
        <v>1804</v>
      </c>
      <c r="DB39" s="181">
        <f>SUM(DB5:DB38)</f>
        <v>345878</v>
      </c>
      <c r="DC39" s="182">
        <f>SUM(DC5:DC38)</f>
        <v>386148</v>
      </c>
      <c r="DD39" s="182">
        <f>SUM(DD11+DD18+DD22+DD30+DD38)</f>
        <v>732026</v>
      </c>
      <c r="DE39" s="638"/>
      <c r="DF39" s="639"/>
      <c r="DG39" s="640"/>
      <c r="DJ39" s="180" t="s">
        <v>1804</v>
      </c>
      <c r="DK39" s="181">
        <f>SUM(DK5:DK38)</f>
        <v>353958</v>
      </c>
      <c r="DL39" s="182">
        <f>SUM(DL5:DL38)</f>
        <v>410025</v>
      </c>
      <c r="DM39" s="182">
        <f>SUM(DM11+DM18+DM22+DM30+DM38)</f>
        <v>763983</v>
      </c>
      <c r="DN39" s="638"/>
      <c r="DO39" s="639"/>
      <c r="DP39" s="640"/>
      <c r="DS39" s="180" t="s">
        <v>1804</v>
      </c>
      <c r="DT39" s="181">
        <f>SUM(DT5:DT38)</f>
        <v>364002</v>
      </c>
      <c r="DU39" s="182">
        <f>SUM(DU5:DU38)</f>
        <v>441726</v>
      </c>
      <c r="DV39" s="182">
        <f>SUM(DV11+DV18+DV22+DV30+DV38)</f>
        <v>805728</v>
      </c>
      <c r="DW39" s="638"/>
      <c r="DX39" s="639"/>
      <c r="DY39" s="640"/>
      <c r="EB39" s="180" t="s">
        <v>1804</v>
      </c>
      <c r="EC39" s="181">
        <f>SUM(EC5:EC38)</f>
        <v>364276</v>
      </c>
      <c r="ED39" s="182">
        <f>SUM(ED5:ED38)</f>
        <v>469581</v>
      </c>
      <c r="EE39" s="182">
        <f>SUM(EE11+EE18+EE22+EE30+EE38)</f>
        <v>833857</v>
      </c>
      <c r="EF39" s="638"/>
      <c r="EG39" s="639"/>
      <c r="EH39" s="640"/>
      <c r="EK39" s="180" t="s">
        <v>1804</v>
      </c>
      <c r="EL39" s="181">
        <f>SUM(EL5:EL38)</f>
        <v>369918</v>
      </c>
      <c r="EM39" s="182">
        <f>SUM(EM5:EM38)</f>
        <v>494151</v>
      </c>
      <c r="EN39" s="182">
        <f>SUM(EN11+EN18+EN22+EN30+EN38)</f>
        <v>864069</v>
      </c>
      <c r="EO39" s="638"/>
      <c r="EP39" s="639"/>
      <c r="EQ39" s="640"/>
      <c r="ES39" s="180" t="s">
        <v>1804</v>
      </c>
      <c r="ET39" s="181">
        <f>SUM(ET5:ET38)</f>
        <v>359219</v>
      </c>
      <c r="EU39" s="182">
        <f>SUM(EU5:EU38)</f>
        <v>511192</v>
      </c>
      <c r="EV39" s="182">
        <f>SUM(EV11+EV18+EV22+EV30+EV38)</f>
        <v>870411</v>
      </c>
      <c r="EW39" s="638"/>
      <c r="EX39" s="639"/>
      <c r="EY39" s="640"/>
      <c r="FA39" s="180" t="s">
        <v>1804</v>
      </c>
      <c r="FB39" s="181">
        <f>SUM(FB5:FB38)</f>
        <v>350791</v>
      </c>
      <c r="FC39" s="182">
        <f>SUM(FC5:FC38)</f>
        <v>568075</v>
      </c>
      <c r="FD39" s="182">
        <f>SUM(FD11+FD18+FD22+FD30+FD38)</f>
        <v>918866</v>
      </c>
      <c r="FE39" s="638"/>
      <c r="FF39" s="639"/>
      <c r="FG39" s="640"/>
      <c r="FI39" s="180" t="s">
        <v>1804</v>
      </c>
      <c r="FJ39" s="181">
        <f>SUM(FJ5:FJ38)</f>
        <v>355171</v>
      </c>
      <c r="FK39" s="182">
        <f>SUM(FK5:FK38)</f>
        <v>612373</v>
      </c>
      <c r="FL39" s="182">
        <f>SUM(FL11+FL18+FL22+FL30+FL38)</f>
        <v>967544</v>
      </c>
      <c r="FM39" s="638"/>
      <c r="FN39" s="639"/>
      <c r="FO39" s="640"/>
      <c r="FQ39" s="180" t="s">
        <v>1804</v>
      </c>
      <c r="FR39" s="181">
        <f>SUM(FR5:FR38)</f>
        <v>334637</v>
      </c>
      <c r="FS39" s="182">
        <f>SUM(FS5:FS38)</f>
        <v>684601</v>
      </c>
      <c r="FT39" s="182">
        <f>SUM(FT11+FT18+FT22+FT30+FT38)</f>
        <v>1019238</v>
      </c>
      <c r="FU39" s="638"/>
      <c r="FV39" s="639"/>
      <c r="FW39" s="640"/>
    </row>
    <row r="40" spans="1:179" ht="16" thickBot="1">
      <c r="A40" t="s">
        <v>1805</v>
      </c>
      <c r="B40" s="176">
        <v>201996</v>
      </c>
      <c r="D40" s="178">
        <f>B40-B39</f>
        <v>38545</v>
      </c>
      <c r="E40" s="179">
        <f>D40/B39</f>
        <v>0.23581990933062508</v>
      </c>
      <c r="BE40" s="559" t="s">
        <v>1686</v>
      </c>
      <c r="BF40" s="560"/>
      <c r="BG40" s="560"/>
      <c r="BH40" s="121">
        <f>SUM(BH33:BH39)</f>
        <v>65578</v>
      </c>
      <c r="BI40" s="568"/>
      <c r="BJ40" s="569"/>
      <c r="BK40" s="570"/>
      <c r="BM40" s="604" t="s">
        <v>1686</v>
      </c>
      <c r="BN40" s="605"/>
      <c r="BO40" s="605"/>
      <c r="BP40" s="121">
        <f>SUM(BP33:BP39)</f>
        <v>67025</v>
      </c>
      <c r="BQ40" s="588"/>
      <c r="BR40" s="589"/>
      <c r="BS40" s="590"/>
      <c r="BU40" s="559" t="s">
        <v>1686</v>
      </c>
      <c r="BV40" s="560"/>
      <c r="BW40" s="560"/>
      <c r="BX40" s="121">
        <f>SUM(BX33:BX39)</f>
        <v>68407</v>
      </c>
      <c r="BY40" s="568"/>
      <c r="BZ40" s="569"/>
      <c r="CA40" s="570"/>
      <c r="CC40" s="183" t="s">
        <v>1798</v>
      </c>
      <c r="CD40" s="115">
        <v>273412</v>
      </c>
      <c r="CE40" s="147">
        <v>32275</v>
      </c>
      <c r="CF40" s="147">
        <f>SUM(CD40:CE40)</f>
        <v>305687</v>
      </c>
      <c r="CG40" s="580"/>
      <c r="CH40" s="641"/>
      <c r="CI40" s="582"/>
      <c r="CK40" s="183" t="s">
        <v>1798</v>
      </c>
      <c r="CL40" s="115">
        <v>327790</v>
      </c>
      <c r="CM40" s="147">
        <v>41489</v>
      </c>
      <c r="CN40" s="147">
        <f>SUM(CL40:CM40)</f>
        <v>369279</v>
      </c>
      <c r="CO40" s="580"/>
      <c r="CP40" s="641"/>
      <c r="CQ40" s="582"/>
      <c r="CS40" s="183" t="s">
        <v>1798</v>
      </c>
      <c r="CT40" s="115">
        <v>370980</v>
      </c>
      <c r="CU40" s="147">
        <v>48687</v>
      </c>
      <c r="CV40" s="147">
        <f>SUM(CT40:CU40)</f>
        <v>419667</v>
      </c>
      <c r="CW40" s="580"/>
      <c r="CX40" s="641"/>
      <c r="CY40" s="582"/>
      <c r="DA40" s="183" t="s">
        <v>1798</v>
      </c>
      <c r="DB40" s="115">
        <v>394755</v>
      </c>
      <c r="DC40" s="147">
        <v>69294</v>
      </c>
      <c r="DD40" s="147">
        <f>SUM(DB40:DC40)</f>
        <v>464049</v>
      </c>
      <c r="DE40" s="580"/>
      <c r="DF40" s="641"/>
      <c r="DG40" s="582"/>
      <c r="DJ40" s="183" t="s">
        <v>1798</v>
      </c>
      <c r="DK40" s="115">
        <v>404469</v>
      </c>
      <c r="DL40" s="147">
        <v>70528</v>
      </c>
      <c r="DM40" s="147">
        <f>SUM(DK40:DL40)</f>
        <v>474997</v>
      </c>
      <c r="DN40" s="580"/>
      <c r="DO40" s="641"/>
      <c r="DP40" s="582"/>
      <c r="DS40" s="183" t="s">
        <v>1798</v>
      </c>
      <c r="DT40" s="115">
        <v>416774</v>
      </c>
      <c r="DU40" s="147">
        <v>77596</v>
      </c>
      <c r="DV40" s="147">
        <f>SUM(DT40:DU40)</f>
        <v>494370</v>
      </c>
      <c r="DW40" s="580"/>
      <c r="DX40" s="641"/>
      <c r="DY40" s="582"/>
      <c r="EB40" s="183" t="s">
        <v>1798</v>
      </c>
      <c r="EC40" s="115">
        <v>429440</v>
      </c>
      <c r="ED40" s="147">
        <v>88550</v>
      </c>
      <c r="EE40" s="147">
        <f>SUM(EC40:ED40)</f>
        <v>517990</v>
      </c>
      <c r="EF40" s="580"/>
      <c r="EG40" s="641"/>
      <c r="EH40" s="582"/>
      <c r="EK40" s="183" t="s">
        <v>1798</v>
      </c>
      <c r="EL40" s="115">
        <v>438242</v>
      </c>
      <c r="EM40" s="147">
        <f>95927+1842</f>
        <v>97769</v>
      </c>
      <c r="EN40" s="147">
        <f>SUM(EL40:EM40)</f>
        <v>536011</v>
      </c>
      <c r="EO40" s="580"/>
      <c r="EP40" s="641"/>
      <c r="EQ40" s="582"/>
      <c r="ES40" s="183" t="s">
        <v>1798</v>
      </c>
      <c r="ET40" s="115">
        <f>8078+436595</f>
        <v>444673</v>
      </c>
      <c r="EU40" s="147">
        <f>1389+100866+14468+34424</f>
        <v>151147</v>
      </c>
      <c r="EV40" s="147">
        <f>SUM(ET40:EU40)</f>
        <v>595820</v>
      </c>
      <c r="EW40" s="580"/>
      <c r="EX40" s="641"/>
      <c r="EY40" s="582"/>
      <c r="FA40" s="183" t="s">
        <v>1798</v>
      </c>
      <c r="FB40" s="115">
        <f>423716+23557</f>
        <v>447273</v>
      </c>
      <c r="FC40" s="147">
        <f>1975+89428+41426+51960</f>
        <v>184789</v>
      </c>
      <c r="FD40" s="147">
        <f>SUM(FB40:FC40)</f>
        <v>632062</v>
      </c>
      <c r="FE40" s="580"/>
      <c r="FF40" s="641"/>
      <c r="FG40" s="582"/>
      <c r="FI40" s="183" t="s">
        <v>1798</v>
      </c>
      <c r="FJ40" s="115">
        <v>449898</v>
      </c>
      <c r="FK40" s="147">
        <v>214804</v>
      </c>
      <c r="FL40" s="147">
        <f>SUM(FJ40:FK40)</f>
        <v>664702</v>
      </c>
      <c r="FM40" s="580"/>
      <c r="FN40" s="641"/>
      <c r="FO40" s="582"/>
      <c r="FQ40" s="183" t="s">
        <v>1798</v>
      </c>
      <c r="FR40" s="115">
        <f>[1]actrpt!B153+[1]actrpt!B294</f>
        <v>464320</v>
      </c>
      <c r="FS40" s="147">
        <f>[1]actrpt!B69+[1]actrpt!B111+[1]actrpt!B196+[1]actrpt!B245</f>
        <v>258813</v>
      </c>
      <c r="FT40" s="147">
        <f>SUM(FR40:FS40)</f>
        <v>723133</v>
      </c>
      <c r="FU40" s="580"/>
      <c r="FV40" s="641"/>
      <c r="FW40" s="582"/>
    </row>
    <row r="41" spans="1:179" ht="17" thickTop="1" thickBot="1">
      <c r="A41" t="s">
        <v>1806</v>
      </c>
      <c r="B41" s="176">
        <v>278532</v>
      </c>
      <c r="D41" s="178">
        <f>B41-B40</f>
        <v>76536</v>
      </c>
      <c r="E41" s="179">
        <f>D41/B40</f>
        <v>0.37889859205132775</v>
      </c>
      <c r="BE41" s="180" t="s">
        <v>1804</v>
      </c>
      <c r="BF41" s="181">
        <f>SUM(BF5:BF40)</f>
        <v>33770</v>
      </c>
      <c r="BG41" s="182">
        <f>SUM(BG5:BG40)</f>
        <v>238880</v>
      </c>
      <c r="BH41" s="182">
        <f>SUM(BH12+BH19+BH23+BH31+BH40)</f>
        <v>272650</v>
      </c>
      <c r="BI41" s="638"/>
      <c r="BJ41" s="639"/>
      <c r="BK41" s="640"/>
      <c r="BM41" s="180" t="s">
        <v>1804</v>
      </c>
      <c r="BN41" s="184">
        <f>SUM(BN5:BN40)</f>
        <v>38151</v>
      </c>
      <c r="BO41" s="185">
        <f>SUM(BO5:BO40)</f>
        <v>257124</v>
      </c>
      <c r="BP41" s="185">
        <f>SUM(BP12+BP19+BP23+BP31+BP40)</f>
        <v>295275</v>
      </c>
      <c r="BQ41" s="645"/>
      <c r="BR41" s="646"/>
      <c r="BS41" s="647"/>
      <c r="BU41" s="180" t="s">
        <v>1804</v>
      </c>
      <c r="BV41" s="181">
        <f>SUM(BV5:BV40)</f>
        <v>44436</v>
      </c>
      <c r="BW41" s="182">
        <f>SUM(BW5:BW40)</f>
        <v>275371</v>
      </c>
      <c r="BX41" s="182">
        <f>SUM(BX12+BX19+BX23+BX31+BX40)</f>
        <v>319807</v>
      </c>
      <c r="BY41" s="638"/>
      <c r="BZ41" s="639"/>
      <c r="CA41" s="640"/>
      <c r="CC41" s="186" t="s">
        <v>1799</v>
      </c>
      <c r="CD41" s="174">
        <f>SUM(CD39+CD40)</f>
        <v>516577</v>
      </c>
      <c r="CE41" s="174">
        <f>SUM(CE39+CE40)</f>
        <v>326389</v>
      </c>
      <c r="CF41" s="173">
        <f>SUM(CD41:CE41)</f>
        <v>842966</v>
      </c>
      <c r="CG41" s="642"/>
      <c r="CH41" s="643"/>
      <c r="CI41" s="644"/>
      <c r="CK41" s="186" t="s">
        <v>1799</v>
      </c>
      <c r="CL41" s="174">
        <f>SUM(CL39+CL40)</f>
        <v>650810</v>
      </c>
      <c r="CM41" s="174">
        <f>SUM(CM39+CM40)</f>
        <v>359081</v>
      </c>
      <c r="CN41" s="173">
        <f>SUM(CL41:CM41)</f>
        <v>1009891</v>
      </c>
      <c r="CO41" s="642"/>
      <c r="CP41" s="643"/>
      <c r="CQ41" s="644"/>
      <c r="CS41" s="186" t="s">
        <v>1799</v>
      </c>
      <c r="CT41" s="174">
        <f>SUM(CT39+CT40)</f>
        <v>700382</v>
      </c>
      <c r="CU41" s="174">
        <f>SUM(CU39+CU40)</f>
        <v>391163</v>
      </c>
      <c r="CV41" s="173">
        <f>SUM(CT41:CU41)</f>
        <v>1091545</v>
      </c>
      <c r="CW41" s="642"/>
      <c r="CX41" s="643"/>
      <c r="CY41" s="644"/>
      <c r="DA41" s="186" t="s">
        <v>1799</v>
      </c>
      <c r="DB41" s="174">
        <f>SUM(DB39+DB40)</f>
        <v>740633</v>
      </c>
      <c r="DC41" s="174">
        <f>SUM(DC39+DC40)</f>
        <v>455442</v>
      </c>
      <c r="DD41" s="173">
        <f>SUM(DB41:DC41)</f>
        <v>1196075</v>
      </c>
      <c r="DE41" s="642"/>
      <c r="DF41" s="643"/>
      <c r="DG41" s="644"/>
      <c r="DJ41" s="186" t="s">
        <v>1799</v>
      </c>
      <c r="DK41" s="174">
        <f>SUM(DK39+DK40)</f>
        <v>758427</v>
      </c>
      <c r="DL41" s="174">
        <f>SUM(DL39+DL40)</f>
        <v>480553</v>
      </c>
      <c r="DM41" s="173">
        <f>SUM(DK41:DL41)</f>
        <v>1238980</v>
      </c>
      <c r="DN41" s="642"/>
      <c r="DO41" s="643"/>
      <c r="DP41" s="644"/>
      <c r="DS41" s="186" t="s">
        <v>1799</v>
      </c>
      <c r="DT41" s="174">
        <f>SUM(DT39+DT40)</f>
        <v>780776</v>
      </c>
      <c r="DU41" s="174">
        <f>SUM(DU39+DU40)</f>
        <v>519322</v>
      </c>
      <c r="DV41" s="173">
        <f>SUM(DT41:DU41)</f>
        <v>1300098</v>
      </c>
      <c r="DW41" s="642"/>
      <c r="DX41" s="643"/>
      <c r="DY41" s="644"/>
      <c r="EB41" s="186" t="s">
        <v>1799</v>
      </c>
      <c r="EC41" s="174">
        <f>SUM(EC39+EC40)</f>
        <v>793716</v>
      </c>
      <c r="ED41" s="174">
        <f>SUM(ED39+ED40)</f>
        <v>558131</v>
      </c>
      <c r="EE41" s="173">
        <f>SUM(EC41:ED41)</f>
        <v>1351847</v>
      </c>
      <c r="EF41" s="642"/>
      <c r="EG41" s="643"/>
      <c r="EH41" s="644"/>
      <c r="EK41" s="186" t="s">
        <v>1799</v>
      </c>
      <c r="EL41" s="174">
        <f>SUM(EL39+EL40)</f>
        <v>808160</v>
      </c>
      <c r="EM41" s="174">
        <f>SUM(EM39+EM40)</f>
        <v>591920</v>
      </c>
      <c r="EN41" s="173">
        <f>SUM(EL41:EM41)</f>
        <v>1400080</v>
      </c>
      <c r="EO41" s="642"/>
      <c r="EP41" s="643"/>
      <c r="EQ41" s="644"/>
      <c r="ES41" s="186" t="s">
        <v>1799</v>
      </c>
      <c r="ET41" s="174">
        <f>SUM(ET39+ET40)</f>
        <v>803892</v>
      </c>
      <c r="EU41" s="174">
        <f>SUM(EU39+EU40)</f>
        <v>662339</v>
      </c>
      <c r="EV41" s="173">
        <f>SUM(ET41:EU41)</f>
        <v>1466231</v>
      </c>
      <c r="EW41" s="642"/>
      <c r="EX41" s="643"/>
      <c r="EY41" s="644"/>
      <c r="FA41" s="186" t="s">
        <v>1799</v>
      </c>
      <c r="FB41" s="174">
        <f>SUM(FB39+FB40)</f>
        <v>798064</v>
      </c>
      <c r="FC41" s="174">
        <f>SUM(FC39+FC40)</f>
        <v>752864</v>
      </c>
      <c r="FD41" s="173">
        <f>SUM(FB41:FC41)</f>
        <v>1550928</v>
      </c>
      <c r="FE41" s="642"/>
      <c r="FF41" s="643"/>
      <c r="FG41" s="644"/>
      <c r="FI41" s="186" t="s">
        <v>1799</v>
      </c>
      <c r="FJ41" s="174">
        <f>SUM(FJ39+FJ40)</f>
        <v>805069</v>
      </c>
      <c r="FK41" s="174">
        <f>SUM(FK39+FK40)</f>
        <v>827177</v>
      </c>
      <c r="FL41" s="173">
        <f>SUM(FJ41:FK41)</f>
        <v>1632246</v>
      </c>
      <c r="FM41" s="642"/>
      <c r="FN41" s="643"/>
      <c r="FO41" s="644"/>
      <c r="FQ41" s="186" t="s">
        <v>1799</v>
      </c>
      <c r="FR41" s="174">
        <f>SUM(FR39+FR40)</f>
        <v>798957</v>
      </c>
      <c r="FS41" s="174">
        <f>SUM(FS39+FS40)</f>
        <v>943414</v>
      </c>
      <c r="FT41" s="173">
        <f>SUM(FR41:FS41)</f>
        <v>1742371</v>
      </c>
      <c r="FU41" s="642"/>
      <c r="FV41" s="643"/>
      <c r="FW41" s="644"/>
    </row>
    <row r="42" spans="1:179">
      <c r="BE42" s="183" t="s">
        <v>1798</v>
      </c>
      <c r="BF42" s="115">
        <v>46190</v>
      </c>
      <c r="BG42" s="147">
        <v>16641</v>
      </c>
      <c r="BH42" s="147">
        <f>SUM(BF42:BG42)</f>
        <v>62831</v>
      </c>
      <c r="BI42" s="580"/>
      <c r="BJ42" s="641"/>
      <c r="BK42" s="582"/>
      <c r="BM42" s="183" t="s">
        <v>1798</v>
      </c>
      <c r="BN42" s="115">
        <v>52033</v>
      </c>
      <c r="BO42" s="147">
        <v>20848</v>
      </c>
      <c r="BP42" s="147">
        <f>SUM(BN42:BO42)</f>
        <v>72881</v>
      </c>
      <c r="BQ42" s="585"/>
      <c r="BR42" s="648"/>
      <c r="BS42" s="587"/>
      <c r="BU42" s="183" t="s">
        <v>1798</v>
      </c>
      <c r="BV42" s="115">
        <v>60733</v>
      </c>
      <c r="BW42" s="147">
        <v>24660</v>
      </c>
      <c r="BX42" s="147">
        <f>SUM(BV42:BW42)</f>
        <v>85393</v>
      </c>
      <c r="BY42" s="580"/>
      <c r="BZ42" s="641"/>
      <c r="CA42" s="582"/>
    </row>
    <row r="43" spans="1:179">
      <c r="BE43" s="186" t="s">
        <v>1799</v>
      </c>
      <c r="BF43" s="174">
        <f>SUM(BF41+BF42)</f>
        <v>79960</v>
      </c>
      <c r="BG43" s="174">
        <f>SUM(BG41+BG42)</f>
        <v>255521</v>
      </c>
      <c r="BH43" s="173">
        <f>SUM(BF43:BG43)</f>
        <v>335481</v>
      </c>
      <c r="BI43" s="642"/>
      <c r="BJ43" s="643"/>
      <c r="BK43" s="644"/>
      <c r="BM43" s="186" t="s">
        <v>1799</v>
      </c>
      <c r="BN43" s="173">
        <f>SUM(BN41+BN42)</f>
        <v>90184</v>
      </c>
      <c r="BO43" s="173">
        <f>SUM(BO41+BO42)</f>
        <v>277972</v>
      </c>
      <c r="BP43" s="173">
        <f>SUM(BN43:BO43)</f>
        <v>368156</v>
      </c>
      <c r="BQ43" s="649"/>
      <c r="BR43" s="650"/>
      <c r="BS43" s="651"/>
      <c r="BU43" s="186" t="s">
        <v>1799</v>
      </c>
      <c r="BV43" s="174">
        <f>SUM(BV41+BV42)</f>
        <v>105169</v>
      </c>
      <c r="BW43" s="174">
        <f>SUM(BW41+BW42)</f>
        <v>300031</v>
      </c>
      <c r="BX43" s="173">
        <f>SUM(BV43:BW43)</f>
        <v>405200</v>
      </c>
      <c r="BY43" s="642"/>
      <c r="BZ43" s="643"/>
      <c r="CA43" s="644"/>
    </row>
    <row r="44" spans="1:179">
      <c r="EN44">
        <f>EN40-EE40</f>
        <v>18021</v>
      </c>
    </row>
  </sheetData>
  <mergeCells count="350">
    <mergeCell ref="BY41:CA43"/>
    <mergeCell ref="EO39:EQ41"/>
    <mergeCell ref="EW39:EY41"/>
    <mergeCell ref="FE39:FG41"/>
    <mergeCell ref="FM39:FO41"/>
    <mergeCell ref="FU39:FW41"/>
    <mergeCell ref="BE40:BG40"/>
    <mergeCell ref="BM40:BO40"/>
    <mergeCell ref="BU40:BW40"/>
    <mergeCell ref="BI41:BK43"/>
    <mergeCell ref="BQ41:BS43"/>
    <mergeCell ref="FA38:FC38"/>
    <mergeCell ref="FI38:FK38"/>
    <mergeCell ref="FQ38:FS38"/>
    <mergeCell ref="CG39:CI41"/>
    <mergeCell ref="CO39:CQ41"/>
    <mergeCell ref="CW39:CY41"/>
    <mergeCell ref="DE39:DG41"/>
    <mergeCell ref="DN39:DP41"/>
    <mergeCell ref="DW39:DY41"/>
    <mergeCell ref="EF39:EH41"/>
    <mergeCell ref="FM37:FO38"/>
    <mergeCell ref="DN32:DP36"/>
    <mergeCell ref="DW32:DY36"/>
    <mergeCell ref="EF32:EH36"/>
    <mergeCell ref="EO32:EQ36"/>
    <mergeCell ref="EW32:EY36"/>
    <mergeCell ref="FU37:FW38"/>
    <mergeCell ref="BI38:BK40"/>
    <mergeCell ref="BQ38:BS40"/>
    <mergeCell ref="BY38:CA40"/>
    <mergeCell ref="CC38:CE38"/>
    <mergeCell ref="CK38:CM38"/>
    <mergeCell ref="CS38:CU38"/>
    <mergeCell ref="DA38:DC38"/>
    <mergeCell ref="DJ38:DL38"/>
    <mergeCell ref="DN37:DP38"/>
    <mergeCell ref="DW37:DY38"/>
    <mergeCell ref="EF37:EH38"/>
    <mergeCell ref="EO37:EQ38"/>
    <mergeCell ref="EW37:EY38"/>
    <mergeCell ref="FE37:FG38"/>
    <mergeCell ref="DS38:DU38"/>
    <mergeCell ref="EB38:ED38"/>
    <mergeCell ref="EK38:EM38"/>
    <mergeCell ref="ES38:EU38"/>
    <mergeCell ref="FQ31:FW31"/>
    <mergeCell ref="BE32:BK32"/>
    <mergeCell ref="BM32:BS32"/>
    <mergeCell ref="BU32:CA32"/>
    <mergeCell ref="CG32:CI36"/>
    <mergeCell ref="CO32:CQ36"/>
    <mergeCell ref="CW32:CY36"/>
    <mergeCell ref="CS31:CY31"/>
    <mergeCell ref="DA31:DG31"/>
    <mergeCell ref="DJ31:DP31"/>
    <mergeCell ref="DS31:DY31"/>
    <mergeCell ref="EB31:EH31"/>
    <mergeCell ref="EK31:EQ31"/>
    <mergeCell ref="FE32:FG36"/>
    <mergeCell ref="FM32:FO36"/>
    <mergeCell ref="FU32:FW36"/>
    <mergeCell ref="BI33:BK37"/>
    <mergeCell ref="BQ33:BS37"/>
    <mergeCell ref="BY33:CA37"/>
    <mergeCell ref="CG37:CI38"/>
    <mergeCell ref="CO37:CQ38"/>
    <mergeCell ref="CW37:CY38"/>
    <mergeCell ref="DE37:DG38"/>
    <mergeCell ref="DE32:DG36"/>
    <mergeCell ref="DA30:DC30"/>
    <mergeCell ref="DJ30:DL30"/>
    <mergeCell ref="DS30:DU30"/>
    <mergeCell ref="EB30:ED30"/>
    <mergeCell ref="EK30:EM30"/>
    <mergeCell ref="EW29:EY30"/>
    <mergeCell ref="FE29:FG30"/>
    <mergeCell ref="FM29:FO30"/>
    <mergeCell ref="ES31:EY31"/>
    <mergeCell ref="FA31:FG31"/>
    <mergeCell ref="FI31:FO31"/>
    <mergeCell ref="FU29:FW30"/>
    <mergeCell ref="AF30:AH30"/>
    <mergeCell ref="AK30:AM30"/>
    <mergeCell ref="AP30:AR30"/>
    <mergeCell ref="AW30:AY30"/>
    <mergeCell ref="BI30:BK31"/>
    <mergeCell ref="BQ30:BS31"/>
    <mergeCell ref="CW29:CY30"/>
    <mergeCell ref="DE29:DG30"/>
    <mergeCell ref="DN29:DP30"/>
    <mergeCell ref="DW29:DY30"/>
    <mergeCell ref="EF29:EH30"/>
    <mergeCell ref="EO29:EQ30"/>
    <mergeCell ref="ES30:EU30"/>
    <mergeCell ref="FA30:FC30"/>
    <mergeCell ref="FI30:FK30"/>
    <mergeCell ref="FQ30:FS30"/>
    <mergeCell ref="AP31:AS31"/>
    <mergeCell ref="AW31:AZ31"/>
    <mergeCell ref="BE31:BG31"/>
    <mergeCell ref="BM31:BO31"/>
    <mergeCell ref="BU31:BW31"/>
    <mergeCell ref="CC31:CI31"/>
    <mergeCell ref="CS30:CU30"/>
    <mergeCell ref="BE24:BK24"/>
    <mergeCell ref="BM24:BS24"/>
    <mergeCell ref="BU24:CA24"/>
    <mergeCell ref="BA29:BC33"/>
    <mergeCell ref="CG29:CI30"/>
    <mergeCell ref="CO29:CQ30"/>
    <mergeCell ref="BY30:CA31"/>
    <mergeCell ref="CC30:CE30"/>
    <mergeCell ref="CK30:CM30"/>
    <mergeCell ref="CK31:CQ31"/>
    <mergeCell ref="EB23:EH23"/>
    <mergeCell ref="EK23:EQ23"/>
    <mergeCell ref="ES23:EY23"/>
    <mergeCell ref="FA23:FG23"/>
    <mergeCell ref="FI23:FO23"/>
    <mergeCell ref="FQ23:FW23"/>
    <mergeCell ref="CC23:CI23"/>
    <mergeCell ref="CK23:CQ23"/>
    <mergeCell ref="CS23:CY23"/>
    <mergeCell ref="DA23:DG23"/>
    <mergeCell ref="DJ23:DP23"/>
    <mergeCell ref="DS23:DY23"/>
    <mergeCell ref="FQ22:FS22"/>
    <mergeCell ref="FU22:FW22"/>
    <mergeCell ref="AP23:AS23"/>
    <mergeCell ref="AW23:AZ23"/>
    <mergeCell ref="BE23:BG23"/>
    <mergeCell ref="BI23:BK23"/>
    <mergeCell ref="BM23:BO23"/>
    <mergeCell ref="BQ23:BS23"/>
    <mergeCell ref="BU23:BW23"/>
    <mergeCell ref="BY23:CA23"/>
    <mergeCell ref="ES22:EU22"/>
    <mergeCell ref="EW22:EY22"/>
    <mergeCell ref="FA22:FC22"/>
    <mergeCell ref="FE22:FG22"/>
    <mergeCell ref="FI22:FK22"/>
    <mergeCell ref="FM22:FO22"/>
    <mergeCell ref="DS22:DU22"/>
    <mergeCell ref="DW22:DY22"/>
    <mergeCell ref="EB22:ED22"/>
    <mergeCell ref="EF22:EH22"/>
    <mergeCell ref="EK22:EM22"/>
    <mergeCell ref="EO22:EQ22"/>
    <mergeCell ref="CS22:CU22"/>
    <mergeCell ref="CW22:CY22"/>
    <mergeCell ref="DA22:DC22"/>
    <mergeCell ref="DE22:DG22"/>
    <mergeCell ref="DJ22:DL22"/>
    <mergeCell ref="DN22:DP22"/>
    <mergeCell ref="AP22:AS22"/>
    <mergeCell ref="AW22:BC22"/>
    <mergeCell ref="CC22:CE22"/>
    <mergeCell ref="CG22:CI22"/>
    <mergeCell ref="CK22:CM22"/>
    <mergeCell ref="CO22:CQ22"/>
    <mergeCell ref="BE20:BK20"/>
    <mergeCell ref="BM20:BS20"/>
    <mergeCell ref="BU20:CA20"/>
    <mergeCell ref="AF21:AH21"/>
    <mergeCell ref="AK21:AM21"/>
    <mergeCell ref="AP21:AR21"/>
    <mergeCell ref="AW21:AY21"/>
    <mergeCell ref="EB19:EH19"/>
    <mergeCell ref="EK19:EQ19"/>
    <mergeCell ref="BE19:BG19"/>
    <mergeCell ref="BI19:BK19"/>
    <mergeCell ref="BM19:BO19"/>
    <mergeCell ref="BQ19:BS19"/>
    <mergeCell ref="BU19:BW19"/>
    <mergeCell ref="BY19:CA19"/>
    <mergeCell ref="ES19:EY19"/>
    <mergeCell ref="FA19:FG19"/>
    <mergeCell ref="FI19:FO19"/>
    <mergeCell ref="FQ19:FW19"/>
    <mergeCell ref="CC19:CI19"/>
    <mergeCell ref="CK19:CQ19"/>
    <mergeCell ref="CS19:CY19"/>
    <mergeCell ref="DA19:DG19"/>
    <mergeCell ref="DJ19:DP19"/>
    <mergeCell ref="DS19:DY19"/>
    <mergeCell ref="FA18:FC18"/>
    <mergeCell ref="FE18:FG18"/>
    <mergeCell ref="FI18:FK18"/>
    <mergeCell ref="FM18:FO18"/>
    <mergeCell ref="FQ18:FS18"/>
    <mergeCell ref="FU18:FW18"/>
    <mergeCell ref="EB18:ED18"/>
    <mergeCell ref="EF18:EH18"/>
    <mergeCell ref="EK18:EM18"/>
    <mergeCell ref="EO18:EQ18"/>
    <mergeCell ref="ES18:EU18"/>
    <mergeCell ref="EW18:EY18"/>
    <mergeCell ref="DA18:DC18"/>
    <mergeCell ref="DE18:DG18"/>
    <mergeCell ref="DJ18:DL18"/>
    <mergeCell ref="DN18:DP18"/>
    <mergeCell ref="DS18:DU18"/>
    <mergeCell ref="DW18:DY18"/>
    <mergeCell ref="CC18:CE18"/>
    <mergeCell ref="CG18:CI18"/>
    <mergeCell ref="CK18:CM18"/>
    <mergeCell ref="CO18:CQ18"/>
    <mergeCell ref="CS18:CU18"/>
    <mergeCell ref="CW18:CY18"/>
    <mergeCell ref="FQ12:FW12"/>
    <mergeCell ref="AK13:AN13"/>
    <mergeCell ref="AP13:AS13"/>
    <mergeCell ref="AW13:AZ13"/>
    <mergeCell ref="BE13:BK13"/>
    <mergeCell ref="BM13:BS13"/>
    <mergeCell ref="BU13:CA13"/>
    <mergeCell ref="CS12:CY12"/>
    <mergeCell ref="DA12:DG12"/>
    <mergeCell ref="DJ12:DP12"/>
    <mergeCell ref="DS12:DY12"/>
    <mergeCell ref="EB12:EH12"/>
    <mergeCell ref="EK12:EQ12"/>
    <mergeCell ref="AK12:AN12"/>
    <mergeCell ref="AP12:AS12"/>
    <mergeCell ref="AW12:AZ12"/>
    <mergeCell ref="BE12:BG12"/>
    <mergeCell ref="BM12:BO12"/>
    <mergeCell ref="BU12:BW12"/>
    <mergeCell ref="CC12:CI12"/>
    <mergeCell ref="CK12:CQ12"/>
    <mergeCell ref="DS11:DU11"/>
    <mergeCell ref="EB11:ED11"/>
    <mergeCell ref="EK11:EM11"/>
    <mergeCell ref="ES11:EU11"/>
    <mergeCell ref="FA11:FC11"/>
    <mergeCell ref="FM10:FO11"/>
    <mergeCell ref="ES12:EY12"/>
    <mergeCell ref="FA12:FG12"/>
    <mergeCell ref="FI12:FO12"/>
    <mergeCell ref="DJ11:DL11"/>
    <mergeCell ref="AF11:AH11"/>
    <mergeCell ref="AK11:AM11"/>
    <mergeCell ref="AP11:AR11"/>
    <mergeCell ref="AW11:AY11"/>
    <mergeCell ref="CC11:CE11"/>
    <mergeCell ref="CK11:CM11"/>
    <mergeCell ref="CS11:CU11"/>
    <mergeCell ref="DA11:DC11"/>
    <mergeCell ref="DN10:DP11"/>
    <mergeCell ref="FI4:FO4"/>
    <mergeCell ref="FQ4:FW4"/>
    <mergeCell ref="BA9:BC21"/>
    <mergeCell ref="BI10:BK12"/>
    <mergeCell ref="BQ10:BS12"/>
    <mergeCell ref="BY10:CA12"/>
    <mergeCell ref="CG10:CI11"/>
    <mergeCell ref="CO10:CQ11"/>
    <mergeCell ref="CW10:CY11"/>
    <mergeCell ref="DE10:DG11"/>
    <mergeCell ref="DJ4:DP4"/>
    <mergeCell ref="DS4:DY4"/>
    <mergeCell ref="EB4:EH4"/>
    <mergeCell ref="EK4:EQ4"/>
    <mergeCell ref="ES4:EY4"/>
    <mergeCell ref="FA4:FG4"/>
    <mergeCell ref="FU10:FW11"/>
    <mergeCell ref="DW10:DY11"/>
    <mergeCell ref="EF10:EH11"/>
    <mergeCell ref="EO10:EQ11"/>
    <mergeCell ref="EW10:EY11"/>
    <mergeCell ref="FE10:FG11"/>
    <mergeCell ref="FI11:FK11"/>
    <mergeCell ref="FQ11:FS11"/>
    <mergeCell ref="FU2:FU3"/>
    <mergeCell ref="FV2:FV3"/>
    <mergeCell ref="FW2:FW3"/>
    <mergeCell ref="BE4:BK4"/>
    <mergeCell ref="BM4:BS4"/>
    <mergeCell ref="BU4:CA4"/>
    <mergeCell ref="CC4:CI4"/>
    <mergeCell ref="CK4:CQ4"/>
    <mergeCell ref="CS4:CY4"/>
    <mergeCell ref="DA4:DG4"/>
    <mergeCell ref="FG2:FG3"/>
    <mergeCell ref="FJ2:FL2"/>
    <mergeCell ref="FM2:FM3"/>
    <mergeCell ref="FN2:FN3"/>
    <mergeCell ref="FO2:FO3"/>
    <mergeCell ref="FR2:FT2"/>
    <mergeCell ref="EW2:EW3"/>
    <mergeCell ref="EX2:EX3"/>
    <mergeCell ref="EY2:EY3"/>
    <mergeCell ref="FB2:FD2"/>
    <mergeCell ref="FE2:FE3"/>
    <mergeCell ref="FF2:FF3"/>
    <mergeCell ref="EH2:EH3"/>
    <mergeCell ref="EL2:EN2"/>
    <mergeCell ref="EO2:EO3"/>
    <mergeCell ref="EP2:EP3"/>
    <mergeCell ref="EQ2:EQ3"/>
    <mergeCell ref="ET2:EV2"/>
    <mergeCell ref="DW2:DW3"/>
    <mergeCell ref="DX2:DX3"/>
    <mergeCell ref="DY2:DY3"/>
    <mergeCell ref="EC2:EE2"/>
    <mergeCell ref="EF2:EF3"/>
    <mergeCell ref="EG2:EG3"/>
    <mergeCell ref="DG2:DG3"/>
    <mergeCell ref="DK2:DM2"/>
    <mergeCell ref="DN2:DN3"/>
    <mergeCell ref="DO2:DO3"/>
    <mergeCell ref="DP2:DP3"/>
    <mergeCell ref="DT2:DV2"/>
    <mergeCell ref="CW2:CW3"/>
    <mergeCell ref="CX2:CX3"/>
    <mergeCell ref="CY2:CY3"/>
    <mergeCell ref="DB2:DD2"/>
    <mergeCell ref="DE2:DE3"/>
    <mergeCell ref="DF2:DF3"/>
    <mergeCell ref="CI2:CI3"/>
    <mergeCell ref="CL2:CN2"/>
    <mergeCell ref="CO2:CO3"/>
    <mergeCell ref="CP2:CP3"/>
    <mergeCell ref="CQ2:CQ3"/>
    <mergeCell ref="CT2:CV2"/>
    <mergeCell ref="BY2:BY3"/>
    <mergeCell ref="BZ2:BZ3"/>
    <mergeCell ref="CA2:CA3"/>
    <mergeCell ref="CD2:CF2"/>
    <mergeCell ref="CG2:CG3"/>
    <mergeCell ref="CH2:CH3"/>
    <mergeCell ref="BR2:BR3"/>
    <mergeCell ref="BS2:BS3"/>
    <mergeCell ref="BV2:BX2"/>
    <mergeCell ref="BA2:BA3"/>
    <mergeCell ref="BB2:BB3"/>
    <mergeCell ref="BC2:BC3"/>
    <mergeCell ref="BF2:BH2"/>
    <mergeCell ref="BI2:BI3"/>
    <mergeCell ref="BJ2:BJ3"/>
    <mergeCell ref="AG2:AI2"/>
    <mergeCell ref="AL2:AN2"/>
    <mergeCell ref="AQ2:AS2"/>
    <mergeCell ref="AT2:AT3"/>
    <mergeCell ref="AU2:AU3"/>
    <mergeCell ref="AX2:AZ2"/>
    <mergeCell ref="BK2:BK3"/>
    <mergeCell ref="BN2:BP2"/>
    <mergeCell ref="BQ2:BQ3"/>
  </mergeCells>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4"/>
  <sheetViews>
    <sheetView workbookViewId="0">
      <selection activeCell="I30" sqref="I30"/>
    </sheetView>
  </sheetViews>
  <sheetFormatPr baseColWidth="10" defaultColWidth="8.83203125" defaultRowHeight="14" x14ac:dyDescent="0"/>
  <cols>
    <col min="1" max="1" width="13.1640625" bestFit="1" customWidth="1"/>
    <col min="2" max="2" width="11.5" bestFit="1" customWidth="1"/>
    <col min="3" max="5" width="9.33203125" bestFit="1" customWidth="1"/>
    <col min="6" max="6" width="11.5" bestFit="1" customWidth="1"/>
    <col min="7" max="7" width="9.33203125" bestFit="1" customWidth="1"/>
    <col min="8" max="8" width="13.1640625" bestFit="1" customWidth="1"/>
    <col min="9" max="9" width="13.1640625" customWidth="1"/>
    <col min="10" max="10" width="14.83203125" customWidth="1"/>
    <col min="11" max="11" width="10.6640625" customWidth="1"/>
    <col min="14" max="14" width="22.5" customWidth="1"/>
    <col min="18" max="18" width="16.1640625" customWidth="1"/>
    <col min="24" max="24" width="27.1640625" customWidth="1"/>
  </cols>
  <sheetData>
    <row r="1" spans="1:17" ht="15">
      <c r="C1" s="187" t="s">
        <v>1807</v>
      </c>
    </row>
    <row r="2" spans="1:17">
      <c r="A2" s="188"/>
      <c r="B2" s="189" t="s">
        <v>1637</v>
      </c>
      <c r="C2" s="189" t="s">
        <v>1808</v>
      </c>
      <c r="D2" s="189" t="s">
        <v>1733</v>
      </c>
      <c r="E2" s="189" t="s">
        <v>1751</v>
      </c>
      <c r="F2" s="189" t="s">
        <v>1809</v>
      </c>
      <c r="G2" s="190" t="s">
        <v>1810</v>
      </c>
      <c r="H2" s="189" t="s">
        <v>1811</v>
      </c>
      <c r="I2" s="191"/>
    </row>
    <row r="3" spans="1:17">
      <c r="A3" s="192" t="s">
        <v>1812</v>
      </c>
      <c r="B3" s="193">
        <v>74606</v>
      </c>
      <c r="C3" s="193">
        <v>0</v>
      </c>
      <c r="D3" s="193">
        <v>0</v>
      </c>
      <c r="E3" s="193">
        <v>60676</v>
      </c>
      <c r="F3" s="193">
        <v>60359</v>
      </c>
      <c r="G3" s="193">
        <v>31339</v>
      </c>
      <c r="H3" s="193">
        <f>SUM(B3:G3)</f>
        <v>226980</v>
      </c>
      <c r="I3" s="194"/>
    </row>
    <row r="4" spans="1:17">
      <c r="A4" s="192" t="s">
        <v>1813</v>
      </c>
      <c r="B4" s="193">
        <v>83979</v>
      </c>
      <c r="C4" s="193">
        <v>0</v>
      </c>
      <c r="D4" s="193">
        <v>0</v>
      </c>
      <c r="E4" s="193">
        <v>66718</v>
      </c>
      <c r="F4" s="193">
        <v>61439</v>
      </c>
      <c r="G4" s="193">
        <v>38311</v>
      </c>
      <c r="H4" s="193">
        <f t="shared" ref="H4:H45" si="0">SUM(B4:G4)</f>
        <v>250447</v>
      </c>
      <c r="I4" s="194"/>
      <c r="M4" s="47"/>
      <c r="N4" s="47"/>
      <c r="O4" s="47"/>
      <c r="P4" s="47"/>
      <c r="Q4" s="47"/>
    </row>
    <row r="5" spans="1:17">
      <c r="A5" s="192" t="s">
        <v>1814</v>
      </c>
      <c r="B5" s="193">
        <v>95585</v>
      </c>
      <c r="C5" s="193">
        <v>0</v>
      </c>
      <c r="D5" s="193">
        <v>0</v>
      </c>
      <c r="E5" s="193">
        <v>73731</v>
      </c>
      <c r="F5" s="193">
        <v>62782</v>
      </c>
      <c r="G5" s="193">
        <v>46434</v>
      </c>
      <c r="H5" s="193">
        <f t="shared" si="0"/>
        <v>278532</v>
      </c>
      <c r="I5" s="194"/>
      <c r="M5" s="47"/>
      <c r="N5" s="195"/>
      <c r="O5" s="47"/>
      <c r="P5" s="47"/>
      <c r="Q5" s="47"/>
    </row>
    <row r="6" spans="1:17">
      <c r="A6" s="192" t="s">
        <v>1815</v>
      </c>
      <c r="B6" s="193">
        <v>107343</v>
      </c>
      <c r="C6" s="193">
        <v>0</v>
      </c>
      <c r="D6" s="193">
        <v>0</v>
      </c>
      <c r="E6" s="193">
        <v>80598</v>
      </c>
      <c r="F6" s="193">
        <v>64105</v>
      </c>
      <c r="G6" s="193">
        <v>54669</v>
      </c>
      <c r="H6" s="193">
        <f t="shared" si="0"/>
        <v>306715</v>
      </c>
      <c r="I6" s="194"/>
      <c r="M6" s="47"/>
      <c r="N6" s="47"/>
      <c r="O6" s="47"/>
      <c r="P6" s="47"/>
      <c r="Q6" s="47"/>
    </row>
    <row r="7" spans="1:17">
      <c r="A7" s="192" t="s">
        <v>1816</v>
      </c>
      <c r="B7" s="193">
        <v>72059</v>
      </c>
      <c r="C7" s="193">
        <v>31523</v>
      </c>
      <c r="D7" s="193">
        <v>16103</v>
      </c>
      <c r="E7" s="193">
        <v>87387</v>
      </c>
      <c r="F7" s="193">
        <v>65578</v>
      </c>
      <c r="G7" s="193">
        <v>62831</v>
      </c>
      <c r="H7" s="193">
        <f t="shared" si="0"/>
        <v>335481</v>
      </c>
      <c r="I7" s="194"/>
      <c r="M7" s="47"/>
      <c r="N7" s="195"/>
      <c r="O7" s="47"/>
      <c r="P7" s="47"/>
      <c r="Q7" s="47"/>
    </row>
    <row r="8" spans="1:17">
      <c r="A8" s="192" t="s">
        <v>1817</v>
      </c>
      <c r="B8" s="193">
        <v>79528</v>
      </c>
      <c r="C8" s="193">
        <v>35661</v>
      </c>
      <c r="D8" s="193">
        <v>18222</v>
      </c>
      <c r="E8" s="193">
        <v>94839</v>
      </c>
      <c r="F8" s="193">
        <v>67025</v>
      </c>
      <c r="G8" s="193">
        <v>72881</v>
      </c>
      <c r="H8" s="193">
        <f t="shared" si="0"/>
        <v>368156</v>
      </c>
      <c r="I8" s="194"/>
      <c r="M8" s="47"/>
      <c r="N8" s="195"/>
      <c r="O8" s="47"/>
      <c r="P8" s="47"/>
      <c r="Q8" s="47"/>
    </row>
    <row r="9" spans="1:17">
      <c r="A9" s="192" t="s">
        <v>1818</v>
      </c>
      <c r="B9" s="193">
        <v>87794</v>
      </c>
      <c r="C9" s="193">
        <v>40494</v>
      </c>
      <c r="D9" s="193">
        <v>20794</v>
      </c>
      <c r="E9" s="193">
        <v>102318</v>
      </c>
      <c r="F9" s="193">
        <v>68407</v>
      </c>
      <c r="G9" s="193">
        <v>85393</v>
      </c>
      <c r="H9" s="193">
        <f t="shared" si="0"/>
        <v>405200</v>
      </c>
      <c r="I9" s="194"/>
      <c r="M9" s="47"/>
      <c r="N9" s="196"/>
      <c r="O9" s="47"/>
      <c r="P9" s="47"/>
      <c r="Q9" s="47"/>
    </row>
    <row r="10" spans="1:17">
      <c r="A10" s="192" t="s">
        <v>1819</v>
      </c>
      <c r="B10" s="193">
        <v>127302</v>
      </c>
      <c r="C10" s="193">
        <v>92550</v>
      </c>
      <c r="D10" s="193">
        <v>63267</v>
      </c>
      <c r="E10" s="193">
        <v>182924</v>
      </c>
      <c r="F10" s="193">
        <v>71236</v>
      </c>
      <c r="G10" s="193">
        <v>305687</v>
      </c>
      <c r="H10" s="193">
        <f t="shared" si="0"/>
        <v>842966</v>
      </c>
      <c r="I10" s="194"/>
      <c r="M10" s="197"/>
      <c r="N10" s="47"/>
      <c r="O10" s="47"/>
      <c r="P10" s="47"/>
      <c r="Q10" s="47"/>
    </row>
    <row r="11" spans="1:17" s="47" customFormat="1">
      <c r="A11" s="192" t="s">
        <v>1820</v>
      </c>
      <c r="B11" s="198">
        <v>156071</v>
      </c>
      <c r="C11" s="198">
        <v>125857</v>
      </c>
      <c r="D11" s="198">
        <v>76427</v>
      </c>
      <c r="E11" s="198">
        <v>209290</v>
      </c>
      <c r="F11" s="198">
        <v>72967</v>
      </c>
      <c r="G11" s="198">
        <v>369279</v>
      </c>
      <c r="H11" s="198">
        <f t="shared" si="0"/>
        <v>1009891</v>
      </c>
      <c r="I11" s="199"/>
    </row>
    <row r="12" spans="1:17">
      <c r="A12" s="192" t="s">
        <v>1821</v>
      </c>
      <c r="B12" s="193">
        <v>166098</v>
      </c>
      <c r="C12" s="193">
        <v>132772</v>
      </c>
      <c r="D12" s="193">
        <v>79831</v>
      </c>
      <c r="E12" s="193">
        <v>218488</v>
      </c>
      <c r="F12" s="193">
        <v>74689</v>
      </c>
      <c r="G12" s="193">
        <v>419667</v>
      </c>
      <c r="H12" s="193">
        <f t="shared" si="0"/>
        <v>1091545</v>
      </c>
      <c r="I12" s="194"/>
      <c r="J12" s="200"/>
      <c r="K12" s="200"/>
      <c r="M12" s="47"/>
      <c r="N12" s="47"/>
      <c r="O12" s="47"/>
      <c r="P12" s="47"/>
      <c r="Q12" s="47"/>
    </row>
    <row r="13" spans="1:17" s="47" customFormat="1">
      <c r="A13" s="192" t="s">
        <v>1822</v>
      </c>
      <c r="B13" s="198">
        <v>189695</v>
      </c>
      <c r="C13" s="198">
        <v>143927</v>
      </c>
      <c r="D13" s="198">
        <v>85966</v>
      </c>
      <c r="E13" s="198">
        <v>234296</v>
      </c>
      <c r="F13" s="198">
        <v>78142</v>
      </c>
      <c r="G13" s="198">
        <v>464049</v>
      </c>
      <c r="H13" s="198">
        <f t="shared" si="0"/>
        <v>1196075</v>
      </c>
      <c r="I13" s="199"/>
      <c r="K13" s="197"/>
    </row>
    <row r="14" spans="1:17">
      <c r="A14" s="192" t="s">
        <v>1823</v>
      </c>
      <c r="B14" s="193">
        <v>195591</v>
      </c>
      <c r="C14" s="193">
        <v>152168</v>
      </c>
      <c r="D14" s="193">
        <v>90311</v>
      </c>
      <c r="E14" s="193">
        <v>245658</v>
      </c>
      <c r="F14" s="193">
        <v>80255</v>
      </c>
      <c r="G14" s="193">
        <v>474997</v>
      </c>
      <c r="H14" s="201">
        <f t="shared" si="0"/>
        <v>1238980</v>
      </c>
      <c r="I14" s="194"/>
      <c r="K14" s="200"/>
      <c r="M14" s="47"/>
      <c r="N14" s="47"/>
      <c r="O14" s="47"/>
      <c r="P14" s="47"/>
      <c r="Q14" s="47"/>
    </row>
    <row r="15" spans="1:17">
      <c r="A15" s="192" t="s">
        <v>1824</v>
      </c>
      <c r="B15" s="198">
        <v>207765</v>
      </c>
      <c r="C15" s="198">
        <v>157674</v>
      </c>
      <c r="D15" s="198">
        <v>95615</v>
      </c>
      <c r="E15" s="198">
        <v>259905</v>
      </c>
      <c r="F15" s="198">
        <v>84769</v>
      </c>
      <c r="G15" s="198">
        <v>494370</v>
      </c>
      <c r="H15" s="198">
        <f t="shared" si="0"/>
        <v>1300098</v>
      </c>
      <c r="I15" s="199"/>
      <c r="N15" s="200"/>
      <c r="Q15" s="200"/>
    </row>
    <row r="16" spans="1:17" ht="16.5" customHeight="1">
      <c r="A16" s="192" t="s">
        <v>1813</v>
      </c>
      <c r="B16" s="198">
        <v>215268</v>
      </c>
      <c r="C16" s="198">
        <v>166531</v>
      </c>
      <c r="D16" s="198">
        <v>97177</v>
      </c>
      <c r="E16" s="198">
        <v>268755</v>
      </c>
      <c r="F16" s="198">
        <v>86126</v>
      </c>
      <c r="G16" s="198">
        <v>517990</v>
      </c>
      <c r="H16" s="198">
        <f t="shared" si="0"/>
        <v>1351847</v>
      </c>
      <c r="I16" s="199"/>
    </row>
    <row r="17" spans="1:18" ht="16.5" customHeight="1">
      <c r="A17" s="192" t="s">
        <v>1814</v>
      </c>
      <c r="B17" s="198">
        <v>226556</v>
      </c>
      <c r="C17" s="198">
        <v>171803</v>
      </c>
      <c r="D17" s="198">
        <v>100320</v>
      </c>
      <c r="E17" s="198">
        <v>278243</v>
      </c>
      <c r="F17" s="198">
        <v>87147</v>
      </c>
      <c r="G17" s="198">
        <v>536011</v>
      </c>
      <c r="H17" s="198">
        <f t="shared" si="0"/>
        <v>1400080</v>
      </c>
      <c r="I17" s="199"/>
      <c r="J17" s="202"/>
      <c r="K17" s="200"/>
      <c r="L17" s="200"/>
    </row>
    <row r="18" spans="1:18">
      <c r="A18" s="192" t="s">
        <v>1815</v>
      </c>
      <c r="B18" s="198">
        <v>219054</v>
      </c>
      <c r="C18" s="198">
        <v>178031</v>
      </c>
      <c r="D18" s="198">
        <v>103556</v>
      </c>
      <c r="E18" s="198">
        <v>281193</v>
      </c>
      <c r="F18" s="198">
        <v>88577</v>
      </c>
      <c r="G18" s="198">
        <v>595820</v>
      </c>
      <c r="H18" s="198">
        <f t="shared" si="0"/>
        <v>1466231</v>
      </c>
      <c r="I18" s="199"/>
      <c r="J18" s="203"/>
      <c r="K18" s="200"/>
    </row>
    <row r="19" spans="1:18">
      <c r="A19" s="192" t="s">
        <v>1816</v>
      </c>
      <c r="B19" s="198">
        <v>248560</v>
      </c>
      <c r="C19" s="198">
        <v>182239</v>
      </c>
      <c r="D19" s="198">
        <v>111029</v>
      </c>
      <c r="E19" s="204">
        <v>287865</v>
      </c>
      <c r="F19" s="198">
        <v>89173</v>
      </c>
      <c r="G19" s="198">
        <v>632062</v>
      </c>
      <c r="H19" s="198">
        <f t="shared" si="0"/>
        <v>1550928</v>
      </c>
      <c r="I19" s="199"/>
    </row>
    <row r="20" spans="1:18">
      <c r="A20" s="192" t="s">
        <v>1817</v>
      </c>
      <c r="B20" s="198">
        <v>263480</v>
      </c>
      <c r="C20" s="198">
        <v>191925</v>
      </c>
      <c r="D20" s="198">
        <v>115718</v>
      </c>
      <c r="E20" s="204">
        <v>301498</v>
      </c>
      <c r="F20" s="198">
        <v>94923</v>
      </c>
      <c r="G20" s="198">
        <v>664702</v>
      </c>
      <c r="H20" s="201">
        <f t="shared" si="0"/>
        <v>1632246</v>
      </c>
      <c r="I20" s="205"/>
    </row>
    <row r="21" spans="1:18">
      <c r="A21" s="192" t="s">
        <v>1818</v>
      </c>
      <c r="B21" s="198">
        <v>288593</v>
      </c>
      <c r="C21" s="198">
        <v>202917</v>
      </c>
      <c r="D21" s="198">
        <v>121473</v>
      </c>
      <c r="E21" s="204">
        <v>312486</v>
      </c>
      <c r="F21" s="198">
        <v>93769</v>
      </c>
      <c r="G21" s="198">
        <v>723133</v>
      </c>
      <c r="H21" s="198">
        <f t="shared" si="0"/>
        <v>1742371</v>
      </c>
      <c r="R21" s="206"/>
    </row>
    <row r="22" spans="1:18">
      <c r="A22" s="192" t="s">
        <v>1819</v>
      </c>
      <c r="B22" s="198">
        <v>304099</v>
      </c>
      <c r="C22" s="198">
        <v>209896</v>
      </c>
      <c r="D22" s="198">
        <v>126688</v>
      </c>
      <c r="E22" s="204">
        <v>326603</v>
      </c>
      <c r="F22" s="198">
        <v>110652</v>
      </c>
      <c r="G22" s="198">
        <v>768278</v>
      </c>
      <c r="H22" s="198">
        <f t="shared" si="0"/>
        <v>1846216</v>
      </c>
      <c r="K22" s="178"/>
    </row>
    <row r="23" spans="1:18" s="47" customFormat="1">
      <c r="A23" s="192" t="s">
        <v>1820</v>
      </c>
      <c r="B23" s="198">
        <v>318818</v>
      </c>
      <c r="C23" s="198">
        <v>218420</v>
      </c>
      <c r="D23" s="198">
        <v>132071</v>
      </c>
      <c r="E23" s="207">
        <v>341383</v>
      </c>
      <c r="F23" s="198">
        <v>117539</v>
      </c>
      <c r="G23" s="198">
        <v>808790</v>
      </c>
      <c r="H23" s="198">
        <f t="shared" si="0"/>
        <v>1937021</v>
      </c>
      <c r="J23" s="197"/>
      <c r="K23" s="208"/>
    </row>
    <row r="24" spans="1:18">
      <c r="A24" s="192" t="s">
        <v>1825</v>
      </c>
      <c r="B24" s="198">
        <v>338128</v>
      </c>
      <c r="C24" s="198">
        <v>227448</v>
      </c>
      <c r="D24" s="198">
        <v>136438</v>
      </c>
      <c r="E24" s="204">
        <v>355619</v>
      </c>
      <c r="F24" s="198">
        <v>129259</v>
      </c>
      <c r="G24" s="198">
        <v>852772</v>
      </c>
      <c r="H24" s="198">
        <f t="shared" si="0"/>
        <v>2039664</v>
      </c>
      <c r="I24" s="178"/>
      <c r="J24" s="209"/>
      <c r="K24" s="200"/>
    </row>
    <row r="25" spans="1:18">
      <c r="A25" s="192" t="s">
        <v>1822</v>
      </c>
      <c r="B25" s="198">
        <v>362812</v>
      </c>
      <c r="C25" s="198">
        <v>237416</v>
      </c>
      <c r="D25" s="198">
        <v>141724</v>
      </c>
      <c r="E25" s="204">
        <v>369503</v>
      </c>
      <c r="F25" s="198">
        <v>146082</v>
      </c>
      <c r="G25" s="198">
        <v>896356</v>
      </c>
      <c r="H25" s="198">
        <f t="shared" si="0"/>
        <v>2153893</v>
      </c>
    </row>
    <row r="26" spans="1:18">
      <c r="A26" s="192" t="s">
        <v>1823</v>
      </c>
      <c r="B26" s="198">
        <v>376820</v>
      </c>
      <c r="C26" s="198">
        <v>246660</v>
      </c>
      <c r="D26" s="198">
        <v>145966</v>
      </c>
      <c r="E26" s="204">
        <v>381575</v>
      </c>
      <c r="F26" s="198">
        <v>153386</v>
      </c>
      <c r="G26" s="198">
        <v>935553</v>
      </c>
      <c r="H26" s="198">
        <f t="shared" si="0"/>
        <v>2239960</v>
      </c>
    </row>
    <row r="27" spans="1:18">
      <c r="A27" s="192" t="s">
        <v>1812</v>
      </c>
      <c r="B27" s="198">
        <v>396700</v>
      </c>
      <c r="C27" s="198">
        <v>255830</v>
      </c>
      <c r="D27" s="198">
        <v>149793</v>
      </c>
      <c r="E27" s="193">
        <v>393551</v>
      </c>
      <c r="F27" s="198">
        <v>156547</v>
      </c>
      <c r="G27" s="198">
        <v>976376</v>
      </c>
      <c r="H27" s="198">
        <f t="shared" si="0"/>
        <v>2328797</v>
      </c>
    </row>
    <row r="28" spans="1:18">
      <c r="A28" s="192" t="s">
        <v>1813</v>
      </c>
      <c r="B28" s="198">
        <v>413941</v>
      </c>
      <c r="C28" s="198">
        <v>262563</v>
      </c>
      <c r="D28" s="198">
        <v>152861</v>
      </c>
      <c r="E28" s="198">
        <v>405438</v>
      </c>
      <c r="F28" s="198">
        <v>173618</v>
      </c>
      <c r="G28" s="198">
        <v>1014850</v>
      </c>
      <c r="H28" s="198">
        <f>SUM(B28:G28)</f>
        <v>2423271</v>
      </c>
    </row>
    <row r="29" spans="1:18" ht="13.5" customHeight="1">
      <c r="A29" s="192" t="s">
        <v>1814</v>
      </c>
      <c r="B29" s="198">
        <v>434565</v>
      </c>
      <c r="C29" s="198">
        <v>269340</v>
      </c>
      <c r="D29" s="198">
        <v>155837</v>
      </c>
      <c r="E29" s="198">
        <v>421194</v>
      </c>
      <c r="F29" s="198">
        <v>176878</v>
      </c>
      <c r="G29" s="207">
        <v>1055798</v>
      </c>
      <c r="H29" s="198">
        <f t="shared" si="0"/>
        <v>2513612</v>
      </c>
    </row>
    <row r="30" spans="1:18">
      <c r="A30" s="192" t="s">
        <v>1815</v>
      </c>
      <c r="B30" s="198">
        <v>451126</v>
      </c>
      <c r="C30" s="198">
        <v>275319</v>
      </c>
      <c r="D30" s="198">
        <v>158397</v>
      </c>
      <c r="E30" s="198">
        <v>433990</v>
      </c>
      <c r="F30" s="198">
        <v>197234</v>
      </c>
      <c r="G30" s="210">
        <v>1085307</v>
      </c>
      <c r="H30" s="198">
        <f t="shared" si="0"/>
        <v>2601373</v>
      </c>
    </row>
    <row r="31" spans="1:18">
      <c r="A31" s="192" t="s">
        <v>1816</v>
      </c>
      <c r="B31" s="198">
        <v>462022</v>
      </c>
      <c r="C31" s="198">
        <v>281280</v>
      </c>
      <c r="D31" s="198">
        <v>160560</v>
      </c>
      <c r="E31" s="198">
        <v>445333</v>
      </c>
      <c r="F31" s="198">
        <v>213727</v>
      </c>
      <c r="G31" s="210">
        <v>1117221</v>
      </c>
      <c r="H31" s="198">
        <f t="shared" si="0"/>
        <v>2680143</v>
      </c>
    </row>
    <row r="32" spans="1:18">
      <c r="A32" s="192" t="s">
        <v>1817</v>
      </c>
      <c r="B32" s="198">
        <v>473418</v>
      </c>
      <c r="C32" s="198">
        <v>287910</v>
      </c>
      <c r="D32" s="198">
        <v>163003</v>
      </c>
      <c r="E32" s="198">
        <v>458716</v>
      </c>
      <c r="F32" s="198">
        <v>224488</v>
      </c>
      <c r="G32" s="210">
        <v>1146941</v>
      </c>
      <c r="H32" s="198">
        <f t="shared" si="0"/>
        <v>2754476</v>
      </c>
    </row>
    <row r="33" spans="1:8">
      <c r="A33" s="192" t="s">
        <v>1818</v>
      </c>
      <c r="B33" s="198">
        <v>487989</v>
      </c>
      <c r="C33" s="198">
        <v>295088</v>
      </c>
      <c r="D33" s="198">
        <v>165920</v>
      </c>
      <c r="E33" s="198">
        <v>472595</v>
      </c>
      <c r="F33" s="198">
        <v>236656</v>
      </c>
      <c r="G33" s="210">
        <v>1181579</v>
      </c>
      <c r="H33" s="198">
        <f t="shared" si="0"/>
        <v>2839827</v>
      </c>
    </row>
    <row r="34" spans="1:8">
      <c r="A34" s="192" t="s">
        <v>1819</v>
      </c>
      <c r="B34" s="198">
        <v>521687</v>
      </c>
      <c r="C34" s="198">
        <v>303682</v>
      </c>
      <c r="D34" s="198">
        <v>170038</v>
      </c>
      <c r="E34" s="198">
        <v>488942</v>
      </c>
      <c r="F34" s="198">
        <v>255742</v>
      </c>
      <c r="G34" s="210">
        <v>1219191</v>
      </c>
      <c r="H34" s="198">
        <f t="shared" si="0"/>
        <v>2959282</v>
      </c>
    </row>
    <row r="35" spans="1:8">
      <c r="A35" s="192" t="s">
        <v>1826</v>
      </c>
      <c r="B35" s="198">
        <v>540379</v>
      </c>
      <c r="C35" s="198">
        <v>312891</v>
      </c>
      <c r="D35" s="198">
        <v>174419</v>
      </c>
      <c r="E35" s="198">
        <v>511017</v>
      </c>
      <c r="F35" s="198">
        <v>265772</v>
      </c>
      <c r="G35" s="210">
        <v>1255218</v>
      </c>
      <c r="H35" s="198">
        <f t="shared" si="0"/>
        <v>3059696</v>
      </c>
    </row>
    <row r="36" spans="1:8">
      <c r="A36" s="211" t="s">
        <v>1827</v>
      </c>
      <c r="B36" s="198">
        <v>581716</v>
      </c>
      <c r="C36" s="198">
        <v>320525</v>
      </c>
      <c r="D36" s="198">
        <v>177096</v>
      </c>
      <c r="E36" s="198">
        <v>527209</v>
      </c>
      <c r="F36" s="198">
        <v>275894</v>
      </c>
      <c r="G36" s="210">
        <v>1288607</v>
      </c>
      <c r="H36" s="198">
        <f t="shared" si="0"/>
        <v>3171047</v>
      </c>
    </row>
    <row r="37" spans="1:8">
      <c r="A37" s="192" t="s">
        <v>1822</v>
      </c>
      <c r="B37" s="198">
        <v>599309</v>
      </c>
      <c r="C37" s="198">
        <v>327790</v>
      </c>
      <c r="D37" s="198">
        <v>179752</v>
      </c>
      <c r="E37" s="198">
        <v>542200</v>
      </c>
      <c r="F37" s="198">
        <v>287518</v>
      </c>
      <c r="G37" s="210">
        <v>1319414</v>
      </c>
      <c r="H37" s="198">
        <f t="shared" si="0"/>
        <v>3255983</v>
      </c>
    </row>
    <row r="38" spans="1:8">
      <c r="A38" s="192" t="s">
        <v>1823</v>
      </c>
      <c r="B38" s="198">
        <v>608320</v>
      </c>
      <c r="C38" s="198">
        <v>335006</v>
      </c>
      <c r="D38" s="198">
        <v>182607</v>
      </c>
      <c r="E38" s="198">
        <v>556245</v>
      </c>
      <c r="F38" s="198">
        <v>300227</v>
      </c>
      <c r="G38" s="210">
        <v>1349458</v>
      </c>
      <c r="H38" s="198">
        <f t="shared" si="0"/>
        <v>3331863</v>
      </c>
    </row>
    <row r="39" spans="1:8">
      <c r="A39" s="192" t="s">
        <v>1812</v>
      </c>
      <c r="B39" s="198">
        <v>623088</v>
      </c>
      <c r="C39" s="198">
        <v>342557</v>
      </c>
      <c r="D39" s="198">
        <v>186024</v>
      </c>
      <c r="E39" s="198">
        <v>571178</v>
      </c>
      <c r="F39" s="198">
        <v>316164</v>
      </c>
      <c r="G39" s="210">
        <v>1386745</v>
      </c>
      <c r="H39" s="198">
        <f t="shared" si="0"/>
        <v>3425756</v>
      </c>
    </row>
    <row r="40" spans="1:8">
      <c r="A40" s="211" t="s">
        <v>1813</v>
      </c>
      <c r="B40" s="198">
        <v>636224</v>
      </c>
      <c r="C40" s="198">
        <v>348747</v>
      </c>
      <c r="D40" s="198">
        <v>188863</v>
      </c>
      <c r="E40" s="198">
        <v>583867</v>
      </c>
      <c r="F40" s="198">
        <v>326745</v>
      </c>
      <c r="G40" s="210">
        <v>1420422</v>
      </c>
      <c r="H40" s="198">
        <f t="shared" si="0"/>
        <v>3504868</v>
      </c>
    </row>
    <row r="41" spans="1:8">
      <c r="A41" s="192" t="s">
        <v>1814</v>
      </c>
      <c r="B41" s="198">
        <v>653012</v>
      </c>
      <c r="C41" s="198">
        <v>355726</v>
      </c>
      <c r="D41" s="198">
        <v>191352</v>
      </c>
      <c r="E41" s="198">
        <v>598643</v>
      </c>
      <c r="F41" s="198">
        <v>343144</v>
      </c>
      <c r="G41" s="198">
        <v>1461949</v>
      </c>
      <c r="H41" s="198">
        <f t="shared" si="0"/>
        <v>3603826</v>
      </c>
    </row>
    <row r="42" spans="1:8">
      <c r="A42" s="192" t="s">
        <v>1815</v>
      </c>
      <c r="B42" s="198">
        <v>669399</v>
      </c>
      <c r="C42" s="198">
        <v>361482</v>
      </c>
      <c r="D42" s="198">
        <v>193409</v>
      </c>
      <c r="E42" s="198">
        <v>612251</v>
      </c>
      <c r="F42" s="198">
        <v>354319</v>
      </c>
      <c r="G42" s="198">
        <v>1506425</v>
      </c>
      <c r="H42" s="198">
        <f t="shared" si="0"/>
        <v>3697285</v>
      </c>
    </row>
    <row r="43" spans="1:8">
      <c r="A43" s="192" t="s">
        <v>1816</v>
      </c>
      <c r="B43" s="198">
        <v>681040</v>
      </c>
      <c r="C43" s="198">
        <v>366943</v>
      </c>
      <c r="D43" s="198">
        <v>195812</v>
      </c>
      <c r="E43" s="198">
        <v>624840</v>
      </c>
      <c r="F43" s="198">
        <v>370829</v>
      </c>
      <c r="G43" s="198">
        <v>1549861</v>
      </c>
      <c r="H43" s="198">
        <f t="shared" si="0"/>
        <v>3789325</v>
      </c>
    </row>
    <row r="44" spans="1:8">
      <c r="A44" s="192" t="s">
        <v>1828</v>
      </c>
      <c r="B44" s="198">
        <v>690617</v>
      </c>
      <c r="C44" s="198">
        <v>373845</v>
      </c>
      <c r="D44" s="198">
        <v>198134</v>
      </c>
      <c r="E44" s="198">
        <v>638003</v>
      </c>
      <c r="F44" s="198">
        <v>382112</v>
      </c>
      <c r="G44" s="198">
        <v>1589461</v>
      </c>
      <c r="H44" s="198">
        <f t="shared" si="0"/>
        <v>3872172</v>
      </c>
    </row>
    <row r="45" spans="1:8">
      <c r="A45" s="212" t="s">
        <v>1829</v>
      </c>
      <c r="B45" s="198">
        <v>697715</v>
      </c>
      <c r="C45" s="198">
        <v>382974</v>
      </c>
      <c r="D45" s="198">
        <v>201305</v>
      </c>
      <c r="E45" s="198">
        <v>654779</v>
      </c>
      <c r="F45" s="198">
        <v>397254</v>
      </c>
      <c r="G45" s="198">
        <v>1632673</v>
      </c>
      <c r="H45" s="213">
        <f t="shared" si="0"/>
        <v>3966700</v>
      </c>
    </row>
    <row r="46" spans="1:8">
      <c r="A46" s="212" t="s">
        <v>1819</v>
      </c>
      <c r="B46" s="198">
        <v>703484</v>
      </c>
      <c r="C46" s="198">
        <v>391693</v>
      </c>
      <c r="D46" s="198">
        <v>204058</v>
      </c>
      <c r="E46" s="198">
        <v>671026</v>
      </c>
      <c r="F46" s="198">
        <v>415618</v>
      </c>
      <c r="G46" s="198">
        <v>1678160</v>
      </c>
      <c r="H46" s="198">
        <v>4064039</v>
      </c>
    </row>
    <row r="47" spans="1:8">
      <c r="A47" s="212" t="s">
        <v>1826</v>
      </c>
      <c r="B47" s="198">
        <v>706995</v>
      </c>
      <c r="C47" s="198">
        <v>400166</v>
      </c>
      <c r="D47" s="198">
        <v>206875</v>
      </c>
      <c r="E47" s="198">
        <v>688509</v>
      </c>
      <c r="F47" s="198">
        <v>415618</v>
      </c>
      <c r="G47" s="198">
        <v>1720867</v>
      </c>
      <c r="H47" s="198">
        <v>4139030</v>
      </c>
    </row>
    <row r="48" spans="1:8">
      <c r="A48" s="192" t="s">
        <v>1830</v>
      </c>
      <c r="B48" s="198"/>
      <c r="C48" s="198"/>
      <c r="D48" s="198"/>
      <c r="E48" s="198"/>
      <c r="F48" s="198"/>
      <c r="G48" s="198"/>
      <c r="H48" s="198">
        <v>4247470</v>
      </c>
    </row>
    <row r="49" spans="1:13">
      <c r="A49" s="192" t="s">
        <v>1822</v>
      </c>
      <c r="B49" s="198"/>
      <c r="C49" s="198"/>
      <c r="D49" s="198"/>
      <c r="E49" s="198"/>
      <c r="F49" s="198"/>
      <c r="G49" s="198"/>
      <c r="H49" s="198">
        <v>4313311</v>
      </c>
    </row>
    <row r="50" spans="1:13">
      <c r="A50" s="192" t="s">
        <v>1831</v>
      </c>
      <c r="B50" s="198"/>
      <c r="C50" s="198"/>
      <c r="D50" s="198"/>
      <c r="E50" s="198"/>
      <c r="F50" s="198"/>
      <c r="G50" s="198"/>
      <c r="H50" s="198">
        <v>4247470</v>
      </c>
    </row>
    <row r="51" spans="1:13">
      <c r="A51" s="192" t="s">
        <v>1822</v>
      </c>
      <c r="B51" s="198"/>
      <c r="C51" s="198"/>
      <c r="D51" s="198"/>
      <c r="E51" s="198"/>
      <c r="F51" s="198"/>
      <c r="G51" s="198"/>
      <c r="H51" s="198">
        <v>4313311</v>
      </c>
      <c r="M51" s="214"/>
    </row>
    <row r="52" spans="1:13">
      <c r="A52" s="192" t="s">
        <v>1823</v>
      </c>
      <c r="B52" s="198"/>
      <c r="C52" s="198"/>
      <c r="D52" s="198"/>
      <c r="E52" s="198"/>
      <c r="F52" s="198"/>
      <c r="G52" s="198"/>
      <c r="H52" s="198">
        <v>4396761</v>
      </c>
    </row>
    <row r="53" spans="1:13">
      <c r="A53" s="192" t="s">
        <v>1812</v>
      </c>
      <c r="B53" s="198"/>
      <c r="C53" s="198"/>
      <c r="D53" s="198"/>
      <c r="E53" s="198"/>
      <c r="F53" s="198"/>
      <c r="G53" s="198"/>
      <c r="H53" s="198">
        <v>4496399</v>
      </c>
    </row>
    <row r="54" spans="1:13">
      <c r="A54" s="192" t="s">
        <v>1813</v>
      </c>
      <c r="B54" s="198"/>
      <c r="C54" s="198"/>
      <c r="D54" s="198"/>
      <c r="E54" s="198"/>
      <c r="F54" s="198"/>
      <c r="G54" s="198"/>
      <c r="H54" s="198">
        <v>4580141</v>
      </c>
    </row>
    <row r="55" spans="1:13">
      <c r="A55" s="192" t="s">
        <v>1814</v>
      </c>
      <c r="B55" s="198"/>
      <c r="C55" s="198"/>
      <c r="D55" s="198"/>
      <c r="E55" s="198"/>
      <c r="F55" s="198"/>
      <c r="G55" s="198"/>
      <c r="H55" s="198">
        <v>4672579</v>
      </c>
    </row>
    <row r="56" spans="1:13">
      <c r="A56" s="192" t="s">
        <v>1815</v>
      </c>
      <c r="B56" s="198"/>
      <c r="C56" s="198"/>
      <c r="D56" s="198"/>
      <c r="E56" s="198"/>
      <c r="F56" s="198"/>
      <c r="G56" s="198"/>
      <c r="H56" s="198">
        <v>4760467</v>
      </c>
    </row>
    <row r="57" spans="1:13">
      <c r="A57" s="192" t="s">
        <v>1817</v>
      </c>
      <c r="B57" s="198"/>
      <c r="C57" s="198"/>
      <c r="D57" s="198"/>
      <c r="E57" s="198"/>
      <c r="F57" s="198"/>
      <c r="G57" s="198"/>
      <c r="H57" s="198">
        <v>4835086</v>
      </c>
    </row>
    <row r="58" spans="1:13">
      <c r="A58" s="192" t="s">
        <v>1818</v>
      </c>
      <c r="B58" s="198"/>
      <c r="C58" s="198"/>
      <c r="D58" s="198"/>
      <c r="E58" s="198"/>
      <c r="F58" s="198"/>
      <c r="G58" s="198"/>
      <c r="H58" s="198">
        <v>4912599</v>
      </c>
    </row>
    <row r="59" spans="1:13">
      <c r="A59" s="192" t="s">
        <v>1819</v>
      </c>
      <c r="B59" s="198"/>
      <c r="C59" s="198"/>
      <c r="D59" s="198"/>
      <c r="E59" s="198"/>
      <c r="F59" s="198"/>
      <c r="G59" s="198"/>
      <c r="H59" s="198">
        <v>4991334</v>
      </c>
    </row>
    <row r="60" spans="1:13">
      <c r="A60" s="192" t="s">
        <v>1826</v>
      </c>
      <c r="B60" s="198"/>
      <c r="C60" s="198"/>
      <c r="D60" s="198"/>
      <c r="E60" s="198"/>
      <c r="F60" s="198"/>
      <c r="G60" s="198"/>
      <c r="H60" s="198">
        <v>5083066</v>
      </c>
    </row>
    <row r="61" spans="1:13">
      <c r="A61" s="192" t="s">
        <v>1832</v>
      </c>
      <c r="B61" s="198"/>
      <c r="C61" s="198"/>
      <c r="D61" s="198"/>
      <c r="E61" s="198"/>
      <c r="F61" s="198"/>
      <c r="G61" s="198"/>
      <c r="H61" s="198">
        <v>5160568</v>
      </c>
    </row>
    <row r="62" spans="1:13">
      <c r="A62" s="192" t="s">
        <v>1822</v>
      </c>
      <c r="B62" s="198"/>
      <c r="C62" s="198"/>
      <c r="D62" s="198"/>
      <c r="E62" s="198"/>
      <c r="F62" s="198"/>
      <c r="G62" s="198"/>
      <c r="H62" s="198">
        <v>5303640</v>
      </c>
    </row>
    <row r="63" spans="1:13">
      <c r="A63" s="192" t="s">
        <v>1823</v>
      </c>
      <c r="B63" s="198"/>
      <c r="C63" s="198"/>
      <c r="D63" s="198"/>
      <c r="E63" s="198"/>
      <c r="F63" s="198"/>
      <c r="G63" s="198"/>
      <c r="H63" s="198"/>
    </row>
    <row r="64" spans="1:13">
      <c r="A64" s="192" t="s">
        <v>1812</v>
      </c>
      <c r="B64" s="198"/>
      <c r="C64" s="198"/>
      <c r="D64" s="198"/>
      <c r="E64" s="198"/>
      <c r="F64" s="198"/>
      <c r="G64" s="198"/>
      <c r="H64" s="198"/>
    </row>
    <row r="65" spans="1:8">
      <c r="A65" s="192" t="s">
        <v>1813</v>
      </c>
      <c r="B65" s="198"/>
      <c r="C65" s="198"/>
      <c r="D65" s="198"/>
      <c r="E65" s="198"/>
      <c r="F65" s="198"/>
      <c r="G65" s="198"/>
      <c r="H65" s="198"/>
    </row>
    <row r="66" spans="1:8">
      <c r="A66" s="192" t="s">
        <v>1814</v>
      </c>
      <c r="B66" s="198"/>
      <c r="C66" s="198"/>
      <c r="D66" s="198"/>
      <c r="E66" s="198"/>
      <c r="F66" s="198"/>
      <c r="G66" s="198"/>
      <c r="H66" s="198"/>
    </row>
    <row r="67" spans="1:8">
      <c r="A67" s="192" t="s">
        <v>1815</v>
      </c>
      <c r="B67" s="198"/>
      <c r="C67" s="198"/>
      <c r="D67" s="198"/>
      <c r="E67" s="198"/>
      <c r="F67" s="198"/>
      <c r="G67" s="198"/>
      <c r="H67" s="198"/>
    </row>
    <row r="68" spans="1:8">
      <c r="A68" s="192" t="s">
        <v>1816</v>
      </c>
      <c r="B68" s="198"/>
      <c r="C68" s="198"/>
      <c r="D68" s="198"/>
      <c r="E68" s="198"/>
      <c r="F68" s="198"/>
      <c r="G68" s="198"/>
      <c r="H68" s="198"/>
    </row>
    <row r="69" spans="1:8">
      <c r="A69" s="192" t="s">
        <v>1817</v>
      </c>
      <c r="B69" s="198"/>
      <c r="C69" s="198"/>
      <c r="D69" s="198"/>
      <c r="E69" s="198"/>
      <c r="F69" s="198"/>
      <c r="G69" s="198"/>
      <c r="H69" s="198"/>
    </row>
    <row r="70" spans="1:8">
      <c r="A70" s="192" t="s">
        <v>1818</v>
      </c>
      <c r="B70" s="198"/>
      <c r="C70" s="198"/>
      <c r="D70" s="198"/>
      <c r="E70" s="198"/>
      <c r="F70" s="198"/>
      <c r="G70" s="198"/>
      <c r="H70" s="198"/>
    </row>
    <row r="71" spans="1:8">
      <c r="A71" s="192" t="s">
        <v>1819</v>
      </c>
      <c r="B71" s="198"/>
      <c r="C71" s="198"/>
      <c r="D71" s="198"/>
      <c r="E71" s="198"/>
      <c r="F71" s="198"/>
      <c r="G71" s="198"/>
      <c r="H71" s="198"/>
    </row>
    <row r="72" spans="1:8">
      <c r="A72" s="192" t="s">
        <v>1826</v>
      </c>
      <c r="B72" s="198"/>
      <c r="C72" s="198"/>
      <c r="D72" s="198"/>
      <c r="E72" s="198"/>
      <c r="F72" s="198"/>
      <c r="G72" s="198"/>
      <c r="H72" s="198"/>
    </row>
    <row r="73" spans="1:8">
      <c r="A73" s="192" t="s">
        <v>1830</v>
      </c>
      <c r="B73" s="198"/>
      <c r="C73" s="198"/>
      <c r="D73" s="198"/>
      <c r="E73" s="198"/>
      <c r="F73" s="198"/>
      <c r="G73" s="198"/>
      <c r="H73" s="198"/>
    </row>
    <row r="74" spans="1:8">
      <c r="A74" s="192" t="s">
        <v>1822</v>
      </c>
      <c r="B74" s="198"/>
      <c r="C74" s="198"/>
      <c r="D74" s="198"/>
      <c r="E74" s="198"/>
      <c r="F74" s="198"/>
      <c r="G74" s="198"/>
      <c r="H74" s="198"/>
    </row>
  </sheetData>
  <pageMargins left="0.7" right="0.7" top="0.75" bottom="0.75" header="0.3" footer="0.3"/>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
  <sheetViews>
    <sheetView workbookViewId="0">
      <selection activeCell="M31" sqref="M31"/>
    </sheetView>
  </sheetViews>
  <sheetFormatPr baseColWidth="10" defaultColWidth="8.83203125" defaultRowHeight="14" x14ac:dyDescent="0"/>
  <cols>
    <col min="5" max="5" width="13.5" bestFit="1" customWidth="1"/>
    <col min="6" max="6" width="12" bestFit="1" customWidth="1"/>
    <col min="10" max="10" width="12.6640625" customWidth="1"/>
    <col min="12" max="12" width="10.5" bestFit="1" customWidth="1"/>
    <col min="13" max="13" width="8.5" bestFit="1" customWidth="1"/>
    <col min="14" max="14" width="9.83203125" bestFit="1" customWidth="1"/>
    <col min="15" max="15" width="10.1640625" bestFit="1" customWidth="1"/>
    <col min="16" max="16" width="10.6640625" bestFit="1" customWidth="1"/>
  </cols>
  <sheetData>
    <row r="1" spans="1:16" ht="15" thickBot="1"/>
    <row r="2" spans="1:16">
      <c r="A2" s="215"/>
      <c r="B2" s="216" t="s">
        <v>1833</v>
      </c>
      <c r="C2" s="215"/>
      <c r="H2" s="215"/>
      <c r="I2" s="216" t="s">
        <v>1833</v>
      </c>
      <c r="J2" s="215"/>
      <c r="L2" s="652" t="s">
        <v>1834</v>
      </c>
      <c r="M2" s="653"/>
      <c r="N2" s="653"/>
      <c r="O2" s="653"/>
      <c r="P2" s="654"/>
    </row>
    <row r="3" spans="1:16">
      <c r="A3" s="217" t="s">
        <v>1835</v>
      </c>
      <c r="B3" s="217" t="s">
        <v>1634</v>
      </c>
      <c r="C3" s="217" t="s">
        <v>1836</v>
      </c>
      <c r="E3" s="218" t="s">
        <v>1837</v>
      </c>
      <c r="F3" s="219">
        <v>163451</v>
      </c>
      <c r="G3" s="220"/>
      <c r="H3" s="217" t="s">
        <v>1835</v>
      </c>
      <c r="I3" s="217" t="s">
        <v>1634</v>
      </c>
      <c r="J3" s="217" t="s">
        <v>1836</v>
      </c>
      <c r="L3" s="221" t="s">
        <v>1835</v>
      </c>
      <c r="M3" s="222" t="s">
        <v>1838</v>
      </c>
      <c r="N3" s="222" t="s">
        <v>1839</v>
      </c>
      <c r="O3" s="222" t="s">
        <v>1634</v>
      </c>
      <c r="P3" s="223" t="s">
        <v>1840</v>
      </c>
    </row>
    <row r="4" spans="1:16">
      <c r="A4" s="188" t="s">
        <v>1841</v>
      </c>
      <c r="B4" s="193">
        <v>126650</v>
      </c>
      <c r="C4" s="224"/>
      <c r="E4" s="225" t="s">
        <v>1842</v>
      </c>
      <c r="F4" s="226">
        <v>1091545</v>
      </c>
      <c r="H4" s="188" t="s">
        <v>1841</v>
      </c>
      <c r="I4" s="193">
        <v>126650</v>
      </c>
      <c r="J4" s="224"/>
      <c r="L4" s="227" t="s">
        <v>1843</v>
      </c>
      <c r="M4" s="228">
        <v>32801</v>
      </c>
      <c r="N4" s="228">
        <v>169195</v>
      </c>
      <c r="O4" s="228">
        <v>201996</v>
      </c>
      <c r="P4" s="229">
        <v>0.24</v>
      </c>
    </row>
    <row r="5" spans="1:16">
      <c r="A5" s="188" t="s">
        <v>1837</v>
      </c>
      <c r="B5" s="193">
        <v>163451</v>
      </c>
      <c r="C5" s="230">
        <f>((B5-B4)/B4)</f>
        <v>0.29057244374259772</v>
      </c>
      <c r="E5" s="78" t="s">
        <v>1844</v>
      </c>
      <c r="F5" s="231">
        <f>((F4-F3)/F3)</f>
        <v>5.6781176009935699</v>
      </c>
      <c r="H5" s="188" t="s">
        <v>1837</v>
      </c>
      <c r="I5" s="193">
        <v>163451</v>
      </c>
      <c r="J5" s="230">
        <f>((I5-I4)/I4)</f>
        <v>0.29057244374259772</v>
      </c>
      <c r="L5" s="227" t="s">
        <v>1845</v>
      </c>
      <c r="M5" s="228">
        <v>61827</v>
      </c>
      <c r="N5" s="228">
        <v>216705</v>
      </c>
      <c r="O5" s="228">
        <v>278532</v>
      </c>
      <c r="P5" s="229">
        <v>0.38</v>
      </c>
    </row>
    <row r="6" spans="1:16">
      <c r="A6" s="188" t="s">
        <v>1846</v>
      </c>
      <c r="B6" s="193">
        <v>201996</v>
      </c>
      <c r="C6" s="230">
        <f>((B6-B5)/B5)</f>
        <v>0.23581990933062508</v>
      </c>
      <c r="H6" s="188" t="s">
        <v>1846</v>
      </c>
      <c r="I6" s="193">
        <v>201996</v>
      </c>
      <c r="J6" s="230">
        <f>((I6-I5)/I5)</f>
        <v>0.23581990933062508</v>
      </c>
      <c r="L6" s="227" t="s">
        <v>1847</v>
      </c>
      <c r="M6" s="228">
        <v>90184</v>
      </c>
      <c r="N6" s="228">
        <v>277972</v>
      </c>
      <c r="O6" s="228">
        <v>368156</v>
      </c>
      <c r="P6" s="229">
        <v>0.32</v>
      </c>
    </row>
    <row r="7" spans="1:16" ht="15" thickBot="1">
      <c r="A7" s="188" t="s">
        <v>1848</v>
      </c>
      <c r="B7" s="193">
        <v>278532</v>
      </c>
      <c r="C7" s="230">
        <f>((B7-B6)/B6)</f>
        <v>0.37889859205132775</v>
      </c>
      <c r="H7" s="188" t="s">
        <v>1848</v>
      </c>
      <c r="I7" s="193">
        <v>278532</v>
      </c>
      <c r="J7" s="230">
        <f>((I7-I6)/I6)</f>
        <v>0.37889859205132775</v>
      </c>
      <c r="L7" s="232" t="s">
        <v>1849</v>
      </c>
      <c r="M7" s="233">
        <v>740633</v>
      </c>
      <c r="N7" s="233">
        <v>455442</v>
      </c>
      <c r="O7" s="233">
        <v>1009981</v>
      </c>
      <c r="P7" s="234">
        <f>((O7-O6)/O6)</f>
        <v>1.7433506448353415</v>
      </c>
    </row>
    <row r="8" spans="1:16" ht="15" thickBot="1">
      <c r="A8" s="188" t="s">
        <v>1850</v>
      </c>
      <c r="B8" s="193">
        <v>368156</v>
      </c>
      <c r="C8" s="230">
        <f>((B8-B7)/B7)</f>
        <v>0.32177272270331597</v>
      </c>
      <c r="H8" s="188" t="s">
        <v>1850</v>
      </c>
      <c r="I8" s="193">
        <v>368156</v>
      </c>
      <c r="J8" s="230">
        <f>((I8-I7)/I7)</f>
        <v>0.32177272270331597</v>
      </c>
      <c r="L8" s="232" t="s">
        <v>1851</v>
      </c>
      <c r="M8" s="233">
        <v>793716</v>
      </c>
      <c r="N8" s="233">
        <v>558131</v>
      </c>
      <c r="O8" s="233">
        <f>SUM(M8:N8)</f>
        <v>1351847</v>
      </c>
      <c r="P8" s="234">
        <f>((O8-O7)/O7)</f>
        <v>0.33848755570649347</v>
      </c>
    </row>
    <row r="9" spans="1:16">
      <c r="A9" s="188" t="s">
        <v>1842</v>
      </c>
      <c r="B9" s="193">
        <v>1091545</v>
      </c>
      <c r="C9" s="230">
        <f>((B9-B6)/B6)</f>
        <v>4.4037951246559341</v>
      </c>
      <c r="F9" s="200">
        <f>+((B9-B8)/B8)</f>
        <v>1.9648980323558491</v>
      </c>
      <c r="H9" s="188" t="s">
        <v>1842</v>
      </c>
      <c r="I9" s="193">
        <v>1091545</v>
      </c>
      <c r="J9" s="230">
        <f>((I9-I8)/I8)</f>
        <v>1.9648980323558491</v>
      </c>
    </row>
    <row r="10" spans="1:16">
      <c r="A10" s="235"/>
      <c r="B10" s="194"/>
      <c r="C10" s="220"/>
    </row>
    <row r="13" spans="1:16">
      <c r="N13" s="236"/>
    </row>
  </sheetData>
  <mergeCells count="1">
    <mergeCell ref="L2:P2"/>
  </mergeCells>
  <pageMargins left="0.7" right="0.7" top="0.75" bottom="0.75" header="0.3" footer="0.3"/>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4"/>
  <sheetViews>
    <sheetView workbookViewId="0">
      <selection sqref="A1:XFD1048576"/>
    </sheetView>
  </sheetViews>
  <sheetFormatPr baseColWidth="10" defaultColWidth="8.83203125" defaultRowHeight="14" x14ac:dyDescent="0"/>
  <cols>
    <col min="1" max="1" width="26" customWidth="1"/>
    <col min="2" max="2" width="18.5" customWidth="1"/>
    <col min="3" max="3" width="18" customWidth="1"/>
    <col min="4" max="4" width="17.83203125" customWidth="1"/>
    <col min="5" max="5" width="20.1640625" customWidth="1"/>
    <col min="6" max="7" width="21.6640625" customWidth="1"/>
    <col min="8" max="12" width="27.1640625" customWidth="1"/>
    <col min="13" max="14" width="26.83203125" customWidth="1"/>
    <col min="15" max="15" width="26.83203125" style="301" customWidth="1"/>
    <col min="16" max="17" width="26.83203125" customWidth="1"/>
    <col min="18" max="18" width="24.5" customWidth="1"/>
    <col min="19" max="21" width="22.6640625" customWidth="1"/>
  </cols>
  <sheetData>
    <row r="1" spans="1:21">
      <c r="A1" s="237" t="s">
        <v>1852</v>
      </c>
      <c r="B1" s="237" t="s">
        <v>1853</v>
      </c>
      <c r="C1" s="237" t="s">
        <v>1854</v>
      </c>
      <c r="D1" s="238" t="s">
        <v>1855</v>
      </c>
      <c r="E1" s="239" t="s">
        <v>1856</v>
      </c>
      <c r="F1" s="238" t="s">
        <v>1857</v>
      </c>
      <c r="G1" s="240" t="s">
        <v>1858</v>
      </c>
      <c r="H1" s="241" t="s">
        <v>1859</v>
      </c>
      <c r="I1" s="242" t="s">
        <v>1860</v>
      </c>
      <c r="J1" s="241" t="s">
        <v>1861</v>
      </c>
      <c r="K1" s="242" t="s">
        <v>1862</v>
      </c>
      <c r="L1" s="241" t="s">
        <v>1863</v>
      </c>
      <c r="M1" s="242" t="s">
        <v>1864</v>
      </c>
      <c r="N1" s="241" t="s">
        <v>1865</v>
      </c>
      <c r="O1" s="243" t="s">
        <v>1866</v>
      </c>
      <c r="P1" s="244" t="s">
        <v>1867</v>
      </c>
      <c r="Q1" s="245" t="s">
        <v>1868</v>
      </c>
      <c r="R1" s="244" t="s">
        <v>1869</v>
      </c>
      <c r="S1" s="243" t="s">
        <v>1870</v>
      </c>
      <c r="T1" s="246" t="s">
        <v>1871</v>
      </c>
      <c r="U1" s="240" t="s">
        <v>1872</v>
      </c>
    </row>
    <row r="2" spans="1:21">
      <c r="A2" s="237"/>
      <c r="B2" s="237"/>
      <c r="C2" s="237"/>
      <c r="D2" s="238"/>
      <c r="E2" s="247"/>
      <c r="F2" s="238"/>
      <c r="G2" s="240"/>
      <c r="H2" s="241"/>
      <c r="I2" s="242"/>
      <c r="J2" s="241"/>
      <c r="K2" s="242"/>
      <c r="L2" s="241"/>
      <c r="M2" s="242"/>
      <c r="N2" s="241"/>
      <c r="O2" s="243"/>
      <c r="P2" s="244"/>
      <c r="Q2" s="245"/>
      <c r="R2" s="244"/>
      <c r="S2" s="243"/>
      <c r="U2" s="248"/>
    </row>
    <row r="3" spans="1:21">
      <c r="A3" s="249" t="s">
        <v>1873</v>
      </c>
      <c r="B3" s="249" t="s">
        <v>1874</v>
      </c>
      <c r="C3" s="249" t="s">
        <v>1875</v>
      </c>
      <c r="D3" s="188">
        <v>0</v>
      </c>
      <c r="E3" s="250">
        <v>7</v>
      </c>
      <c r="F3" s="188">
        <v>85</v>
      </c>
      <c r="G3" s="248">
        <v>165</v>
      </c>
      <c r="H3" s="188">
        <f>SUM(650+960+837)</f>
        <v>2447</v>
      </c>
      <c r="I3" s="251">
        <v>2779</v>
      </c>
      <c r="J3" s="188">
        <v>3003</v>
      </c>
      <c r="K3" s="248">
        <v>3755</v>
      </c>
      <c r="L3" s="188">
        <v>4745</v>
      </c>
      <c r="M3" s="248">
        <v>5538</v>
      </c>
      <c r="N3" s="188">
        <v>6263</v>
      </c>
      <c r="O3" s="252">
        <f>SUM(1114+3544+2492)</f>
        <v>7150</v>
      </c>
      <c r="P3" s="253">
        <v>1259</v>
      </c>
      <c r="Q3" s="252">
        <v>1440</v>
      </c>
      <c r="R3" s="254">
        <v>1821</v>
      </c>
      <c r="S3" s="255">
        <v>5616</v>
      </c>
      <c r="T3" s="256">
        <v>11865</v>
      </c>
      <c r="U3" s="257">
        <v>12514</v>
      </c>
    </row>
    <row r="4" spans="1:21">
      <c r="A4" s="249" t="s">
        <v>1876</v>
      </c>
      <c r="B4" s="249" t="s">
        <v>1874</v>
      </c>
      <c r="C4" s="249" t="s">
        <v>1875</v>
      </c>
      <c r="D4" s="188">
        <v>0</v>
      </c>
      <c r="E4" s="250">
        <v>3</v>
      </c>
      <c r="F4" s="188">
        <v>45</v>
      </c>
      <c r="G4" s="248">
        <v>75</v>
      </c>
      <c r="H4" s="188">
        <f>SUM(226+345+231)</f>
        <v>802</v>
      </c>
      <c r="I4" s="251">
        <v>905</v>
      </c>
      <c r="J4" s="188">
        <v>973</v>
      </c>
      <c r="K4" s="248">
        <v>1192</v>
      </c>
      <c r="L4" s="188">
        <v>1530</v>
      </c>
      <c r="M4" s="248">
        <v>1816</v>
      </c>
      <c r="N4" s="188">
        <v>2033</v>
      </c>
      <c r="O4" s="258">
        <f>SUM(374+1455+484)</f>
        <v>2313</v>
      </c>
      <c r="P4" s="259">
        <v>531</v>
      </c>
      <c r="Q4" s="258">
        <v>644</v>
      </c>
      <c r="R4" s="260">
        <v>831</v>
      </c>
      <c r="S4" s="257">
        <v>2852</v>
      </c>
      <c r="T4" s="261">
        <v>6028</v>
      </c>
      <c r="U4" s="257">
        <v>6476</v>
      </c>
    </row>
    <row r="5" spans="1:21">
      <c r="A5" s="249" t="s">
        <v>1649</v>
      </c>
      <c r="B5" s="249" t="s">
        <v>1874</v>
      </c>
      <c r="C5" s="249" t="s">
        <v>1875</v>
      </c>
      <c r="D5" s="188">
        <v>0</v>
      </c>
      <c r="E5" s="250">
        <v>4</v>
      </c>
      <c r="F5" s="188">
        <v>26</v>
      </c>
      <c r="G5" s="248">
        <v>47</v>
      </c>
      <c r="H5" s="188">
        <f>SUM(230+363+0)</f>
        <v>593</v>
      </c>
      <c r="I5" s="251">
        <v>664</v>
      </c>
      <c r="J5" s="188">
        <v>706</v>
      </c>
      <c r="K5" s="248">
        <v>868</v>
      </c>
      <c r="L5" s="188">
        <v>1106</v>
      </c>
      <c r="M5" s="248">
        <v>1361</v>
      </c>
      <c r="N5" s="188">
        <v>1576</v>
      </c>
      <c r="O5" s="258">
        <f>SUM(455+1373+0)</f>
        <v>1828</v>
      </c>
      <c r="P5" s="259">
        <v>445</v>
      </c>
      <c r="Q5" s="258">
        <v>550</v>
      </c>
      <c r="R5" s="260">
        <v>705</v>
      </c>
      <c r="S5" s="257">
        <v>2426</v>
      </c>
      <c r="T5" s="261">
        <v>5655</v>
      </c>
      <c r="U5" s="257">
        <v>5922</v>
      </c>
    </row>
    <row r="6" spans="1:21">
      <c r="A6" s="249" t="s">
        <v>1877</v>
      </c>
      <c r="B6" s="249" t="s">
        <v>1874</v>
      </c>
      <c r="C6" s="249" t="s">
        <v>1875</v>
      </c>
      <c r="D6" s="188">
        <v>0</v>
      </c>
      <c r="E6" s="250">
        <v>6</v>
      </c>
      <c r="F6" s="188">
        <v>31</v>
      </c>
      <c r="G6" s="248">
        <v>56</v>
      </c>
      <c r="H6" s="188">
        <f>SUM(109+335+0)</f>
        <v>444</v>
      </c>
      <c r="I6" s="251">
        <v>501</v>
      </c>
      <c r="J6" s="188">
        <v>554</v>
      </c>
      <c r="K6" s="248">
        <v>745</v>
      </c>
      <c r="L6" s="188">
        <v>1049</v>
      </c>
      <c r="M6" s="248">
        <v>1291</v>
      </c>
      <c r="N6" s="188">
        <v>1539</v>
      </c>
      <c r="O6" s="258">
        <f>SUM(217+1535+0)</f>
        <v>1752</v>
      </c>
      <c r="P6" s="259">
        <v>248</v>
      </c>
      <c r="Q6" s="258">
        <v>300</v>
      </c>
      <c r="R6" s="260">
        <v>380</v>
      </c>
      <c r="S6" s="257">
        <v>1426</v>
      </c>
      <c r="T6" s="261">
        <v>3053</v>
      </c>
      <c r="U6" s="257">
        <v>3409</v>
      </c>
    </row>
    <row r="7" spans="1:21">
      <c r="A7" s="249" t="s">
        <v>1668</v>
      </c>
      <c r="B7" s="249" t="s">
        <v>1874</v>
      </c>
      <c r="C7" s="249" t="s">
        <v>1875</v>
      </c>
      <c r="D7" s="188">
        <v>0</v>
      </c>
      <c r="E7" s="250"/>
      <c r="F7" s="188"/>
      <c r="G7" s="248">
        <v>1</v>
      </c>
      <c r="H7" s="188">
        <f>SUM(38+28+0)</f>
        <v>66</v>
      </c>
      <c r="I7" s="251">
        <v>80</v>
      </c>
      <c r="J7" s="188">
        <v>83</v>
      </c>
      <c r="K7" s="248">
        <v>101</v>
      </c>
      <c r="L7" s="188">
        <v>119</v>
      </c>
      <c r="M7" s="248">
        <v>140</v>
      </c>
      <c r="N7" s="188">
        <v>168</v>
      </c>
      <c r="O7" s="258">
        <f>SUM(86+106+0)</f>
        <v>192</v>
      </c>
      <c r="P7" s="259">
        <v>100</v>
      </c>
      <c r="Q7" s="258">
        <v>118</v>
      </c>
      <c r="R7" s="260">
        <v>151</v>
      </c>
      <c r="S7" s="257">
        <v>376</v>
      </c>
      <c r="T7" s="261">
        <v>1096</v>
      </c>
      <c r="U7" s="257">
        <v>1137</v>
      </c>
    </row>
    <row r="8" spans="1:21">
      <c r="A8" s="249" t="s">
        <v>1677</v>
      </c>
      <c r="B8" s="249" t="s">
        <v>1874</v>
      </c>
      <c r="C8" s="249" t="s">
        <v>1875</v>
      </c>
      <c r="D8" s="188">
        <v>0</v>
      </c>
      <c r="E8" s="250">
        <v>8</v>
      </c>
      <c r="F8" s="188">
        <v>166</v>
      </c>
      <c r="G8" s="248">
        <v>269</v>
      </c>
      <c r="H8" s="188">
        <v>1507</v>
      </c>
      <c r="I8" s="251">
        <v>1441</v>
      </c>
      <c r="J8" s="188">
        <v>1622</v>
      </c>
      <c r="K8" s="248">
        <v>2181</v>
      </c>
      <c r="L8" s="188">
        <v>2831</v>
      </c>
      <c r="M8" s="248">
        <v>3190</v>
      </c>
      <c r="N8" s="188">
        <v>3652</v>
      </c>
      <c r="O8" s="258">
        <f>SUM(4027+0+0)</f>
        <v>4027</v>
      </c>
      <c r="P8" s="259">
        <v>4365</v>
      </c>
      <c r="Q8" s="258">
        <v>4842</v>
      </c>
      <c r="R8" s="260">
        <v>5423</v>
      </c>
      <c r="S8" s="257">
        <v>36642</v>
      </c>
      <c r="T8" s="261">
        <v>44573</v>
      </c>
      <c r="U8" s="257">
        <v>44566</v>
      </c>
    </row>
    <row r="9" spans="1:21">
      <c r="A9" s="249" t="s">
        <v>1873</v>
      </c>
      <c r="B9" s="249" t="s">
        <v>1874</v>
      </c>
      <c r="C9" s="249" t="s">
        <v>1878</v>
      </c>
      <c r="D9" s="188">
        <v>13294</v>
      </c>
      <c r="E9" s="250">
        <f>SUM(7519+3378+2656)</f>
        <v>13553</v>
      </c>
      <c r="F9" s="188">
        <v>14120</v>
      </c>
      <c r="G9" s="248">
        <v>14758</v>
      </c>
      <c r="H9" s="188">
        <f>SUM(9630+4495+3532)</f>
        <v>17657</v>
      </c>
      <c r="I9" s="262">
        <v>18567</v>
      </c>
      <c r="J9" s="88">
        <f>SUM(10510+4961+3971)</f>
        <v>19442</v>
      </c>
      <c r="K9" s="248">
        <v>20889</v>
      </c>
      <c r="L9" s="263">
        <v>22811</v>
      </c>
      <c r="M9" s="264">
        <v>25116</v>
      </c>
      <c r="N9" s="263">
        <v>28260</v>
      </c>
      <c r="O9" s="265">
        <f>SUM(14830+9012+7705)</f>
        <v>31547</v>
      </c>
      <c r="P9" s="266">
        <v>16194</v>
      </c>
      <c r="Q9" s="265">
        <v>17694</v>
      </c>
      <c r="R9" s="266">
        <v>19095</v>
      </c>
      <c r="S9" s="265">
        <v>20543</v>
      </c>
      <c r="T9" s="267">
        <v>21873</v>
      </c>
      <c r="U9" s="268">
        <v>23432</v>
      </c>
    </row>
    <row r="10" spans="1:21">
      <c r="A10" s="249" t="s">
        <v>1876</v>
      </c>
      <c r="B10" s="249" t="s">
        <v>1874</v>
      </c>
      <c r="C10" s="249" t="s">
        <v>1878</v>
      </c>
      <c r="D10" s="188">
        <v>12455</v>
      </c>
      <c r="E10" s="250">
        <f>SUM(9291+1927+1419)</f>
        <v>12637</v>
      </c>
      <c r="F10" s="188">
        <v>13235</v>
      </c>
      <c r="G10" s="248">
        <v>13883</v>
      </c>
      <c r="H10" s="188">
        <f>SUM(10414+2449+1807)</f>
        <v>14670</v>
      </c>
      <c r="I10" s="262">
        <v>15440</v>
      </c>
      <c r="J10" s="88">
        <f>SUM(11228+2839+2102)</f>
        <v>16169</v>
      </c>
      <c r="K10" s="248">
        <v>17078</v>
      </c>
      <c r="L10" s="263">
        <v>18495</v>
      </c>
      <c r="M10" s="264">
        <v>20235</v>
      </c>
      <c r="N10" s="263">
        <v>22159</v>
      </c>
      <c r="O10" s="268">
        <f>SUM(15384+5310+3634)</f>
        <v>24328</v>
      </c>
      <c r="P10" s="269">
        <v>9550</v>
      </c>
      <c r="Q10" s="268">
        <v>10397</v>
      </c>
      <c r="R10" s="269">
        <v>11262</v>
      </c>
      <c r="S10" s="268">
        <v>12057</v>
      </c>
      <c r="T10" s="270">
        <v>12600</v>
      </c>
      <c r="U10" s="268">
        <v>13548</v>
      </c>
    </row>
    <row r="11" spans="1:21">
      <c r="A11" s="249" t="s">
        <v>1649</v>
      </c>
      <c r="B11" s="249" t="s">
        <v>1874</v>
      </c>
      <c r="C11" s="249" t="s">
        <v>1878</v>
      </c>
      <c r="D11" s="188">
        <v>5407</v>
      </c>
      <c r="E11" s="250">
        <f>SUM(4055+1491+0)</f>
        <v>5546</v>
      </c>
      <c r="F11" s="188">
        <v>5708</v>
      </c>
      <c r="G11" s="248">
        <v>5981</v>
      </c>
      <c r="H11" s="188">
        <f>SUM(4601+1784+0)</f>
        <v>6385</v>
      </c>
      <c r="I11" s="262">
        <v>6795</v>
      </c>
      <c r="J11" s="88">
        <f>SUM(5111+2045+0)</f>
        <v>7156</v>
      </c>
      <c r="K11" s="248">
        <v>7647</v>
      </c>
      <c r="L11" s="263">
        <v>8405</v>
      </c>
      <c r="M11" s="264">
        <v>9325</v>
      </c>
      <c r="N11" s="263">
        <v>11047</v>
      </c>
      <c r="O11" s="268">
        <f>SUM(8503+3913+0)</f>
        <v>12416</v>
      </c>
      <c r="P11" s="269">
        <v>16410</v>
      </c>
      <c r="Q11" s="268">
        <v>17578</v>
      </c>
      <c r="R11" s="269">
        <v>18727</v>
      </c>
      <c r="S11" s="268">
        <v>19999</v>
      </c>
      <c r="T11" s="270">
        <v>20779</v>
      </c>
      <c r="U11" s="268">
        <v>21748</v>
      </c>
    </row>
    <row r="12" spans="1:21">
      <c r="A12" s="249" t="s">
        <v>1877</v>
      </c>
      <c r="B12" s="249" t="s">
        <v>1874</v>
      </c>
      <c r="C12" s="249" t="s">
        <v>1878</v>
      </c>
      <c r="D12" s="188">
        <v>1453</v>
      </c>
      <c r="E12" s="250">
        <f>SUM(1037+469+0)</f>
        <v>1506</v>
      </c>
      <c r="F12" s="188">
        <v>1589</v>
      </c>
      <c r="G12" s="248">
        <v>1702</v>
      </c>
      <c r="H12" s="188">
        <f>SUM(1228+610+0)</f>
        <v>1838</v>
      </c>
      <c r="I12" s="262">
        <v>1974</v>
      </c>
      <c r="J12" s="88">
        <f>SUM(1400+682+0)</f>
        <v>2082</v>
      </c>
      <c r="K12" s="248">
        <v>2274</v>
      </c>
      <c r="L12" s="263">
        <v>2554</v>
      </c>
      <c r="M12" s="264">
        <v>3031</v>
      </c>
      <c r="N12" s="263">
        <v>3573</v>
      </c>
      <c r="O12" s="268">
        <f>SUM(2599+1522+0)</f>
        <v>4121</v>
      </c>
      <c r="P12" s="269">
        <v>2905</v>
      </c>
      <c r="Q12" s="268">
        <v>3220</v>
      </c>
      <c r="R12" s="269">
        <v>3534</v>
      </c>
      <c r="S12" s="268">
        <v>3891</v>
      </c>
      <c r="T12" s="270">
        <v>4109</v>
      </c>
      <c r="U12" s="268">
        <v>5783</v>
      </c>
    </row>
    <row r="13" spans="1:21">
      <c r="A13" s="249" t="s">
        <v>1668</v>
      </c>
      <c r="B13" s="249" t="s">
        <v>1874</v>
      </c>
      <c r="C13" s="249" t="s">
        <v>1878</v>
      </c>
      <c r="D13" s="188">
        <v>465</v>
      </c>
      <c r="E13" s="250">
        <f>SUM(379+99+0)</f>
        <v>478</v>
      </c>
      <c r="F13" s="188">
        <v>497</v>
      </c>
      <c r="G13" s="248">
        <v>525</v>
      </c>
      <c r="H13" s="188">
        <f>SUM(437+121+0)</f>
        <v>558</v>
      </c>
      <c r="I13" s="262">
        <v>594</v>
      </c>
      <c r="J13" s="88">
        <f>SUM(476+144+0)</f>
        <v>620</v>
      </c>
      <c r="K13" s="248">
        <v>661</v>
      </c>
      <c r="L13" s="263">
        <v>734</v>
      </c>
      <c r="M13" s="264">
        <v>881</v>
      </c>
      <c r="N13" s="263">
        <v>1074</v>
      </c>
      <c r="O13" s="268">
        <f>SUM(953+291+0)</f>
        <v>1244</v>
      </c>
      <c r="P13" s="269">
        <v>1098</v>
      </c>
      <c r="Q13" s="268">
        <v>1216</v>
      </c>
      <c r="R13" s="269">
        <v>1314</v>
      </c>
      <c r="S13" s="268">
        <v>1420</v>
      </c>
      <c r="T13" s="270">
        <v>1530</v>
      </c>
      <c r="U13" s="268">
        <v>1649</v>
      </c>
    </row>
    <row r="14" spans="1:21">
      <c r="A14" s="249" t="s">
        <v>1677</v>
      </c>
      <c r="B14" s="249" t="s">
        <v>1874</v>
      </c>
      <c r="C14" s="249" t="s">
        <v>1878</v>
      </c>
      <c r="D14" s="188">
        <v>3132</v>
      </c>
      <c r="E14" s="250">
        <f>SUM(3217+0+0)</f>
        <v>3217</v>
      </c>
      <c r="F14" s="188">
        <v>3523</v>
      </c>
      <c r="G14" s="248">
        <v>4691</v>
      </c>
      <c r="H14" s="271">
        <v>5469</v>
      </c>
      <c r="I14" s="262">
        <v>4808</v>
      </c>
      <c r="J14" s="88">
        <f>SUM(5176+0+0)</f>
        <v>5176</v>
      </c>
      <c r="K14" s="272">
        <v>6191</v>
      </c>
      <c r="L14" s="263">
        <v>7405</v>
      </c>
      <c r="M14" s="264">
        <v>8701</v>
      </c>
      <c r="N14" s="263">
        <v>10188</v>
      </c>
      <c r="O14" s="268">
        <f>SUM(11745+0+0)</f>
        <v>11745</v>
      </c>
      <c r="P14" s="269">
        <v>13285</v>
      </c>
      <c r="Q14" s="268">
        <v>14910</v>
      </c>
      <c r="R14" s="269">
        <v>16639</v>
      </c>
      <c r="S14" s="268">
        <v>20054</v>
      </c>
      <c r="T14" s="270">
        <v>22910</v>
      </c>
      <c r="U14" s="268">
        <v>25914</v>
      </c>
    </row>
    <row r="15" spans="1:21" ht="15" thickBot="1">
      <c r="A15" s="273" t="s">
        <v>1634</v>
      </c>
      <c r="B15" s="273" t="s">
        <v>1874</v>
      </c>
      <c r="C15" s="273" t="s">
        <v>1634</v>
      </c>
      <c r="D15" s="274">
        <f t="shared" ref="D15:U15" si="0">SUM(D3:D14)</f>
        <v>36206</v>
      </c>
      <c r="E15" s="274">
        <f t="shared" si="0"/>
        <v>36965</v>
      </c>
      <c r="F15" s="274">
        <f t="shared" si="0"/>
        <v>39025</v>
      </c>
      <c r="G15" s="275">
        <f t="shared" si="0"/>
        <v>42153</v>
      </c>
      <c r="H15" s="274">
        <f t="shared" si="0"/>
        <v>52436</v>
      </c>
      <c r="I15" s="275">
        <f t="shared" si="0"/>
        <v>54548</v>
      </c>
      <c r="J15" s="274">
        <f t="shared" si="0"/>
        <v>57586</v>
      </c>
      <c r="K15" s="275">
        <f t="shared" si="0"/>
        <v>63582</v>
      </c>
      <c r="L15" s="274">
        <f t="shared" si="0"/>
        <v>71784</v>
      </c>
      <c r="M15" s="275">
        <f t="shared" si="0"/>
        <v>80625</v>
      </c>
      <c r="N15" s="274">
        <f t="shared" si="0"/>
        <v>91532</v>
      </c>
      <c r="O15" s="276">
        <f t="shared" si="0"/>
        <v>102663</v>
      </c>
      <c r="P15" s="277">
        <f t="shared" si="0"/>
        <v>66390</v>
      </c>
      <c r="Q15" s="278">
        <f t="shared" si="0"/>
        <v>72909</v>
      </c>
      <c r="R15" s="279">
        <f t="shared" si="0"/>
        <v>79882</v>
      </c>
      <c r="S15" s="278">
        <f t="shared" si="0"/>
        <v>127302</v>
      </c>
      <c r="T15" s="278">
        <f t="shared" si="0"/>
        <v>156071</v>
      </c>
      <c r="U15" s="278">
        <f t="shared" si="0"/>
        <v>166098</v>
      </c>
    </row>
    <row r="16" spans="1:21" ht="15" thickTop="1">
      <c r="A16" s="249" t="s">
        <v>1873</v>
      </c>
      <c r="B16" s="249" t="s">
        <v>657</v>
      </c>
      <c r="C16" s="249" t="s">
        <v>1875</v>
      </c>
      <c r="D16" s="188">
        <v>0</v>
      </c>
      <c r="E16" s="250"/>
      <c r="F16" s="188"/>
      <c r="G16" s="248"/>
      <c r="H16" s="188">
        <v>0</v>
      </c>
      <c r="I16" s="188">
        <v>0</v>
      </c>
      <c r="J16" s="188">
        <v>0</v>
      </c>
      <c r="K16" s="188">
        <v>0</v>
      </c>
      <c r="L16" s="188">
        <v>0</v>
      </c>
      <c r="M16" s="188">
        <v>0</v>
      </c>
      <c r="N16" s="188">
        <v>0</v>
      </c>
      <c r="O16" s="259">
        <v>0</v>
      </c>
      <c r="P16" s="259">
        <v>0</v>
      </c>
      <c r="Q16" s="253">
        <v>0</v>
      </c>
      <c r="R16" s="254">
        <v>0</v>
      </c>
      <c r="S16" s="260">
        <v>0</v>
      </c>
      <c r="T16" s="260">
        <v>0</v>
      </c>
      <c r="U16" s="260">
        <v>0</v>
      </c>
    </row>
    <row r="17" spans="1:21">
      <c r="A17" s="249" t="s">
        <v>1876</v>
      </c>
      <c r="B17" s="249" t="s">
        <v>657</v>
      </c>
      <c r="C17" s="249" t="s">
        <v>1875</v>
      </c>
      <c r="D17" s="188">
        <v>0</v>
      </c>
      <c r="E17" s="250"/>
      <c r="F17" s="188"/>
      <c r="G17" s="248"/>
      <c r="H17" s="188">
        <v>0</v>
      </c>
      <c r="I17" s="188">
        <v>0</v>
      </c>
      <c r="J17" s="188">
        <v>0</v>
      </c>
      <c r="K17" s="188">
        <v>0</v>
      </c>
      <c r="L17" s="188">
        <v>0</v>
      </c>
      <c r="M17" s="188">
        <v>0</v>
      </c>
      <c r="N17" s="188">
        <v>0</v>
      </c>
      <c r="O17" s="259">
        <v>0</v>
      </c>
      <c r="P17" s="259">
        <v>0</v>
      </c>
      <c r="Q17" s="259">
        <v>0</v>
      </c>
      <c r="R17" s="260">
        <v>0</v>
      </c>
      <c r="S17" s="260">
        <v>0</v>
      </c>
      <c r="T17" s="260">
        <v>0</v>
      </c>
      <c r="U17" s="260">
        <v>0</v>
      </c>
    </row>
    <row r="18" spans="1:21">
      <c r="A18" s="249" t="s">
        <v>1649</v>
      </c>
      <c r="B18" s="249" t="s">
        <v>657</v>
      </c>
      <c r="C18" s="249" t="s">
        <v>1875</v>
      </c>
      <c r="D18" s="188">
        <v>0</v>
      </c>
      <c r="E18" s="250"/>
      <c r="F18" s="188"/>
      <c r="G18" s="248"/>
      <c r="H18" s="188">
        <v>0</v>
      </c>
      <c r="I18" s="188">
        <v>0</v>
      </c>
      <c r="J18" s="188">
        <v>0</v>
      </c>
      <c r="K18" s="188">
        <v>0</v>
      </c>
      <c r="L18" s="188">
        <v>0</v>
      </c>
      <c r="M18" s="188">
        <v>0</v>
      </c>
      <c r="N18" s="188">
        <v>0</v>
      </c>
      <c r="O18" s="259">
        <v>0</v>
      </c>
      <c r="P18" s="259">
        <v>0</v>
      </c>
      <c r="Q18" s="259">
        <v>0</v>
      </c>
      <c r="R18" s="260">
        <v>0</v>
      </c>
      <c r="S18" s="260">
        <v>0</v>
      </c>
      <c r="T18" s="260">
        <v>0</v>
      </c>
      <c r="U18" s="260">
        <v>0</v>
      </c>
    </row>
    <row r="19" spans="1:21">
      <c r="A19" s="249" t="s">
        <v>1877</v>
      </c>
      <c r="B19" s="249" t="s">
        <v>657</v>
      </c>
      <c r="C19" s="249" t="s">
        <v>1875</v>
      </c>
      <c r="D19" s="188">
        <v>0</v>
      </c>
      <c r="E19" s="250"/>
      <c r="F19" s="188"/>
      <c r="G19" s="248"/>
      <c r="H19" s="188">
        <v>0</v>
      </c>
      <c r="I19" s="188">
        <v>0</v>
      </c>
      <c r="J19" s="188">
        <v>0</v>
      </c>
      <c r="K19" s="188">
        <v>0</v>
      </c>
      <c r="L19" s="188">
        <v>0</v>
      </c>
      <c r="M19" s="188">
        <v>0</v>
      </c>
      <c r="N19" s="188">
        <v>0</v>
      </c>
      <c r="O19" s="259">
        <v>0</v>
      </c>
      <c r="P19" s="259">
        <v>0</v>
      </c>
      <c r="Q19" s="259">
        <v>0</v>
      </c>
      <c r="R19" s="260">
        <v>0</v>
      </c>
      <c r="S19" s="260">
        <v>0</v>
      </c>
      <c r="T19" s="260">
        <v>0</v>
      </c>
      <c r="U19" s="260">
        <v>0</v>
      </c>
    </row>
    <row r="20" spans="1:21">
      <c r="A20" s="249" t="s">
        <v>1668</v>
      </c>
      <c r="B20" s="249" t="s">
        <v>657</v>
      </c>
      <c r="C20" s="249" t="s">
        <v>1875</v>
      </c>
      <c r="D20" s="188">
        <v>0</v>
      </c>
      <c r="E20" s="250"/>
      <c r="F20" s="188"/>
      <c r="G20" s="248"/>
      <c r="H20" s="188">
        <v>0</v>
      </c>
      <c r="I20" s="188">
        <v>0</v>
      </c>
      <c r="J20" s="188">
        <v>0</v>
      </c>
      <c r="K20" s="188">
        <v>0</v>
      </c>
      <c r="L20" s="188">
        <v>0</v>
      </c>
      <c r="M20" s="188">
        <v>0</v>
      </c>
      <c r="N20" s="188">
        <v>0</v>
      </c>
      <c r="O20" s="259">
        <v>0</v>
      </c>
      <c r="P20" s="259">
        <v>0</v>
      </c>
      <c r="Q20" s="259">
        <v>0</v>
      </c>
      <c r="R20" s="260">
        <v>0</v>
      </c>
      <c r="S20" s="260">
        <v>0</v>
      </c>
      <c r="T20" s="260">
        <v>0</v>
      </c>
      <c r="U20" s="260">
        <v>0</v>
      </c>
    </row>
    <row r="21" spans="1:21">
      <c r="A21" s="249" t="s">
        <v>1677</v>
      </c>
      <c r="B21" s="249" t="s">
        <v>657</v>
      </c>
      <c r="C21" s="249" t="s">
        <v>1875</v>
      </c>
      <c r="D21" s="188">
        <v>0</v>
      </c>
      <c r="E21" s="250"/>
      <c r="F21" s="188"/>
      <c r="G21" s="248"/>
      <c r="H21" s="188">
        <v>0</v>
      </c>
      <c r="I21" s="188">
        <v>0</v>
      </c>
      <c r="J21" s="188">
        <v>0</v>
      </c>
      <c r="K21" s="188">
        <v>0</v>
      </c>
      <c r="L21" s="188">
        <v>0</v>
      </c>
      <c r="M21" s="188">
        <v>0</v>
      </c>
      <c r="N21" s="188">
        <v>0</v>
      </c>
      <c r="O21" s="259">
        <v>0</v>
      </c>
      <c r="P21" s="259">
        <v>0</v>
      </c>
      <c r="Q21" s="259">
        <v>0</v>
      </c>
      <c r="R21" s="260">
        <v>0</v>
      </c>
      <c r="S21" s="260">
        <v>0</v>
      </c>
      <c r="T21" s="260">
        <v>0</v>
      </c>
      <c r="U21" s="260">
        <v>0</v>
      </c>
    </row>
    <row r="22" spans="1:21">
      <c r="A22" s="249" t="s">
        <v>1873</v>
      </c>
      <c r="B22" s="249" t="s">
        <v>657</v>
      </c>
      <c r="C22" s="249" t="s">
        <v>1878</v>
      </c>
      <c r="D22" s="188">
        <v>21870</v>
      </c>
      <c r="E22" s="280">
        <v>22167</v>
      </c>
      <c r="F22" s="188">
        <v>22828</v>
      </c>
      <c r="G22" s="248">
        <v>23464</v>
      </c>
      <c r="H22" s="188">
        <v>24061</v>
      </c>
      <c r="I22" s="248">
        <v>24513</v>
      </c>
      <c r="J22" s="188">
        <v>24867</v>
      </c>
      <c r="K22" s="248">
        <v>25209</v>
      </c>
      <c r="L22" s="248">
        <v>25876</v>
      </c>
      <c r="M22" s="248">
        <v>26124</v>
      </c>
      <c r="N22" s="248">
        <v>26687</v>
      </c>
      <c r="O22" s="264">
        <v>27204</v>
      </c>
      <c r="P22" s="264">
        <v>27770</v>
      </c>
      <c r="Q22" s="264">
        <v>27770</v>
      </c>
      <c r="R22" s="268">
        <v>28911</v>
      </c>
      <c r="S22" s="268">
        <v>30562</v>
      </c>
      <c r="T22" s="268">
        <v>31327</v>
      </c>
      <c r="U22" s="268">
        <v>32012</v>
      </c>
    </row>
    <row r="23" spans="1:21">
      <c r="A23" s="249" t="s">
        <v>1876</v>
      </c>
      <c r="B23" s="249" t="s">
        <v>657</v>
      </c>
      <c r="C23" s="249" t="s">
        <v>1878</v>
      </c>
      <c r="D23" s="188">
        <v>15116</v>
      </c>
      <c r="E23" s="250">
        <v>15276</v>
      </c>
      <c r="F23" s="188">
        <v>15662</v>
      </c>
      <c r="G23" s="248">
        <v>16071</v>
      </c>
      <c r="H23" s="188">
        <v>16428</v>
      </c>
      <c r="I23" s="248">
        <v>16707</v>
      </c>
      <c r="J23" s="188">
        <v>16898</v>
      </c>
      <c r="K23" s="248">
        <v>17125</v>
      </c>
      <c r="L23" s="248">
        <v>17439</v>
      </c>
      <c r="M23" s="248">
        <v>17726</v>
      </c>
      <c r="N23" s="248">
        <v>18088</v>
      </c>
      <c r="O23" s="264">
        <v>18482</v>
      </c>
      <c r="P23" s="264">
        <v>12105</v>
      </c>
      <c r="Q23" s="264">
        <v>12105</v>
      </c>
      <c r="R23" s="268">
        <v>12610</v>
      </c>
      <c r="S23" s="268">
        <v>13370</v>
      </c>
      <c r="T23" s="268">
        <v>13710</v>
      </c>
      <c r="U23" s="268">
        <v>14097</v>
      </c>
    </row>
    <row r="24" spans="1:21">
      <c r="A24" s="249" t="s">
        <v>1649</v>
      </c>
      <c r="B24" s="249" t="s">
        <v>657</v>
      </c>
      <c r="C24" s="249" t="s">
        <v>1878</v>
      </c>
      <c r="D24" s="188">
        <v>9476</v>
      </c>
      <c r="E24" s="250">
        <v>9620</v>
      </c>
      <c r="F24" s="188">
        <v>9914</v>
      </c>
      <c r="G24" s="248">
        <v>10242</v>
      </c>
      <c r="H24" s="188">
        <v>10462</v>
      </c>
      <c r="I24" s="248">
        <v>10611</v>
      </c>
      <c r="J24" s="188">
        <v>10765</v>
      </c>
      <c r="K24" s="248">
        <v>10915</v>
      </c>
      <c r="L24" s="248">
        <v>11101</v>
      </c>
      <c r="M24" s="248">
        <v>11304</v>
      </c>
      <c r="N24" s="248">
        <v>11538</v>
      </c>
      <c r="O24" s="264">
        <v>11826</v>
      </c>
      <c r="P24" s="264">
        <v>18926</v>
      </c>
      <c r="Q24" s="264">
        <v>18926</v>
      </c>
      <c r="R24" s="268">
        <v>19726</v>
      </c>
      <c r="S24" s="268">
        <v>20834</v>
      </c>
      <c r="T24" s="268">
        <v>21300</v>
      </c>
      <c r="U24" s="268">
        <v>21800</v>
      </c>
    </row>
    <row r="25" spans="1:21">
      <c r="A25" s="249" t="s">
        <v>1877</v>
      </c>
      <c r="B25" s="249" t="s">
        <v>657</v>
      </c>
      <c r="C25" s="249" t="s">
        <v>1878</v>
      </c>
      <c r="D25" s="188">
        <v>3150</v>
      </c>
      <c r="E25" s="250">
        <v>3172</v>
      </c>
      <c r="F25" s="188">
        <v>3251</v>
      </c>
      <c r="G25" s="248">
        <v>3342</v>
      </c>
      <c r="H25" s="188">
        <v>3399</v>
      </c>
      <c r="I25" s="248">
        <v>3454</v>
      </c>
      <c r="J25" s="188">
        <v>3487</v>
      </c>
      <c r="K25" s="248">
        <v>3532</v>
      </c>
      <c r="L25" s="248">
        <v>3599</v>
      </c>
      <c r="M25" s="248">
        <v>3668</v>
      </c>
      <c r="N25" s="248">
        <v>3742</v>
      </c>
      <c r="O25" s="264">
        <v>3803</v>
      </c>
      <c r="P25" s="264">
        <v>3888</v>
      </c>
      <c r="Q25" s="264">
        <v>3888</v>
      </c>
      <c r="R25" s="268">
        <v>4029</v>
      </c>
      <c r="S25" s="268">
        <v>4280</v>
      </c>
      <c r="T25" s="268">
        <v>4373</v>
      </c>
      <c r="U25" s="268">
        <v>4491</v>
      </c>
    </row>
    <row r="26" spans="1:21">
      <c r="A26" s="249" t="s">
        <v>1668</v>
      </c>
      <c r="B26" s="249" t="s">
        <v>657</v>
      </c>
      <c r="C26" s="249" t="s">
        <v>1878</v>
      </c>
      <c r="D26" s="188">
        <v>627</v>
      </c>
      <c r="E26" s="250">
        <v>634</v>
      </c>
      <c r="F26" s="188">
        <v>661</v>
      </c>
      <c r="G26" s="248">
        <v>686</v>
      </c>
      <c r="H26" s="188">
        <v>710</v>
      </c>
      <c r="I26" s="248">
        <v>721</v>
      </c>
      <c r="J26" s="188">
        <v>726</v>
      </c>
      <c r="K26" s="248">
        <v>731</v>
      </c>
      <c r="L26" s="248">
        <v>736</v>
      </c>
      <c r="M26" s="248">
        <v>742</v>
      </c>
      <c r="N26" s="248">
        <v>748</v>
      </c>
      <c r="O26" s="264">
        <v>749</v>
      </c>
      <c r="P26" s="264">
        <v>758</v>
      </c>
      <c r="Q26" s="264">
        <v>758</v>
      </c>
      <c r="R26" s="268">
        <v>785</v>
      </c>
      <c r="S26" s="268">
        <v>822</v>
      </c>
      <c r="T26" s="268">
        <v>841</v>
      </c>
      <c r="U26" s="268">
        <v>860</v>
      </c>
    </row>
    <row r="27" spans="1:21">
      <c r="A27" s="249" t="s">
        <v>1677</v>
      </c>
      <c r="B27" s="249" t="s">
        <v>657</v>
      </c>
      <c r="C27" s="249" t="s">
        <v>1878</v>
      </c>
      <c r="D27" s="188">
        <v>852</v>
      </c>
      <c r="E27" s="250">
        <v>856</v>
      </c>
      <c r="F27" s="188">
        <v>888</v>
      </c>
      <c r="G27" s="248">
        <v>1444</v>
      </c>
      <c r="H27" s="281">
        <v>1536</v>
      </c>
      <c r="I27" s="282">
        <v>951</v>
      </c>
      <c r="J27" s="281">
        <v>966</v>
      </c>
      <c r="K27" s="282">
        <v>988</v>
      </c>
      <c r="L27" s="282">
        <v>1006</v>
      </c>
      <c r="M27" s="282">
        <v>1023</v>
      </c>
      <c r="N27" s="282">
        <v>1052</v>
      </c>
      <c r="O27" s="264">
        <v>1083</v>
      </c>
      <c r="P27" s="264">
        <v>1107</v>
      </c>
      <c r="Q27" s="264">
        <v>1107</v>
      </c>
      <c r="R27" s="268">
        <v>1150</v>
      </c>
      <c r="S27" s="268">
        <v>1368</v>
      </c>
      <c r="T27" s="268">
        <v>1416</v>
      </c>
      <c r="U27" s="268">
        <v>1429</v>
      </c>
    </row>
    <row r="28" spans="1:21" ht="15" thickBot="1">
      <c r="A28" s="273" t="s">
        <v>1634</v>
      </c>
      <c r="B28" s="273" t="s">
        <v>657</v>
      </c>
      <c r="C28" s="273" t="s">
        <v>1634</v>
      </c>
      <c r="D28" s="274">
        <f t="shared" ref="D28:U28" si="1">SUM(D16:D27)</f>
        <v>51091</v>
      </c>
      <c r="E28" s="283">
        <f t="shared" si="1"/>
        <v>51725</v>
      </c>
      <c r="F28" s="283">
        <f t="shared" si="1"/>
        <v>53204</v>
      </c>
      <c r="G28" s="275">
        <f t="shared" si="1"/>
        <v>55249</v>
      </c>
      <c r="H28" s="283">
        <f t="shared" si="1"/>
        <v>56596</v>
      </c>
      <c r="I28" s="283">
        <f t="shared" si="1"/>
        <v>56957</v>
      </c>
      <c r="J28" s="283">
        <f t="shared" si="1"/>
        <v>57709</v>
      </c>
      <c r="K28" s="283">
        <f t="shared" si="1"/>
        <v>58500</v>
      </c>
      <c r="L28" s="283">
        <f t="shared" si="1"/>
        <v>59757</v>
      </c>
      <c r="M28" s="283">
        <f t="shared" si="1"/>
        <v>60587</v>
      </c>
      <c r="N28" s="283">
        <f t="shared" si="1"/>
        <v>61855</v>
      </c>
      <c r="O28" s="284">
        <f t="shared" si="1"/>
        <v>63147</v>
      </c>
      <c r="P28" s="285">
        <f t="shared" si="1"/>
        <v>64554</v>
      </c>
      <c r="Q28" s="278">
        <f t="shared" si="1"/>
        <v>64554</v>
      </c>
      <c r="R28" s="278">
        <f t="shared" si="1"/>
        <v>67211</v>
      </c>
      <c r="S28" s="278">
        <f t="shared" si="1"/>
        <v>71236</v>
      </c>
      <c r="T28" s="286">
        <f t="shared" si="1"/>
        <v>72967</v>
      </c>
      <c r="U28" s="286">
        <f t="shared" si="1"/>
        <v>74689</v>
      </c>
    </row>
    <row r="29" spans="1:21" ht="15" thickTop="1">
      <c r="A29" s="249" t="s">
        <v>1873</v>
      </c>
      <c r="B29" s="249" t="s">
        <v>1750</v>
      </c>
      <c r="C29" s="249" t="s">
        <v>1875</v>
      </c>
      <c r="D29" s="287">
        <v>0</v>
      </c>
      <c r="E29" s="288">
        <v>12</v>
      </c>
      <c r="F29" s="287">
        <v>159</v>
      </c>
      <c r="G29" s="289">
        <v>215</v>
      </c>
      <c r="H29" s="287">
        <v>971</v>
      </c>
      <c r="I29" s="289">
        <v>1189</v>
      </c>
      <c r="J29" s="287">
        <v>1410</v>
      </c>
      <c r="K29" s="289">
        <v>2024</v>
      </c>
      <c r="L29" s="289">
        <v>2721</v>
      </c>
      <c r="M29" s="289">
        <v>3280</v>
      </c>
      <c r="N29" s="289">
        <v>3883</v>
      </c>
      <c r="O29" s="290">
        <v>4488</v>
      </c>
      <c r="P29" s="252">
        <v>4967</v>
      </c>
      <c r="Q29" s="252">
        <v>5574</v>
      </c>
      <c r="R29" s="255">
        <v>6268</v>
      </c>
      <c r="S29" s="291">
        <v>36259</v>
      </c>
      <c r="T29" s="255">
        <v>42057</v>
      </c>
      <c r="U29" s="291">
        <v>42466</v>
      </c>
    </row>
    <row r="30" spans="1:21">
      <c r="A30" s="249" t="s">
        <v>1876</v>
      </c>
      <c r="B30" s="249" t="s">
        <v>1750</v>
      </c>
      <c r="C30" s="249" t="s">
        <v>1875</v>
      </c>
      <c r="D30" s="287">
        <v>0</v>
      </c>
      <c r="E30" s="288">
        <v>8</v>
      </c>
      <c r="F30" s="287">
        <v>114</v>
      </c>
      <c r="G30" s="289">
        <v>171</v>
      </c>
      <c r="H30" s="287">
        <v>671</v>
      </c>
      <c r="I30" s="289">
        <v>799</v>
      </c>
      <c r="J30" s="287">
        <v>912</v>
      </c>
      <c r="K30" s="289">
        <v>1243</v>
      </c>
      <c r="L30" s="289">
        <v>1661</v>
      </c>
      <c r="M30" s="289">
        <v>2020</v>
      </c>
      <c r="N30" s="289">
        <v>2382</v>
      </c>
      <c r="O30" s="290">
        <v>2809</v>
      </c>
      <c r="P30" s="290">
        <v>2721</v>
      </c>
      <c r="Q30" s="290">
        <v>3058</v>
      </c>
      <c r="R30" s="291">
        <v>3442</v>
      </c>
      <c r="S30" s="291">
        <v>22328</v>
      </c>
      <c r="T30" s="291">
        <v>27031</v>
      </c>
      <c r="U30" s="291">
        <v>27283</v>
      </c>
    </row>
    <row r="31" spans="1:21">
      <c r="A31" s="249" t="s">
        <v>1649</v>
      </c>
      <c r="B31" s="249" t="s">
        <v>1750</v>
      </c>
      <c r="C31" s="249" t="s">
        <v>1875</v>
      </c>
      <c r="D31" s="287">
        <v>0</v>
      </c>
      <c r="E31" s="288">
        <v>7</v>
      </c>
      <c r="F31" s="287">
        <v>73</v>
      </c>
      <c r="G31" s="289">
        <v>114</v>
      </c>
      <c r="H31" s="287">
        <v>548</v>
      </c>
      <c r="I31" s="289">
        <v>649</v>
      </c>
      <c r="J31" s="287">
        <v>741</v>
      </c>
      <c r="K31" s="289">
        <v>1034</v>
      </c>
      <c r="L31" s="289">
        <v>1439</v>
      </c>
      <c r="M31" s="289">
        <v>1766</v>
      </c>
      <c r="N31" s="289">
        <v>2089</v>
      </c>
      <c r="O31" s="290">
        <v>2426</v>
      </c>
      <c r="P31" s="290">
        <v>3120</v>
      </c>
      <c r="Q31" s="290">
        <v>3467</v>
      </c>
      <c r="R31" s="291">
        <v>3911</v>
      </c>
      <c r="S31" s="291">
        <v>21001</v>
      </c>
      <c r="T31" s="291">
        <v>25732</v>
      </c>
      <c r="U31" s="291">
        <v>26066</v>
      </c>
    </row>
    <row r="32" spans="1:21">
      <c r="A32" s="249" t="s">
        <v>1877</v>
      </c>
      <c r="B32" s="249" t="s">
        <v>1750</v>
      </c>
      <c r="C32" s="249" t="s">
        <v>1875</v>
      </c>
      <c r="D32" s="287">
        <v>0</v>
      </c>
      <c r="E32" s="288">
        <v>4</v>
      </c>
      <c r="F32" s="287">
        <v>41</v>
      </c>
      <c r="G32" s="289">
        <v>57</v>
      </c>
      <c r="H32" s="287">
        <v>255</v>
      </c>
      <c r="I32" s="289">
        <v>305</v>
      </c>
      <c r="J32" s="287">
        <v>327</v>
      </c>
      <c r="K32" s="289">
        <v>424</v>
      </c>
      <c r="L32" s="289">
        <v>549</v>
      </c>
      <c r="M32" s="289">
        <v>648</v>
      </c>
      <c r="N32" s="289">
        <v>753</v>
      </c>
      <c r="O32" s="290">
        <v>839</v>
      </c>
      <c r="P32" s="290">
        <v>938</v>
      </c>
      <c r="Q32" s="290">
        <v>1064</v>
      </c>
      <c r="R32" s="291">
        <v>1207</v>
      </c>
      <c r="S32" s="291">
        <v>7038</v>
      </c>
      <c r="T32" s="291">
        <v>8236</v>
      </c>
      <c r="U32" s="291">
        <v>8306</v>
      </c>
    </row>
    <row r="33" spans="1:21">
      <c r="A33" s="249" t="s">
        <v>1668</v>
      </c>
      <c r="B33" s="249" t="s">
        <v>1750</v>
      </c>
      <c r="C33" s="249" t="s">
        <v>1875</v>
      </c>
      <c r="D33" s="287">
        <v>0</v>
      </c>
      <c r="E33" s="288"/>
      <c r="F33" s="287">
        <v>15</v>
      </c>
      <c r="G33" s="289">
        <v>23</v>
      </c>
      <c r="H33" s="287">
        <v>61</v>
      </c>
      <c r="I33" s="289">
        <v>72</v>
      </c>
      <c r="J33" s="287">
        <v>87</v>
      </c>
      <c r="K33" s="289">
        <v>139</v>
      </c>
      <c r="L33" s="289">
        <v>206</v>
      </c>
      <c r="M33" s="289">
        <v>246</v>
      </c>
      <c r="N33" s="289">
        <v>291</v>
      </c>
      <c r="O33" s="290">
        <v>337</v>
      </c>
      <c r="P33" s="290">
        <v>360</v>
      </c>
      <c r="Q33" s="290">
        <v>401</v>
      </c>
      <c r="R33" s="291">
        <v>470</v>
      </c>
      <c r="S33" s="291">
        <v>1947</v>
      </c>
      <c r="T33" s="291">
        <v>2372</v>
      </c>
      <c r="U33" s="291">
        <v>2438</v>
      </c>
    </row>
    <row r="34" spans="1:21">
      <c r="A34" s="249" t="s">
        <v>1677</v>
      </c>
      <c r="B34" s="249" t="s">
        <v>1750</v>
      </c>
      <c r="C34" s="249" t="s">
        <v>1875</v>
      </c>
      <c r="D34" s="287">
        <v>0</v>
      </c>
      <c r="E34" s="288"/>
      <c r="F34" s="287"/>
      <c r="G34" s="289"/>
      <c r="H34" s="287">
        <v>5</v>
      </c>
      <c r="I34" s="289">
        <v>6</v>
      </c>
      <c r="J34" s="287">
        <v>9</v>
      </c>
      <c r="K34" s="289">
        <v>12</v>
      </c>
      <c r="L34" s="289">
        <v>15</v>
      </c>
      <c r="M34" s="289">
        <v>21</v>
      </c>
      <c r="N34" s="289">
        <v>24</v>
      </c>
      <c r="O34" s="290">
        <v>27</v>
      </c>
      <c r="P34" s="290">
        <v>28</v>
      </c>
      <c r="Q34" s="290">
        <v>30</v>
      </c>
      <c r="R34" s="291">
        <v>35</v>
      </c>
      <c r="S34" s="291">
        <v>108</v>
      </c>
      <c r="T34" s="291">
        <v>136</v>
      </c>
      <c r="U34" s="291">
        <v>138</v>
      </c>
    </row>
    <row r="35" spans="1:21">
      <c r="A35" s="249" t="s">
        <v>1873</v>
      </c>
      <c r="B35" s="249" t="s">
        <v>1750</v>
      </c>
      <c r="C35" s="249" t="s">
        <v>1878</v>
      </c>
      <c r="D35" s="287">
        <v>12121</v>
      </c>
      <c r="E35" s="288">
        <v>12360</v>
      </c>
      <c r="F35" s="287">
        <v>12896</v>
      </c>
      <c r="G35" s="289">
        <v>13459</v>
      </c>
      <c r="H35" s="287">
        <v>14654</v>
      </c>
      <c r="I35" s="289">
        <v>15437</v>
      </c>
      <c r="J35" s="287">
        <v>16165</v>
      </c>
      <c r="K35" s="289">
        <v>17805</v>
      </c>
      <c r="L35" s="289">
        <v>19679</v>
      </c>
      <c r="M35" s="289">
        <v>21531</v>
      </c>
      <c r="N35" s="289">
        <v>23629</v>
      </c>
      <c r="O35" s="292">
        <v>25704</v>
      </c>
      <c r="P35" s="292">
        <v>27775</v>
      </c>
      <c r="Q35" s="292">
        <v>29990</v>
      </c>
      <c r="R35" s="293">
        <v>32085</v>
      </c>
      <c r="S35" s="293">
        <v>34944</v>
      </c>
      <c r="T35" s="293">
        <v>38665</v>
      </c>
      <c r="U35" s="293">
        <v>41756</v>
      </c>
    </row>
    <row r="36" spans="1:21">
      <c r="A36" s="249" t="s">
        <v>1876</v>
      </c>
      <c r="B36" s="249" t="s">
        <v>1750</v>
      </c>
      <c r="C36" s="249" t="s">
        <v>1878</v>
      </c>
      <c r="D36" s="287">
        <v>13435</v>
      </c>
      <c r="E36" s="288">
        <v>13654</v>
      </c>
      <c r="F36" s="287">
        <v>14265</v>
      </c>
      <c r="G36" s="289">
        <v>14830</v>
      </c>
      <c r="H36" s="287">
        <v>15621</v>
      </c>
      <c r="I36" s="289">
        <v>16282</v>
      </c>
      <c r="J36" s="287">
        <v>16885</v>
      </c>
      <c r="K36" s="289">
        <v>18284</v>
      </c>
      <c r="L36" s="289">
        <v>19897</v>
      </c>
      <c r="M36" s="289">
        <v>21337</v>
      </c>
      <c r="N36" s="289">
        <v>23243</v>
      </c>
      <c r="O36" s="292">
        <v>25105</v>
      </c>
      <c r="P36" s="292">
        <v>15655</v>
      </c>
      <c r="Q36" s="292">
        <v>17017</v>
      </c>
      <c r="R36" s="293">
        <v>18330</v>
      </c>
      <c r="S36" s="293">
        <v>19903</v>
      </c>
      <c r="T36" s="293">
        <v>21816</v>
      </c>
      <c r="U36" s="293">
        <v>23672</v>
      </c>
    </row>
    <row r="37" spans="1:21">
      <c r="A37" s="249" t="s">
        <v>1649</v>
      </c>
      <c r="B37" s="249" t="s">
        <v>1750</v>
      </c>
      <c r="C37" s="249" t="s">
        <v>1878</v>
      </c>
      <c r="D37" s="287">
        <v>7242</v>
      </c>
      <c r="E37" s="288">
        <v>7364</v>
      </c>
      <c r="F37" s="287">
        <v>7692</v>
      </c>
      <c r="G37" s="289">
        <v>8059</v>
      </c>
      <c r="H37" s="287">
        <v>8503</v>
      </c>
      <c r="I37" s="289">
        <v>8934</v>
      </c>
      <c r="J37" s="287">
        <v>9329</v>
      </c>
      <c r="K37" s="289">
        <v>10146</v>
      </c>
      <c r="L37" s="289">
        <v>11126</v>
      </c>
      <c r="M37" s="289">
        <v>12186</v>
      </c>
      <c r="N37" s="289">
        <v>13392</v>
      </c>
      <c r="O37" s="292">
        <v>14466</v>
      </c>
      <c r="P37" s="292">
        <v>27031</v>
      </c>
      <c r="Q37" s="292">
        <v>29035</v>
      </c>
      <c r="R37" s="293">
        <v>30932</v>
      </c>
      <c r="S37" s="293">
        <v>33201</v>
      </c>
      <c r="T37" s="293">
        <v>36267</v>
      </c>
      <c r="U37" s="293">
        <v>38723</v>
      </c>
    </row>
    <row r="38" spans="1:21">
      <c r="A38" s="249" t="s">
        <v>1877</v>
      </c>
      <c r="B38" s="249" t="s">
        <v>1750</v>
      </c>
      <c r="C38" s="249" t="s">
        <v>1878</v>
      </c>
      <c r="D38" s="287">
        <v>1569</v>
      </c>
      <c r="E38" s="288">
        <v>1593</v>
      </c>
      <c r="F38" s="287">
        <v>1665</v>
      </c>
      <c r="G38" s="289">
        <v>1738</v>
      </c>
      <c r="H38" s="287">
        <v>1857</v>
      </c>
      <c r="I38" s="289">
        <v>2040</v>
      </c>
      <c r="J38" s="287">
        <v>2159</v>
      </c>
      <c r="K38" s="289">
        <v>2394</v>
      </c>
      <c r="L38" s="289">
        <v>2696</v>
      </c>
      <c r="M38" s="289">
        <v>2949</v>
      </c>
      <c r="N38" s="289">
        <v>3247</v>
      </c>
      <c r="O38" s="292">
        <v>3553</v>
      </c>
      <c r="P38" s="292">
        <v>3887</v>
      </c>
      <c r="Q38" s="292">
        <v>4234</v>
      </c>
      <c r="R38" s="293">
        <v>4581</v>
      </c>
      <c r="S38" s="293">
        <v>5019</v>
      </c>
      <c r="T38" s="293">
        <v>5644</v>
      </c>
      <c r="U38" s="293">
        <v>6149</v>
      </c>
    </row>
    <row r="39" spans="1:21">
      <c r="A39" s="249" t="s">
        <v>1668</v>
      </c>
      <c r="B39" s="249" t="s">
        <v>1750</v>
      </c>
      <c r="C39" s="249" t="s">
        <v>1878</v>
      </c>
      <c r="D39" s="287">
        <v>360</v>
      </c>
      <c r="E39" s="288">
        <v>370</v>
      </c>
      <c r="F39" s="287">
        <v>385</v>
      </c>
      <c r="G39" s="289">
        <v>399</v>
      </c>
      <c r="H39" s="287">
        <v>420</v>
      </c>
      <c r="I39" s="289">
        <v>436</v>
      </c>
      <c r="J39" s="287">
        <v>459</v>
      </c>
      <c r="K39" s="289">
        <v>502</v>
      </c>
      <c r="L39" s="289">
        <v>549</v>
      </c>
      <c r="M39" s="289">
        <v>593</v>
      </c>
      <c r="N39" s="289">
        <v>646</v>
      </c>
      <c r="O39" s="292">
        <v>688</v>
      </c>
      <c r="P39" s="292">
        <v>745</v>
      </c>
      <c r="Q39" s="292">
        <v>803</v>
      </c>
      <c r="R39" s="293">
        <v>884</v>
      </c>
      <c r="S39" s="293">
        <v>994</v>
      </c>
      <c r="T39" s="293">
        <v>1135</v>
      </c>
      <c r="U39" s="293">
        <v>1282</v>
      </c>
    </row>
    <row r="40" spans="1:21">
      <c r="A40" s="249" t="s">
        <v>1677</v>
      </c>
      <c r="B40" s="249" t="s">
        <v>1750</v>
      </c>
      <c r="C40" s="249" t="s">
        <v>1878</v>
      </c>
      <c r="D40" s="287">
        <v>114</v>
      </c>
      <c r="E40" s="288">
        <v>117</v>
      </c>
      <c r="F40" s="287">
        <v>123</v>
      </c>
      <c r="G40" s="289">
        <v>124</v>
      </c>
      <c r="H40" s="287">
        <v>127</v>
      </c>
      <c r="I40" s="289">
        <v>128</v>
      </c>
      <c r="J40" s="287">
        <v>134</v>
      </c>
      <c r="K40" s="289">
        <v>137</v>
      </c>
      <c r="L40" s="289">
        <v>138</v>
      </c>
      <c r="M40" s="289">
        <v>141</v>
      </c>
      <c r="N40" s="289">
        <v>152</v>
      </c>
      <c r="O40" s="292">
        <v>156</v>
      </c>
      <c r="P40" s="292">
        <v>160</v>
      </c>
      <c r="Q40" s="292">
        <v>156</v>
      </c>
      <c r="R40" s="293">
        <v>173</v>
      </c>
      <c r="S40" s="293">
        <v>182</v>
      </c>
      <c r="T40" s="293">
        <v>199</v>
      </c>
      <c r="U40" s="293">
        <v>209</v>
      </c>
    </row>
    <row r="41" spans="1:21" ht="15" thickBot="1">
      <c r="A41" s="273" t="s">
        <v>1634</v>
      </c>
      <c r="B41" s="273" t="s">
        <v>1750</v>
      </c>
      <c r="C41" s="273" t="s">
        <v>1634</v>
      </c>
      <c r="D41" s="274">
        <f t="shared" ref="D41:U41" si="2">SUM(D29:D40)</f>
        <v>34841</v>
      </c>
      <c r="E41" s="283">
        <f t="shared" si="2"/>
        <v>35489</v>
      </c>
      <c r="F41" s="283">
        <f t="shared" si="2"/>
        <v>37428</v>
      </c>
      <c r="G41" s="275">
        <f t="shared" si="2"/>
        <v>39189</v>
      </c>
      <c r="H41" s="283">
        <f t="shared" si="2"/>
        <v>43693</v>
      </c>
      <c r="I41" s="275">
        <f t="shared" si="2"/>
        <v>46277</v>
      </c>
      <c r="J41" s="283">
        <f t="shared" si="2"/>
        <v>48617</v>
      </c>
      <c r="K41" s="275">
        <f t="shared" si="2"/>
        <v>54144</v>
      </c>
      <c r="L41" s="275">
        <f t="shared" si="2"/>
        <v>60676</v>
      </c>
      <c r="M41" s="275">
        <f t="shared" si="2"/>
        <v>66718</v>
      </c>
      <c r="N41" s="294">
        <f t="shared" si="2"/>
        <v>73731</v>
      </c>
      <c r="O41" s="285">
        <f t="shared" si="2"/>
        <v>80598</v>
      </c>
      <c r="P41" s="285">
        <f t="shared" si="2"/>
        <v>87387</v>
      </c>
      <c r="Q41" s="285">
        <f t="shared" si="2"/>
        <v>94829</v>
      </c>
      <c r="R41" s="285">
        <f t="shared" si="2"/>
        <v>102318</v>
      </c>
      <c r="S41" s="285">
        <f t="shared" si="2"/>
        <v>182924</v>
      </c>
      <c r="T41" s="286">
        <f t="shared" si="2"/>
        <v>209290</v>
      </c>
      <c r="U41" s="286">
        <f t="shared" si="2"/>
        <v>218488</v>
      </c>
    </row>
    <row r="42" spans="1:21" ht="15" thickTop="1">
      <c r="A42" s="249" t="s">
        <v>1810</v>
      </c>
      <c r="B42" s="249" t="s">
        <v>1810</v>
      </c>
      <c r="C42" s="249" t="s">
        <v>1875</v>
      </c>
      <c r="D42" s="287">
        <v>1196</v>
      </c>
      <c r="E42" s="288">
        <v>1311</v>
      </c>
      <c r="F42" s="287">
        <v>1947</v>
      </c>
      <c r="G42" s="289">
        <v>2520</v>
      </c>
      <c r="H42" s="287">
        <v>8283</v>
      </c>
      <c r="I42" s="289">
        <v>10006</v>
      </c>
      <c r="J42" s="287">
        <v>12061</v>
      </c>
      <c r="K42" s="289">
        <v>18247</v>
      </c>
      <c r="L42" s="289">
        <v>25268</v>
      </c>
      <c r="M42" s="289">
        <v>30045</v>
      </c>
      <c r="N42" s="289">
        <v>35412</v>
      </c>
      <c r="O42" s="295">
        <v>40810</v>
      </c>
      <c r="P42" s="295">
        <v>46190</v>
      </c>
      <c r="Q42" s="295">
        <v>52033</v>
      </c>
      <c r="R42" s="296">
        <v>60733</v>
      </c>
      <c r="S42" s="296">
        <v>273412</v>
      </c>
      <c r="T42" s="297">
        <v>327790</v>
      </c>
      <c r="U42" s="255">
        <v>370980</v>
      </c>
    </row>
    <row r="43" spans="1:21">
      <c r="A43" s="249" t="s">
        <v>1810</v>
      </c>
      <c r="B43" s="249" t="s">
        <v>1810</v>
      </c>
      <c r="C43" s="249" t="s">
        <v>1878</v>
      </c>
      <c r="D43" s="287">
        <v>1019</v>
      </c>
      <c r="E43" s="288">
        <v>1160</v>
      </c>
      <c r="F43" s="287">
        <v>1563</v>
      </c>
      <c r="G43" s="289">
        <v>1863</v>
      </c>
      <c r="H43" s="287">
        <v>2443</v>
      </c>
      <c r="I43" s="289">
        <v>2820</v>
      </c>
      <c r="J43" s="287">
        <v>3210</v>
      </c>
      <c r="K43" s="289">
        <v>4461</v>
      </c>
      <c r="L43" s="289">
        <v>6071</v>
      </c>
      <c r="M43" s="289">
        <v>8266</v>
      </c>
      <c r="N43" s="289">
        <v>11022</v>
      </c>
      <c r="O43" s="292">
        <v>13859</v>
      </c>
      <c r="P43" s="292">
        <v>16641</v>
      </c>
      <c r="Q43" s="292">
        <v>20848</v>
      </c>
      <c r="R43" s="296">
        <v>24660</v>
      </c>
      <c r="S43" s="296">
        <v>32275</v>
      </c>
      <c r="T43" s="296">
        <v>41489</v>
      </c>
      <c r="U43" s="265">
        <v>48687</v>
      </c>
    </row>
    <row r="44" spans="1:21" ht="15" thickBot="1">
      <c r="A44" s="273" t="s">
        <v>1634</v>
      </c>
      <c r="B44" s="273" t="s">
        <v>1810</v>
      </c>
      <c r="C44" s="273" t="s">
        <v>1634</v>
      </c>
      <c r="D44" s="274">
        <f t="shared" ref="D44:U44" si="3">SUM(D42:D43)</f>
        <v>2215</v>
      </c>
      <c r="E44" s="283">
        <f t="shared" si="3"/>
        <v>2471</v>
      </c>
      <c r="F44" s="283">
        <f t="shared" si="3"/>
        <v>3510</v>
      </c>
      <c r="G44" s="275">
        <f t="shared" si="3"/>
        <v>4383</v>
      </c>
      <c r="H44" s="283">
        <f t="shared" si="3"/>
        <v>10726</v>
      </c>
      <c r="I44" s="275">
        <f t="shared" si="3"/>
        <v>12826</v>
      </c>
      <c r="J44" s="283">
        <f t="shared" si="3"/>
        <v>15271</v>
      </c>
      <c r="K44" s="275">
        <f t="shared" si="3"/>
        <v>22708</v>
      </c>
      <c r="L44" s="275">
        <f t="shared" si="3"/>
        <v>31339</v>
      </c>
      <c r="M44" s="275">
        <f t="shared" si="3"/>
        <v>38311</v>
      </c>
      <c r="N44" s="275">
        <f t="shared" si="3"/>
        <v>46434</v>
      </c>
      <c r="O44" s="298">
        <f t="shared" si="3"/>
        <v>54669</v>
      </c>
      <c r="P44" s="298">
        <f t="shared" si="3"/>
        <v>62831</v>
      </c>
      <c r="Q44" s="298">
        <f t="shared" si="3"/>
        <v>72881</v>
      </c>
      <c r="R44" s="299">
        <f t="shared" si="3"/>
        <v>85393</v>
      </c>
      <c r="S44" s="299">
        <f t="shared" si="3"/>
        <v>305687</v>
      </c>
      <c r="T44" s="299">
        <f t="shared" si="3"/>
        <v>369279</v>
      </c>
      <c r="U44" s="299">
        <f t="shared" si="3"/>
        <v>419667</v>
      </c>
    </row>
    <row r="45" spans="1:21" ht="15" thickTop="1">
      <c r="E45" s="300"/>
    </row>
    <row r="54" spans="1:5" customFormat="1">
      <c r="B54" t="s">
        <v>1879</v>
      </c>
    </row>
    <row r="56" spans="1:5" customFormat="1" ht="31" thickBot="1">
      <c r="A56" s="302" t="s">
        <v>1880</v>
      </c>
      <c r="B56" s="303" t="s">
        <v>1881</v>
      </c>
      <c r="C56" s="304" t="s">
        <v>1882</v>
      </c>
      <c r="D56" s="304" t="s">
        <v>1883</v>
      </c>
      <c r="E56" s="305" t="s">
        <v>1884</v>
      </c>
    </row>
    <row r="57" spans="1:5" customFormat="1" ht="24" customHeight="1" thickTop="1">
      <c r="A57" s="306">
        <v>16653</v>
      </c>
      <c r="B57" s="307">
        <v>146798</v>
      </c>
      <c r="C57" s="308">
        <v>163451</v>
      </c>
      <c r="D57" s="308">
        <v>145087</v>
      </c>
      <c r="E57" s="309">
        <f>((C57-D57)/D57)</f>
        <v>0.12657233246259142</v>
      </c>
    </row>
    <row r="60" spans="1:5" customFormat="1">
      <c r="E60" s="310"/>
    </row>
    <row r="62" spans="1:5" customFormat="1" ht="15" thickBot="1">
      <c r="A62" s="311">
        <v>40424</v>
      </c>
    </row>
    <row r="63" spans="1:5" customFormat="1" ht="25" thickTop="1" thickBot="1">
      <c r="A63" s="312">
        <v>140810</v>
      </c>
      <c r="B63" s="312">
        <v>4277</v>
      </c>
      <c r="C63" s="312">
        <f>SUM(A63:B63)</f>
        <v>145087</v>
      </c>
    </row>
    <row r="64" spans="1:5" customFormat="1" ht="15" thickTop="1"/>
  </sheetData>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2"/>
  <sheetViews>
    <sheetView workbookViewId="0">
      <selection activeCell="G37" sqref="G37"/>
    </sheetView>
  </sheetViews>
  <sheetFormatPr baseColWidth="10" defaultColWidth="8.83203125" defaultRowHeight="14" x14ac:dyDescent="0"/>
  <cols>
    <col min="1" max="1" width="28.1640625" customWidth="1"/>
    <col min="2" max="2" width="16.33203125" customWidth="1"/>
    <col min="4" max="4" width="6" customWidth="1"/>
    <col min="5" max="5" width="11.33203125" customWidth="1"/>
    <col min="6" max="6" width="9.5" customWidth="1"/>
    <col min="7" max="7" width="17.5" customWidth="1"/>
    <col min="9" max="9" width="5.5" customWidth="1"/>
    <col min="10" max="10" width="20.6640625" bestFit="1" customWidth="1"/>
    <col min="11" max="11" width="10" customWidth="1"/>
    <col min="12" max="12" width="11.33203125" customWidth="1"/>
    <col min="13" max="13" width="13.33203125" bestFit="1" customWidth="1"/>
    <col min="15" max="15" width="5.5" customWidth="1"/>
    <col min="16" max="16" width="10.33203125" bestFit="1" customWidth="1"/>
    <col min="17" max="17" width="26.33203125" bestFit="1" customWidth="1"/>
    <col min="18" max="18" width="5.5" customWidth="1"/>
    <col min="19" max="19" width="29.5" bestFit="1" customWidth="1"/>
    <col min="20" max="20" width="10" bestFit="1" customWidth="1"/>
    <col min="21" max="21" width="5.5" customWidth="1"/>
    <col min="22" max="22" width="13.1640625" bestFit="1" customWidth="1"/>
    <col min="23" max="23" width="7.33203125" customWidth="1"/>
    <col min="24" max="24" width="10.33203125" bestFit="1" customWidth="1"/>
    <col min="25" max="25" width="11.33203125" bestFit="1" customWidth="1"/>
  </cols>
  <sheetData>
    <row r="1" spans="1:5">
      <c r="A1" t="s">
        <v>1885</v>
      </c>
    </row>
    <row r="3" spans="1:5">
      <c r="A3" s="60" t="s">
        <v>1886</v>
      </c>
      <c r="B3" t="s">
        <v>1854</v>
      </c>
      <c r="C3" s="60"/>
    </row>
    <row r="4" spans="1:5">
      <c r="A4" s="60" t="s">
        <v>1543</v>
      </c>
      <c r="B4" t="s">
        <v>1634</v>
      </c>
      <c r="C4" t="s">
        <v>1878</v>
      </c>
      <c r="D4" t="s">
        <v>1875</v>
      </c>
      <c r="E4" t="s">
        <v>1545</v>
      </c>
    </row>
    <row r="5" spans="1:5">
      <c r="A5" s="11" t="s">
        <v>657</v>
      </c>
      <c r="B5" s="313">
        <v>58500</v>
      </c>
      <c r="C5" s="313">
        <v>58500</v>
      </c>
      <c r="D5" s="313">
        <v>0</v>
      </c>
      <c r="E5" s="313">
        <v>117000</v>
      </c>
    </row>
    <row r="6" spans="1:5">
      <c r="A6" s="61" t="s">
        <v>1649</v>
      </c>
      <c r="B6" s="313"/>
      <c r="C6" s="313">
        <v>10915</v>
      </c>
      <c r="D6" s="313">
        <v>0</v>
      </c>
      <c r="E6" s="313">
        <v>10915</v>
      </c>
    </row>
    <row r="7" spans="1:5">
      <c r="A7" s="61" t="s">
        <v>1873</v>
      </c>
      <c r="B7" s="313"/>
      <c r="C7" s="313">
        <v>25209</v>
      </c>
      <c r="D7" s="313">
        <v>0</v>
      </c>
      <c r="E7" s="313">
        <v>25209</v>
      </c>
    </row>
    <row r="8" spans="1:5">
      <c r="A8" s="61" t="s">
        <v>1668</v>
      </c>
      <c r="B8" s="313"/>
      <c r="C8" s="313">
        <v>731</v>
      </c>
      <c r="D8" s="313">
        <v>0</v>
      </c>
      <c r="E8" s="313">
        <v>731</v>
      </c>
    </row>
    <row r="9" spans="1:5">
      <c r="A9" s="61" t="s">
        <v>1877</v>
      </c>
      <c r="B9" s="313"/>
      <c r="C9" s="313">
        <v>3532</v>
      </c>
      <c r="D9" s="313">
        <v>0</v>
      </c>
      <c r="E9" s="313">
        <v>3532</v>
      </c>
    </row>
    <row r="10" spans="1:5">
      <c r="A10" s="61" t="s">
        <v>1876</v>
      </c>
      <c r="B10" s="313"/>
      <c r="C10" s="313">
        <v>17125</v>
      </c>
      <c r="D10" s="313">
        <v>0</v>
      </c>
      <c r="E10" s="313">
        <v>17125</v>
      </c>
    </row>
    <row r="11" spans="1:5">
      <c r="A11" s="61" t="s">
        <v>1677</v>
      </c>
      <c r="B11" s="313"/>
      <c r="C11" s="313">
        <v>988</v>
      </c>
      <c r="D11" s="313">
        <v>0</v>
      </c>
      <c r="E11" s="313">
        <v>988</v>
      </c>
    </row>
    <row r="12" spans="1:5">
      <c r="A12" s="61" t="s">
        <v>1634</v>
      </c>
      <c r="B12" s="313">
        <v>58500</v>
      </c>
      <c r="C12" s="313"/>
      <c r="D12" s="313"/>
      <c r="E12" s="313">
        <v>58500</v>
      </c>
    </row>
    <row r="13" spans="1:5">
      <c r="A13" s="11" t="s">
        <v>1750</v>
      </c>
      <c r="B13" s="313">
        <v>54144</v>
      </c>
      <c r="C13" s="313">
        <v>49268</v>
      </c>
      <c r="D13" s="313">
        <v>4876</v>
      </c>
      <c r="E13" s="313">
        <v>108288</v>
      </c>
    </row>
    <row r="14" spans="1:5">
      <c r="A14" s="61" t="s">
        <v>1649</v>
      </c>
      <c r="B14" s="313"/>
      <c r="C14" s="313">
        <v>10146</v>
      </c>
      <c r="D14" s="313">
        <v>1034</v>
      </c>
      <c r="E14" s="313">
        <v>11180</v>
      </c>
    </row>
    <row r="15" spans="1:5">
      <c r="A15" s="61" t="s">
        <v>1873</v>
      </c>
      <c r="B15" s="313"/>
      <c r="C15" s="313">
        <v>17805</v>
      </c>
      <c r="D15" s="313">
        <v>2024</v>
      </c>
      <c r="E15" s="313">
        <v>19829</v>
      </c>
    </row>
    <row r="16" spans="1:5">
      <c r="A16" s="61" t="s">
        <v>1668</v>
      </c>
      <c r="B16" s="313"/>
      <c r="C16" s="313">
        <v>502</v>
      </c>
      <c r="D16" s="313">
        <v>139</v>
      </c>
      <c r="E16" s="313">
        <v>641</v>
      </c>
    </row>
    <row r="17" spans="1:5">
      <c r="A17" s="61" t="s">
        <v>1877</v>
      </c>
      <c r="B17" s="313"/>
      <c r="C17" s="313">
        <v>2394</v>
      </c>
      <c r="D17" s="313">
        <v>424</v>
      </c>
      <c r="E17" s="313">
        <v>2818</v>
      </c>
    </row>
    <row r="18" spans="1:5">
      <c r="A18" s="61" t="s">
        <v>1876</v>
      </c>
      <c r="B18" s="313"/>
      <c r="C18" s="313">
        <v>18284</v>
      </c>
      <c r="D18" s="313">
        <v>1243</v>
      </c>
      <c r="E18" s="313">
        <v>19527</v>
      </c>
    </row>
    <row r="19" spans="1:5">
      <c r="A19" s="61" t="s">
        <v>1677</v>
      </c>
      <c r="B19" s="313"/>
      <c r="C19" s="313">
        <v>137</v>
      </c>
      <c r="D19" s="313">
        <v>12</v>
      </c>
      <c r="E19" s="313">
        <v>149</v>
      </c>
    </row>
    <row r="20" spans="1:5">
      <c r="A20" s="61" t="s">
        <v>1634</v>
      </c>
      <c r="B20" s="313">
        <v>54144</v>
      </c>
      <c r="C20" s="313"/>
      <c r="D20" s="313"/>
      <c r="E20" s="313">
        <v>54144</v>
      </c>
    </row>
    <row r="21" spans="1:5">
      <c r="A21" s="11" t="s">
        <v>1874</v>
      </c>
      <c r="B21" s="313">
        <v>63582</v>
      </c>
      <c r="C21" s="313">
        <v>54740</v>
      </c>
      <c r="D21" s="313">
        <v>8842</v>
      </c>
      <c r="E21" s="313">
        <v>127164</v>
      </c>
    </row>
    <row r="22" spans="1:5">
      <c r="A22" s="61" t="s">
        <v>1649</v>
      </c>
      <c r="B22" s="313"/>
      <c r="C22" s="313">
        <v>7647</v>
      </c>
      <c r="D22" s="313">
        <v>868</v>
      </c>
      <c r="E22" s="313">
        <v>8515</v>
      </c>
    </row>
    <row r="23" spans="1:5">
      <c r="A23" s="61" t="s">
        <v>1873</v>
      </c>
      <c r="B23" s="313"/>
      <c r="C23" s="313">
        <v>20889</v>
      </c>
      <c r="D23" s="313">
        <v>3755</v>
      </c>
      <c r="E23" s="313">
        <v>24644</v>
      </c>
    </row>
    <row r="24" spans="1:5">
      <c r="A24" s="61" t="s">
        <v>1668</v>
      </c>
      <c r="B24" s="313"/>
      <c r="C24" s="313">
        <v>661</v>
      </c>
      <c r="D24" s="313">
        <v>101</v>
      </c>
      <c r="E24" s="313">
        <v>762</v>
      </c>
    </row>
    <row r="25" spans="1:5">
      <c r="A25" s="61" t="s">
        <v>1877</v>
      </c>
      <c r="B25" s="313"/>
      <c r="C25" s="313">
        <v>2274</v>
      </c>
      <c r="D25" s="313">
        <v>745</v>
      </c>
      <c r="E25" s="313">
        <v>3019</v>
      </c>
    </row>
    <row r="26" spans="1:5">
      <c r="A26" s="61" t="s">
        <v>1876</v>
      </c>
      <c r="B26" s="313"/>
      <c r="C26" s="313">
        <v>17078</v>
      </c>
      <c r="D26" s="313">
        <v>1192</v>
      </c>
      <c r="E26" s="313">
        <v>18270</v>
      </c>
    </row>
    <row r="27" spans="1:5">
      <c r="A27" s="61" t="s">
        <v>1677</v>
      </c>
      <c r="B27" s="313"/>
      <c r="C27" s="313">
        <v>6191</v>
      </c>
      <c r="D27" s="313">
        <v>2181</v>
      </c>
      <c r="E27" s="313">
        <v>8372</v>
      </c>
    </row>
    <row r="28" spans="1:5">
      <c r="A28" s="61" t="s">
        <v>1634</v>
      </c>
      <c r="B28" s="313">
        <v>63582</v>
      </c>
      <c r="C28" s="313"/>
      <c r="D28" s="313"/>
      <c r="E28" s="313">
        <v>63582</v>
      </c>
    </row>
    <row r="29" spans="1:5">
      <c r="A29" s="11" t="s">
        <v>1810</v>
      </c>
      <c r="B29" s="313">
        <v>22708</v>
      </c>
      <c r="C29" s="313">
        <v>4461</v>
      </c>
      <c r="D29" s="313">
        <v>18247</v>
      </c>
      <c r="E29" s="313">
        <v>45416</v>
      </c>
    </row>
    <row r="30" spans="1:5">
      <c r="A30" s="61" t="s">
        <v>1810</v>
      </c>
      <c r="B30" s="313"/>
      <c r="C30" s="313">
        <v>4461</v>
      </c>
      <c r="D30" s="313">
        <v>18247</v>
      </c>
      <c r="E30" s="313">
        <v>22708</v>
      </c>
    </row>
    <row r="31" spans="1:5">
      <c r="A31" s="61" t="s">
        <v>1634</v>
      </c>
      <c r="B31" s="313">
        <v>22708</v>
      </c>
      <c r="C31" s="313"/>
      <c r="D31" s="313"/>
      <c r="E31" s="313">
        <v>22708</v>
      </c>
    </row>
    <row r="32" spans="1:5">
      <c r="A32" s="11" t="s">
        <v>1545</v>
      </c>
      <c r="B32" s="313">
        <v>198934</v>
      </c>
      <c r="C32" s="313">
        <v>166969</v>
      </c>
      <c r="D32" s="313">
        <v>31965</v>
      </c>
      <c r="E32" s="313">
        <v>397868</v>
      </c>
    </row>
  </sheetData>
  <pageMargins left="0.7" right="0.7" top="0.75" bottom="0.75" header="0.3" footer="0.3"/>
  <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38"/>
  <sheetViews>
    <sheetView workbookViewId="0">
      <selection activeCell="P33" sqref="P33"/>
    </sheetView>
  </sheetViews>
  <sheetFormatPr baseColWidth="10" defaultColWidth="8.83203125" defaultRowHeight="14" x14ac:dyDescent="0"/>
  <cols>
    <col min="1" max="1" width="9.5" bestFit="1" customWidth="1"/>
    <col min="2" max="2" width="9.5" customWidth="1"/>
    <col min="3" max="12" width="7.6640625" customWidth="1"/>
    <col min="13" max="13" width="8.33203125" customWidth="1"/>
    <col min="14" max="14" width="11.5" customWidth="1"/>
    <col min="15" max="15" width="10.5" bestFit="1" customWidth="1"/>
    <col min="16" max="23" width="7.6640625" customWidth="1"/>
  </cols>
  <sheetData>
    <row r="1" spans="1:17">
      <c r="A1" t="s">
        <v>1887</v>
      </c>
    </row>
    <row r="2" spans="1:17">
      <c r="B2" s="314" t="s">
        <v>1812</v>
      </c>
      <c r="C2" s="314" t="s">
        <v>1813</v>
      </c>
      <c r="D2" s="314" t="s">
        <v>1814</v>
      </c>
      <c r="E2" s="314" t="s">
        <v>1815</v>
      </c>
      <c r="F2" s="314" t="s">
        <v>1816</v>
      </c>
      <c r="G2" s="314" t="s">
        <v>1817</v>
      </c>
      <c r="H2" s="314" t="s">
        <v>1818</v>
      </c>
      <c r="I2" s="314" t="s">
        <v>1819</v>
      </c>
      <c r="J2" s="314" t="s">
        <v>1820</v>
      </c>
      <c r="K2" s="314" t="s">
        <v>1888</v>
      </c>
      <c r="L2" s="314" t="s">
        <v>1822</v>
      </c>
      <c r="M2" s="315" t="s">
        <v>1823</v>
      </c>
      <c r="N2" s="235"/>
    </row>
    <row r="3" spans="1:17">
      <c r="A3" s="316" t="s">
        <v>1889</v>
      </c>
      <c r="B3" s="314" t="s">
        <v>1812</v>
      </c>
      <c r="C3" s="314" t="s">
        <v>1813</v>
      </c>
      <c r="D3" s="314" t="s">
        <v>1814</v>
      </c>
      <c r="E3" s="314" t="s">
        <v>1815</v>
      </c>
      <c r="F3" s="314" t="s">
        <v>1816</v>
      </c>
      <c r="G3" s="314" t="s">
        <v>1817</v>
      </c>
      <c r="H3" s="314" t="s">
        <v>1818</v>
      </c>
      <c r="I3" s="314" t="s">
        <v>1819</v>
      </c>
      <c r="J3" s="314" t="s">
        <v>1820</v>
      </c>
      <c r="K3" s="314" t="s">
        <v>1890</v>
      </c>
      <c r="L3" s="314" t="s">
        <v>1822</v>
      </c>
      <c r="M3" s="315" t="s">
        <v>1823</v>
      </c>
      <c r="N3" s="315" t="s">
        <v>1634</v>
      </c>
      <c r="O3" s="317" t="s">
        <v>1840</v>
      </c>
    </row>
    <row r="4" spans="1:17">
      <c r="A4" s="318"/>
      <c r="B4" s="319"/>
      <c r="C4" s="319"/>
      <c r="D4" s="319"/>
      <c r="E4" s="319"/>
      <c r="F4" s="319"/>
      <c r="G4" s="319"/>
      <c r="H4" s="319"/>
      <c r="I4" s="319"/>
      <c r="J4" s="319"/>
      <c r="K4" s="319"/>
      <c r="L4" s="319"/>
      <c r="M4" s="319"/>
      <c r="N4" s="320"/>
    </row>
    <row r="5" spans="1:17">
      <c r="A5" s="321">
        <v>2009</v>
      </c>
      <c r="B5" s="322" t="s">
        <v>1891</v>
      </c>
      <c r="C5" s="322" t="s">
        <v>1891</v>
      </c>
      <c r="D5" s="322" t="s">
        <v>1891</v>
      </c>
      <c r="E5" s="322" t="s">
        <v>1891</v>
      </c>
      <c r="F5" s="322" t="s">
        <v>1891</v>
      </c>
      <c r="G5" s="322" t="s">
        <v>1891</v>
      </c>
      <c r="H5" s="322" t="s">
        <v>1891</v>
      </c>
      <c r="I5" s="322" t="s">
        <v>1891</v>
      </c>
      <c r="J5" s="322" t="s">
        <v>1891</v>
      </c>
      <c r="K5" s="322" t="s">
        <v>1891</v>
      </c>
      <c r="L5" s="322" t="s">
        <v>1891</v>
      </c>
      <c r="M5" s="323">
        <v>24</v>
      </c>
      <c r="N5" s="324">
        <f>SUM(M5)</f>
        <v>24</v>
      </c>
    </row>
    <row r="6" spans="1:17">
      <c r="A6" s="321">
        <v>2010</v>
      </c>
      <c r="B6" s="323">
        <v>75</v>
      </c>
      <c r="C6" s="323">
        <v>58</v>
      </c>
      <c r="D6" s="323">
        <v>85</v>
      </c>
      <c r="E6" s="323">
        <v>166</v>
      </c>
      <c r="F6" s="323">
        <v>256</v>
      </c>
      <c r="G6" s="323">
        <v>285</v>
      </c>
      <c r="H6" s="323">
        <v>544</v>
      </c>
      <c r="I6" s="323">
        <v>403</v>
      </c>
      <c r="J6" s="323">
        <v>508</v>
      </c>
      <c r="K6" s="323">
        <v>961</v>
      </c>
      <c r="L6" s="323">
        <v>868</v>
      </c>
      <c r="M6" s="323">
        <v>981</v>
      </c>
      <c r="N6" s="325">
        <f t="shared" ref="N6:N11" si="0">SUM(B6:M6)</f>
        <v>5190</v>
      </c>
      <c r="Q6" s="200"/>
    </row>
    <row r="7" spans="1:17">
      <c r="A7" s="326">
        <v>2011</v>
      </c>
      <c r="B7" s="327">
        <v>2516</v>
      </c>
      <c r="C7" s="327">
        <v>2679</v>
      </c>
      <c r="D7" s="327">
        <v>2979</v>
      </c>
      <c r="E7" s="327">
        <v>1967</v>
      </c>
      <c r="F7" s="327">
        <v>2908</v>
      </c>
      <c r="G7" s="327">
        <v>3775</v>
      </c>
      <c r="H7" s="327">
        <v>3959</v>
      </c>
      <c r="I7" s="327">
        <v>4695</v>
      </c>
      <c r="J7" s="327">
        <v>5866</v>
      </c>
      <c r="K7" s="327">
        <v>8235</v>
      </c>
      <c r="L7" s="327">
        <v>8087</v>
      </c>
      <c r="M7" s="327">
        <v>7084</v>
      </c>
      <c r="N7" s="328">
        <f t="shared" si="0"/>
        <v>54750</v>
      </c>
      <c r="O7" s="200"/>
    </row>
    <row r="8" spans="1:17">
      <c r="A8" s="326">
        <v>2012</v>
      </c>
      <c r="B8" s="327">
        <v>5673</v>
      </c>
      <c r="C8" s="327">
        <v>9152</v>
      </c>
      <c r="D8" s="327">
        <v>8871</v>
      </c>
      <c r="E8" s="327">
        <v>9735</v>
      </c>
      <c r="F8" s="327">
        <v>11571</v>
      </c>
      <c r="G8" s="327">
        <v>13008</v>
      </c>
      <c r="H8" s="327">
        <v>15869</v>
      </c>
      <c r="I8" s="327">
        <v>16816</v>
      </c>
      <c r="J8" s="327">
        <v>13646</v>
      </c>
      <c r="K8" s="327">
        <v>14750</v>
      </c>
      <c r="L8" s="327">
        <v>14773</v>
      </c>
      <c r="M8" s="329">
        <v>15023</v>
      </c>
      <c r="N8" s="328">
        <f t="shared" si="0"/>
        <v>148887</v>
      </c>
      <c r="O8" s="200"/>
    </row>
    <row r="9" spans="1:17">
      <c r="A9" s="326">
        <v>2013</v>
      </c>
      <c r="B9" s="327">
        <v>19659</v>
      </c>
      <c r="C9" s="327">
        <v>9531</v>
      </c>
      <c r="D9" s="327">
        <v>14169</v>
      </c>
      <c r="E9" s="327">
        <v>18923</v>
      </c>
      <c r="F9" s="327">
        <v>11781</v>
      </c>
      <c r="G9" s="327">
        <v>9957</v>
      </c>
      <c r="H9" s="327">
        <v>20805</v>
      </c>
      <c r="I9" s="327">
        <v>20978</v>
      </c>
      <c r="J9" s="327">
        <v>18809</v>
      </c>
      <c r="K9" s="327">
        <v>19456</v>
      </c>
      <c r="L9" s="327">
        <v>22577</v>
      </c>
      <c r="M9" s="329">
        <v>19382</v>
      </c>
      <c r="N9" s="328">
        <f t="shared" si="0"/>
        <v>206027</v>
      </c>
      <c r="O9" s="200"/>
    </row>
    <row r="10" spans="1:17">
      <c r="A10" s="326">
        <v>2014</v>
      </c>
      <c r="B10" s="327">
        <v>18438</v>
      </c>
      <c r="C10" s="327">
        <v>21890</v>
      </c>
      <c r="D10" s="327">
        <v>24823</v>
      </c>
      <c r="E10" s="327">
        <v>25145</v>
      </c>
      <c r="F10" s="327">
        <v>25554</v>
      </c>
      <c r="G10" s="327">
        <v>25116</v>
      </c>
      <c r="H10" s="327">
        <v>28555</v>
      </c>
      <c r="I10" s="327">
        <v>28317</v>
      </c>
      <c r="J10" s="327">
        <v>26597</v>
      </c>
      <c r="K10" s="327">
        <v>26509</v>
      </c>
      <c r="L10" s="327">
        <v>25369</v>
      </c>
      <c r="M10" s="330">
        <v>27214</v>
      </c>
      <c r="N10" s="328">
        <f t="shared" si="0"/>
        <v>303527</v>
      </c>
      <c r="O10" s="200"/>
    </row>
    <row r="11" spans="1:17">
      <c r="A11" s="326">
        <v>2015</v>
      </c>
      <c r="B11" s="327">
        <v>32178</v>
      </c>
      <c r="C11" s="327">
        <v>22868</v>
      </c>
      <c r="D11" s="327">
        <v>26237</v>
      </c>
      <c r="E11" s="327">
        <v>25122</v>
      </c>
      <c r="F11" s="327">
        <v>24132</v>
      </c>
      <c r="G11" s="327">
        <v>19841</v>
      </c>
      <c r="H11" s="327">
        <v>21520</v>
      </c>
      <c r="I11" s="327">
        <v>28082</v>
      </c>
      <c r="J11" s="327">
        <v>27018</v>
      </c>
      <c r="K11" s="327">
        <v>26982</v>
      </c>
      <c r="L11" s="327">
        <v>23003</v>
      </c>
      <c r="M11" s="329">
        <v>23581</v>
      </c>
      <c r="N11" s="328">
        <f t="shared" si="0"/>
        <v>300564</v>
      </c>
      <c r="O11" s="200"/>
    </row>
    <row r="12" spans="1:17">
      <c r="A12" s="326">
        <v>2016</v>
      </c>
      <c r="B12" s="327">
        <v>28885</v>
      </c>
      <c r="C12" s="327">
        <v>26677</v>
      </c>
      <c r="D12" s="327"/>
      <c r="E12" s="327"/>
      <c r="F12" s="327"/>
      <c r="G12" s="327"/>
      <c r="H12" s="327"/>
      <c r="I12" s="327"/>
      <c r="J12" s="327"/>
      <c r="K12" s="327"/>
      <c r="L12" s="327"/>
      <c r="M12" s="329"/>
      <c r="N12" s="328">
        <f>SUM(B12:M12)</f>
        <v>55562</v>
      </c>
      <c r="O12" s="200"/>
    </row>
    <row r="13" spans="1:17">
      <c r="A13" t="s">
        <v>1892</v>
      </c>
      <c r="B13" s="331"/>
      <c r="C13" s="331"/>
      <c r="D13" s="331"/>
      <c r="E13" s="331"/>
      <c r="F13" s="331"/>
      <c r="G13" s="331"/>
      <c r="H13" s="332"/>
      <c r="I13" s="332"/>
      <c r="J13" s="332"/>
      <c r="K13" s="332"/>
      <c r="L13" s="655" t="s">
        <v>1893</v>
      </c>
      <c r="M13" s="655"/>
      <c r="N13" s="333">
        <f>SUM(C11:M11,B12:M12)</f>
        <v>323948</v>
      </c>
      <c r="O13" s="200"/>
    </row>
    <row r="14" spans="1:17">
      <c r="H14" s="47"/>
      <c r="I14" s="47"/>
      <c r="J14" s="47"/>
      <c r="K14" s="47"/>
      <c r="L14" s="78" t="s">
        <v>1894</v>
      </c>
      <c r="N14" s="334">
        <f>SUM(N5:N10,B11:M11,B12:M12)</f>
        <v>1074531</v>
      </c>
      <c r="O14" s="231"/>
    </row>
    <row r="15" spans="1:17">
      <c r="D15" s="178"/>
      <c r="I15" s="178"/>
      <c r="J15" s="200"/>
      <c r="L15" s="78"/>
    </row>
    <row r="16" spans="1:17">
      <c r="C16" s="61"/>
      <c r="D16" s="313"/>
      <c r="E16" s="313"/>
      <c r="F16" s="313"/>
      <c r="G16" s="313"/>
      <c r="H16" s="313"/>
      <c r="Q16" s="178"/>
    </row>
    <row r="17" spans="3:17">
      <c r="C17" s="30"/>
      <c r="D17" s="313"/>
      <c r="E17" s="313"/>
      <c r="F17" s="313"/>
      <c r="G17" s="313"/>
      <c r="H17" s="313"/>
    </row>
    <row r="18" spans="3:17">
      <c r="C18" s="62"/>
      <c r="D18" s="313"/>
      <c r="E18" s="313"/>
      <c r="F18" s="313"/>
      <c r="G18" s="313"/>
      <c r="H18" s="313"/>
      <c r="Q18" s="178"/>
    </row>
    <row r="19" spans="3:17">
      <c r="C19" s="63"/>
      <c r="D19" s="313"/>
      <c r="E19" s="313"/>
      <c r="F19" s="313"/>
      <c r="G19" s="313"/>
      <c r="H19" s="313"/>
    </row>
    <row r="20" spans="3:17">
      <c r="C20" s="64"/>
      <c r="D20" s="313"/>
      <c r="E20" s="313"/>
      <c r="F20" s="313"/>
      <c r="G20" s="313"/>
      <c r="H20" s="313"/>
    </row>
    <row r="21" spans="3:17">
      <c r="C21" s="65"/>
      <c r="D21" s="313"/>
      <c r="E21" s="313"/>
      <c r="F21" s="313"/>
      <c r="G21" s="313"/>
      <c r="H21" s="313"/>
    </row>
    <row r="22" spans="3:17">
      <c r="D22" s="313"/>
      <c r="E22" s="313"/>
      <c r="F22" s="313"/>
      <c r="G22" s="313"/>
      <c r="H22" s="313"/>
    </row>
    <row r="23" spans="3:17">
      <c r="C23" s="11"/>
      <c r="D23" s="313"/>
      <c r="E23" s="313"/>
      <c r="F23" s="313"/>
      <c r="G23" s="313"/>
      <c r="H23" s="313"/>
    </row>
    <row r="38" spans="2:50" ht="15">
      <c r="B38" s="656"/>
      <c r="C38" s="657"/>
      <c r="D38" s="657"/>
      <c r="E38" s="657"/>
      <c r="F38" s="657"/>
      <c r="G38" s="657"/>
      <c r="H38" s="657"/>
      <c r="I38" s="657"/>
      <c r="J38" s="657"/>
      <c r="K38" s="657"/>
      <c r="L38" s="657"/>
      <c r="M38" s="657"/>
      <c r="N38" s="335"/>
      <c r="O38" s="335"/>
      <c r="P38" s="335"/>
      <c r="Q38" s="335"/>
      <c r="R38" s="335"/>
      <c r="S38" s="335"/>
      <c r="T38" s="335"/>
      <c r="U38" s="335"/>
      <c r="V38" s="335"/>
      <c r="W38" s="335"/>
      <c r="X38" s="335"/>
      <c r="Y38" s="335"/>
      <c r="Z38" s="335"/>
      <c r="AA38" s="335"/>
      <c r="AB38" s="335"/>
      <c r="AC38" s="335"/>
      <c r="AD38" s="335"/>
      <c r="AE38" s="335"/>
      <c r="AF38" s="335"/>
      <c r="AG38" s="335"/>
      <c r="AH38" s="335"/>
      <c r="AI38" s="335"/>
      <c r="AJ38" s="335"/>
      <c r="AK38" s="335"/>
      <c r="AL38" s="335"/>
      <c r="AM38" s="335"/>
      <c r="AN38" s="335"/>
      <c r="AO38" s="335"/>
      <c r="AP38" s="335"/>
      <c r="AQ38" s="335"/>
      <c r="AR38" s="335"/>
      <c r="AS38" s="335"/>
      <c r="AT38" s="335"/>
      <c r="AU38" s="335"/>
      <c r="AV38" s="335"/>
      <c r="AW38" s="335"/>
      <c r="AX38" s="335"/>
    </row>
  </sheetData>
  <mergeCells count="2">
    <mergeCell ref="L13:M13"/>
    <mergeCell ref="B38:M38"/>
  </mergeCells>
  <pageMargins left="0.7" right="0.7" top="0.75" bottom="0.75" header="0.3" footer="0.3"/>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workbookViewId="0">
      <selection activeCell="P35" sqref="P35"/>
    </sheetView>
  </sheetViews>
  <sheetFormatPr baseColWidth="10" defaultColWidth="8.83203125" defaultRowHeight="14" x14ac:dyDescent="0"/>
  <cols>
    <col min="1" max="1" width="5.5" customWidth="1"/>
    <col min="2" max="13" width="7.6640625" customWidth="1"/>
    <col min="14" max="14" width="7.5" bestFit="1" customWidth="1"/>
    <col min="15" max="17" width="6.6640625" customWidth="1"/>
  </cols>
  <sheetData>
    <row r="1" spans="1:17">
      <c r="B1" t="s">
        <v>1895</v>
      </c>
    </row>
    <row r="3" spans="1:17" s="202" customFormat="1">
      <c r="B3" s="336" t="s">
        <v>1812</v>
      </c>
      <c r="C3" s="336" t="s">
        <v>1813</v>
      </c>
      <c r="D3" s="336" t="s">
        <v>1814</v>
      </c>
      <c r="E3" s="336" t="s">
        <v>1815</v>
      </c>
      <c r="F3" s="336" t="s">
        <v>1816</v>
      </c>
      <c r="G3" s="336" t="s">
        <v>1817</v>
      </c>
      <c r="H3" s="336" t="s">
        <v>1818</v>
      </c>
      <c r="I3" s="336" t="s">
        <v>1819</v>
      </c>
      <c r="J3" s="336" t="s">
        <v>1820</v>
      </c>
      <c r="K3" s="336" t="s">
        <v>1888</v>
      </c>
      <c r="L3" s="336" t="s">
        <v>1822</v>
      </c>
      <c r="M3" s="336" t="s">
        <v>1823</v>
      </c>
      <c r="N3" s="337"/>
    </row>
    <row r="4" spans="1:17" s="202" customFormat="1">
      <c r="A4" s="338" t="s">
        <v>1896</v>
      </c>
      <c r="B4" s="336" t="s">
        <v>1812</v>
      </c>
      <c r="C4" s="336" t="s">
        <v>1813</v>
      </c>
      <c r="D4" s="336" t="s">
        <v>1814</v>
      </c>
      <c r="E4" s="336" t="s">
        <v>1815</v>
      </c>
      <c r="F4" s="336" t="s">
        <v>1816</v>
      </c>
      <c r="G4" s="336" t="s">
        <v>1817</v>
      </c>
      <c r="H4" s="336" t="s">
        <v>1818</v>
      </c>
      <c r="I4" s="336" t="s">
        <v>1819</v>
      </c>
      <c r="J4" s="336" t="s">
        <v>1820</v>
      </c>
      <c r="K4" s="336" t="s">
        <v>1890</v>
      </c>
      <c r="L4" s="336" t="s">
        <v>1822</v>
      </c>
      <c r="M4" s="336" t="s">
        <v>1823</v>
      </c>
      <c r="N4" s="337" t="s">
        <v>1634</v>
      </c>
    </row>
    <row r="5" spans="1:17">
      <c r="A5" s="318"/>
      <c r="B5" s="319"/>
      <c r="C5" s="319"/>
      <c r="D5" s="319"/>
      <c r="E5" s="319"/>
      <c r="F5" s="319"/>
      <c r="G5" s="319"/>
      <c r="H5" s="319"/>
      <c r="I5" s="319"/>
      <c r="J5" s="319"/>
      <c r="K5" s="319"/>
      <c r="L5" s="319"/>
      <c r="M5" s="319"/>
      <c r="N5" s="320"/>
    </row>
    <row r="6" spans="1:17">
      <c r="A6" s="338">
        <v>2010</v>
      </c>
      <c r="B6" s="322" t="s">
        <v>1897</v>
      </c>
      <c r="C6" s="322" t="s">
        <v>1897</v>
      </c>
      <c r="D6" s="322" t="s">
        <v>1897</v>
      </c>
      <c r="E6" s="323">
        <v>214</v>
      </c>
      <c r="F6" s="323">
        <v>365</v>
      </c>
      <c r="G6" s="323">
        <v>156</v>
      </c>
      <c r="H6" s="323">
        <v>262</v>
      </c>
      <c r="I6" s="323">
        <v>217</v>
      </c>
      <c r="J6" s="323">
        <v>365</v>
      </c>
      <c r="K6" s="323">
        <v>383</v>
      </c>
      <c r="L6" s="323">
        <v>393</v>
      </c>
      <c r="M6" s="323">
        <v>999</v>
      </c>
      <c r="N6" s="339">
        <f>SUM(E6:M6)</f>
        <v>3354</v>
      </c>
    </row>
    <row r="7" spans="1:17">
      <c r="A7" s="340">
        <v>2011</v>
      </c>
      <c r="B7" s="327">
        <v>1263</v>
      </c>
      <c r="C7" s="327">
        <v>1345</v>
      </c>
      <c r="D7" s="327">
        <v>2364</v>
      </c>
      <c r="E7" s="327">
        <v>2459</v>
      </c>
      <c r="F7" s="327">
        <v>2265</v>
      </c>
      <c r="G7" s="327">
        <v>3506</v>
      </c>
      <c r="H7" s="327">
        <v>3460</v>
      </c>
      <c r="I7" s="327">
        <v>4312</v>
      </c>
      <c r="J7" s="327">
        <v>1817</v>
      </c>
      <c r="K7" s="327">
        <v>7608</v>
      </c>
      <c r="L7" s="327">
        <v>6820</v>
      </c>
      <c r="M7" s="327">
        <v>7031</v>
      </c>
      <c r="N7" s="339">
        <f t="shared" ref="N7:N12" si="0">SUM(B7:M7)</f>
        <v>44250</v>
      </c>
    </row>
    <row r="8" spans="1:17">
      <c r="A8" s="341">
        <v>2012</v>
      </c>
      <c r="B8" s="327">
        <v>9994</v>
      </c>
      <c r="C8" s="327">
        <v>10463</v>
      </c>
      <c r="D8" s="327">
        <v>9677</v>
      </c>
      <c r="E8" s="327">
        <v>8983</v>
      </c>
      <c r="F8" s="327">
        <v>10293</v>
      </c>
      <c r="G8" s="327">
        <v>10091</v>
      </c>
      <c r="H8" s="327">
        <v>13280</v>
      </c>
      <c r="I8" s="327">
        <v>13380</v>
      </c>
      <c r="J8" s="327">
        <v>11790</v>
      </c>
      <c r="K8" s="327">
        <v>12669</v>
      </c>
      <c r="L8" s="327">
        <v>11432</v>
      </c>
      <c r="M8" s="327">
        <v>11589</v>
      </c>
      <c r="N8" s="339">
        <f t="shared" si="0"/>
        <v>133641</v>
      </c>
    </row>
    <row r="9" spans="1:17">
      <c r="A9" s="342">
        <v>2013</v>
      </c>
      <c r="B9" s="343">
        <v>17206</v>
      </c>
      <c r="C9" s="343">
        <v>20233</v>
      </c>
      <c r="D9" s="343">
        <v>22457</v>
      </c>
      <c r="E9" s="343">
        <v>23042</v>
      </c>
      <c r="F9" s="343">
        <v>19324</v>
      </c>
      <c r="G9" s="343">
        <v>18631</v>
      </c>
      <c r="H9" s="343">
        <v>22886</v>
      </c>
      <c r="I9" s="343">
        <v>22493</v>
      </c>
      <c r="J9" s="343">
        <v>20113</v>
      </c>
      <c r="K9" s="343">
        <v>13686</v>
      </c>
      <c r="L9" s="343">
        <v>12592</v>
      </c>
      <c r="M9" s="343">
        <v>14162</v>
      </c>
      <c r="N9" s="344">
        <f t="shared" si="0"/>
        <v>226825</v>
      </c>
    </row>
    <row r="10" spans="1:17">
      <c r="A10" s="341">
        <v>2014</v>
      </c>
      <c r="B10" s="345">
        <v>19628</v>
      </c>
      <c r="C10" s="327">
        <v>18299</v>
      </c>
      <c r="D10" s="327">
        <v>21122</v>
      </c>
      <c r="E10" s="327">
        <v>21216</v>
      </c>
      <c r="F10" s="327">
        <v>21966</v>
      </c>
      <c r="G10" s="327">
        <v>19525</v>
      </c>
      <c r="H10" s="327">
        <v>22567</v>
      </c>
      <c r="I10" s="327">
        <v>20859</v>
      </c>
      <c r="J10" s="327">
        <v>18570</v>
      </c>
      <c r="K10" s="327">
        <v>19704</v>
      </c>
      <c r="L10" s="327">
        <v>16853</v>
      </c>
      <c r="M10" s="327">
        <v>18489</v>
      </c>
      <c r="N10" s="346">
        <f t="shared" si="0"/>
        <v>238798</v>
      </c>
    </row>
    <row r="11" spans="1:17">
      <c r="A11" s="347">
        <v>2015</v>
      </c>
      <c r="B11" s="327">
        <v>26769</v>
      </c>
      <c r="C11" s="327">
        <v>26049</v>
      </c>
      <c r="D11" s="327">
        <v>26494</v>
      </c>
      <c r="E11" s="327">
        <v>20530</v>
      </c>
      <c r="F11" s="327">
        <v>19208</v>
      </c>
      <c r="G11" s="327">
        <v>18980</v>
      </c>
      <c r="H11" s="327">
        <v>18826</v>
      </c>
      <c r="I11" s="327">
        <v>20007</v>
      </c>
      <c r="J11" s="327">
        <v>18143</v>
      </c>
      <c r="K11" s="327">
        <v>16276</v>
      </c>
      <c r="L11" s="327">
        <v>15166</v>
      </c>
      <c r="M11" s="327">
        <v>15019</v>
      </c>
      <c r="N11" s="346">
        <f t="shared" si="0"/>
        <v>241467</v>
      </c>
    </row>
    <row r="12" spans="1:17">
      <c r="A12" s="347">
        <v>2016</v>
      </c>
      <c r="B12" s="327">
        <v>20499</v>
      </c>
      <c r="C12" s="327">
        <v>20082</v>
      </c>
      <c r="D12" s="327"/>
      <c r="E12" s="327"/>
      <c r="F12" s="327"/>
      <c r="G12" s="327"/>
      <c r="H12" s="327"/>
      <c r="I12" s="327"/>
      <c r="J12" s="327"/>
      <c r="K12" s="327"/>
      <c r="L12" s="327"/>
      <c r="M12" s="327"/>
      <c r="N12" s="346">
        <f t="shared" si="0"/>
        <v>40581</v>
      </c>
    </row>
    <row r="13" spans="1:17">
      <c r="A13" t="s">
        <v>1898</v>
      </c>
      <c r="B13" s="332"/>
      <c r="C13" s="332"/>
      <c r="D13" s="332"/>
      <c r="E13" s="332"/>
      <c r="F13" s="332"/>
      <c r="G13" s="332"/>
      <c r="H13" s="332"/>
      <c r="I13" s="332"/>
      <c r="J13" s="332"/>
      <c r="K13" s="332"/>
      <c r="L13" s="658" t="s">
        <v>1899</v>
      </c>
      <c r="M13" s="658"/>
      <c r="N13" s="348">
        <f>SUM(D11:M11, B12:M12)</f>
        <v>229230</v>
      </c>
      <c r="O13" s="349"/>
      <c r="P13" s="349"/>
    </row>
    <row r="14" spans="1:17">
      <c r="A14" s="350"/>
      <c r="B14" s="332"/>
      <c r="C14" s="332"/>
      <c r="D14" s="332"/>
      <c r="E14" s="332"/>
      <c r="F14" s="332"/>
      <c r="G14" s="332"/>
      <c r="H14" s="332"/>
      <c r="I14" s="332"/>
      <c r="J14" s="332"/>
      <c r="K14" s="658" t="s">
        <v>1894</v>
      </c>
      <c r="L14" s="658"/>
      <c r="M14" s="658"/>
      <c r="N14" s="348">
        <f>SUM(E6:M6,B7:M7,B8:M8,B9:M9,B10:M10,B11:M11,B12:M12)</f>
        <v>928916</v>
      </c>
      <c r="O14" s="349"/>
      <c r="P14" s="349"/>
      <c r="Q14" s="200"/>
    </row>
    <row r="15" spans="1:17">
      <c r="C15" s="178"/>
    </row>
    <row r="16" spans="1:17">
      <c r="E16" s="200"/>
    </row>
    <row r="18" spans="2:3" ht="15">
      <c r="B18" s="351"/>
      <c r="C18" s="352"/>
    </row>
    <row r="19" spans="2:3" ht="15">
      <c r="B19" s="351"/>
      <c r="C19" s="352"/>
    </row>
    <row r="20" spans="2:3" ht="15">
      <c r="B20" s="351"/>
      <c r="C20" s="352"/>
    </row>
  </sheetData>
  <mergeCells count="2">
    <mergeCell ref="L13:M13"/>
    <mergeCell ref="K14:M14"/>
  </mergeCells>
  <pageMargins left="0.7" right="0.7" top="0.75" bottom="0.75" header="0.3" footer="0.3"/>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workbookViewId="0">
      <selection activeCell="P36" sqref="P36"/>
    </sheetView>
  </sheetViews>
  <sheetFormatPr baseColWidth="10" defaultColWidth="8.83203125" defaultRowHeight="14" x14ac:dyDescent="0"/>
  <cols>
    <col min="1" max="1" width="6.6640625" customWidth="1"/>
    <col min="2" max="2" width="11.83203125" customWidth="1"/>
    <col min="3" max="4" width="9.33203125" customWidth="1"/>
    <col min="5" max="5" width="9.83203125" customWidth="1"/>
    <col min="6" max="6" width="9.33203125" customWidth="1"/>
    <col min="7" max="7" width="9.6640625" customWidth="1"/>
    <col min="9" max="9" width="9.83203125" customWidth="1"/>
    <col min="14" max="14" width="11.6640625" customWidth="1"/>
  </cols>
  <sheetData>
    <row r="1" spans="1:17">
      <c r="B1" s="336" t="s">
        <v>1812</v>
      </c>
      <c r="C1" s="336" t="s">
        <v>1813</v>
      </c>
      <c r="D1" s="336" t="s">
        <v>1814</v>
      </c>
      <c r="E1" s="336" t="s">
        <v>1815</v>
      </c>
      <c r="F1" s="336" t="s">
        <v>1816</v>
      </c>
      <c r="G1" s="336" t="s">
        <v>1817</v>
      </c>
      <c r="H1" s="336" t="s">
        <v>1818</v>
      </c>
      <c r="I1" s="336" t="s">
        <v>1819</v>
      </c>
      <c r="J1" s="336" t="s">
        <v>1820</v>
      </c>
      <c r="K1" s="336" t="s">
        <v>1888</v>
      </c>
      <c r="L1" s="336" t="s">
        <v>1822</v>
      </c>
      <c r="M1" s="336" t="s">
        <v>1823</v>
      </c>
    </row>
    <row r="2" spans="1:17">
      <c r="B2" s="336" t="s">
        <v>1812</v>
      </c>
      <c r="C2" s="336" t="s">
        <v>1813</v>
      </c>
      <c r="D2" s="336" t="s">
        <v>1814</v>
      </c>
      <c r="E2" s="336" t="s">
        <v>1815</v>
      </c>
      <c r="F2" s="336" t="s">
        <v>1816</v>
      </c>
      <c r="G2" s="336" t="s">
        <v>1817</v>
      </c>
      <c r="H2" s="336" t="s">
        <v>1818</v>
      </c>
      <c r="I2" s="336" t="s">
        <v>1819</v>
      </c>
      <c r="J2" s="336" t="s">
        <v>1820</v>
      </c>
      <c r="K2" s="336" t="s">
        <v>1830</v>
      </c>
      <c r="L2" s="336" t="s">
        <v>1822</v>
      </c>
      <c r="M2" s="336" t="s">
        <v>1823</v>
      </c>
      <c r="N2" s="287" t="s">
        <v>1634</v>
      </c>
    </row>
    <row r="3" spans="1:17">
      <c r="A3" s="338" t="s">
        <v>1896</v>
      </c>
      <c r="B3" s="319"/>
      <c r="C3" s="319"/>
      <c r="D3" s="319"/>
      <c r="E3" s="319"/>
      <c r="F3" s="319"/>
      <c r="G3" s="319"/>
      <c r="H3" s="319"/>
      <c r="I3" s="319"/>
      <c r="J3" s="319"/>
      <c r="K3" s="319"/>
      <c r="L3" s="319"/>
      <c r="M3" s="319"/>
      <c r="N3" s="320"/>
    </row>
    <row r="4" spans="1:17">
      <c r="A4" s="353">
        <v>2011</v>
      </c>
      <c r="B4" s="327">
        <v>122078</v>
      </c>
      <c r="C4" s="327">
        <v>152314</v>
      </c>
      <c r="D4" s="327">
        <v>193393</v>
      </c>
      <c r="E4" s="327">
        <v>222590</v>
      </c>
      <c r="F4" s="327">
        <v>247283</v>
      </c>
      <c r="G4" s="327">
        <v>296592</v>
      </c>
      <c r="H4" s="327">
        <v>325112</v>
      </c>
      <c r="I4" s="327">
        <v>363828</v>
      </c>
      <c r="J4" s="327">
        <v>386929</v>
      </c>
      <c r="K4" s="327">
        <v>462549</v>
      </c>
      <c r="L4" s="327">
        <v>473706</v>
      </c>
      <c r="M4" s="327">
        <v>611421</v>
      </c>
      <c r="N4" s="339">
        <f t="shared" ref="N4:N9" si="0">SUM(B4:M4)</f>
        <v>3857795</v>
      </c>
    </row>
    <row r="5" spans="1:17">
      <c r="A5" s="353">
        <v>2012</v>
      </c>
      <c r="B5" s="327">
        <v>707060</v>
      </c>
      <c r="C5" s="327">
        <v>740135</v>
      </c>
      <c r="D5" s="327">
        <v>808302</v>
      </c>
      <c r="E5" s="327">
        <v>792184</v>
      </c>
      <c r="F5" s="327">
        <v>709423</v>
      </c>
      <c r="G5" s="327">
        <v>778885</v>
      </c>
      <c r="H5" s="327">
        <v>859279</v>
      </c>
      <c r="I5" s="327">
        <v>860010</v>
      </c>
      <c r="J5" s="327">
        <v>1240723</v>
      </c>
      <c r="K5" s="354">
        <v>1315829</v>
      </c>
      <c r="L5" s="354">
        <v>1173274</v>
      </c>
      <c r="M5" s="354">
        <v>1162990</v>
      </c>
      <c r="N5" s="339">
        <f t="shared" si="0"/>
        <v>11148094</v>
      </c>
    </row>
    <row r="6" spans="1:17">
      <c r="A6" s="353">
        <v>2013</v>
      </c>
      <c r="B6" s="327">
        <v>1400681</v>
      </c>
      <c r="C6" s="327">
        <v>1317098</v>
      </c>
      <c r="D6" s="327">
        <v>1505285</v>
      </c>
      <c r="E6" s="327">
        <v>1451371</v>
      </c>
      <c r="F6" s="327">
        <v>1628766</v>
      </c>
      <c r="G6" s="327">
        <v>1314845</v>
      </c>
      <c r="H6" s="327">
        <v>1430444</v>
      </c>
      <c r="I6" s="327">
        <v>1439860</v>
      </c>
      <c r="J6" s="327">
        <v>1269934</v>
      </c>
      <c r="K6" s="354">
        <v>958719</v>
      </c>
      <c r="L6" s="354">
        <v>877734</v>
      </c>
      <c r="M6" s="354">
        <v>940035</v>
      </c>
      <c r="N6" s="339">
        <f t="shared" si="0"/>
        <v>15534772</v>
      </c>
      <c r="Q6" s="200"/>
    </row>
    <row r="7" spans="1:17">
      <c r="A7" s="355">
        <v>2014</v>
      </c>
      <c r="B7" s="343">
        <v>1051135</v>
      </c>
      <c r="C7" s="343">
        <v>1025853</v>
      </c>
      <c r="D7" s="343">
        <v>1133207</v>
      </c>
      <c r="E7" s="343">
        <v>1180363</v>
      </c>
      <c r="F7" s="343">
        <v>1206410</v>
      </c>
      <c r="G7" s="343">
        <v>1201998</v>
      </c>
      <c r="H7" s="343">
        <v>1369205</v>
      </c>
      <c r="I7" s="343">
        <v>1304645</v>
      </c>
      <c r="J7" s="343">
        <v>1248911</v>
      </c>
      <c r="K7" s="356">
        <v>1237351</v>
      </c>
      <c r="L7" s="356">
        <v>1076400</v>
      </c>
      <c r="M7" s="356">
        <v>1166119</v>
      </c>
      <c r="N7" s="357">
        <f t="shared" si="0"/>
        <v>14201597</v>
      </c>
      <c r="Q7" s="200"/>
    </row>
    <row r="8" spans="1:17">
      <c r="A8" s="358">
        <v>2015</v>
      </c>
      <c r="B8" s="327">
        <v>1267477</v>
      </c>
      <c r="C8" s="327">
        <v>1196008</v>
      </c>
      <c r="D8" s="327">
        <v>1329657</v>
      </c>
      <c r="E8" s="327">
        <v>850803</v>
      </c>
      <c r="F8" s="327">
        <v>816358</v>
      </c>
      <c r="G8" s="327">
        <v>792906</v>
      </c>
      <c r="H8" s="327">
        <v>913051</v>
      </c>
      <c r="I8" s="327">
        <v>1092129</v>
      </c>
      <c r="J8" s="327">
        <v>1074085</v>
      </c>
      <c r="K8" s="354">
        <v>1103159</v>
      </c>
      <c r="L8" s="354">
        <v>1003362</v>
      </c>
      <c r="M8" s="354">
        <v>1017363</v>
      </c>
      <c r="N8" s="346">
        <f t="shared" si="0"/>
        <v>12456358</v>
      </c>
      <c r="Q8" s="200"/>
    </row>
    <row r="9" spans="1:17">
      <c r="A9" s="358">
        <v>2016</v>
      </c>
      <c r="B9" s="327">
        <v>1167932</v>
      </c>
      <c r="C9" s="327">
        <v>1121669</v>
      </c>
      <c r="D9" s="327"/>
      <c r="E9" s="327"/>
      <c r="F9" s="327"/>
      <c r="G9" s="327"/>
      <c r="H9" s="327"/>
      <c r="I9" s="327"/>
      <c r="J9" s="327"/>
      <c r="K9" s="354"/>
      <c r="L9" s="354"/>
      <c r="M9" s="354"/>
      <c r="N9" s="346">
        <f t="shared" si="0"/>
        <v>2289601</v>
      </c>
      <c r="Q9" s="200"/>
    </row>
    <row r="10" spans="1:17">
      <c r="A10" s="359"/>
      <c r="B10" s="360"/>
      <c r="L10" s="659" t="s">
        <v>1900</v>
      </c>
      <c r="M10" s="659"/>
      <c r="N10" s="334">
        <f>SUM(D8:M8,B9:M9)</f>
        <v>12282474</v>
      </c>
      <c r="P10" s="178"/>
      <c r="Q10" s="178"/>
    </row>
    <row r="11" spans="1:17">
      <c r="K11" s="659" t="s">
        <v>1901</v>
      </c>
      <c r="L11" s="659"/>
      <c r="M11" s="659"/>
      <c r="N11" s="334">
        <f>SUM(N4:N9)</f>
        <v>59488217</v>
      </c>
      <c r="P11" s="178"/>
    </row>
    <row r="12" spans="1:17">
      <c r="J12" s="200"/>
      <c r="P12" s="178"/>
    </row>
    <row r="13" spans="1:17">
      <c r="Q13" s="200"/>
    </row>
  </sheetData>
  <mergeCells count="2">
    <mergeCell ref="L10:M10"/>
    <mergeCell ref="K11:M11"/>
  </mergeCells>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7"/>
  <sheetViews>
    <sheetView zoomScale="80" zoomScaleNormal="80" zoomScalePageLayoutView="80" workbookViewId="0">
      <pane ySplit="1300" topLeftCell="A22"/>
      <selection activeCell="L21" sqref="L21:N27"/>
      <selection pane="bottomLeft" activeCell="A26" sqref="A26"/>
    </sheetView>
  </sheetViews>
  <sheetFormatPr baseColWidth="10" defaultColWidth="11.5" defaultRowHeight="14" x14ac:dyDescent="0"/>
  <cols>
    <col min="1" max="1" width="18.33203125" customWidth="1"/>
    <col min="2" max="2" width="19.6640625" customWidth="1"/>
    <col min="3" max="3" width="54.33203125" customWidth="1"/>
    <col min="4" max="4" width="31.1640625" customWidth="1"/>
    <col min="5" max="5" width="17.33203125" customWidth="1"/>
    <col min="6" max="6" width="17.5" customWidth="1"/>
    <col min="7" max="7" width="7.1640625" bestFit="1" customWidth="1"/>
    <col min="8" max="8" width="10.5" bestFit="1" customWidth="1"/>
    <col min="9" max="9" width="15.5" bestFit="1" customWidth="1"/>
    <col min="10" max="10" width="9.5" customWidth="1"/>
    <col min="11" max="11" width="11.33203125" bestFit="1" customWidth="1"/>
    <col min="12" max="12" width="13.5" bestFit="1" customWidth="1"/>
    <col min="13" max="13" width="9.33203125" customWidth="1"/>
    <col min="14" max="14" width="38.6640625" bestFit="1" customWidth="1"/>
    <col min="15" max="15" width="37.33203125" bestFit="1" customWidth="1"/>
    <col min="16" max="17" width="40.83203125" customWidth="1"/>
    <col min="18" max="18" width="40.6640625" bestFit="1" customWidth="1"/>
  </cols>
  <sheetData>
    <row r="1" spans="1:18" ht="66" customHeight="1">
      <c r="A1" s="41" t="s">
        <v>0</v>
      </c>
      <c r="B1" s="41" t="s">
        <v>2032</v>
      </c>
      <c r="C1" s="41" t="s">
        <v>1099</v>
      </c>
      <c r="D1" s="41" t="s">
        <v>1142</v>
      </c>
      <c r="E1" s="41" t="s">
        <v>159</v>
      </c>
      <c r="F1" s="41" t="s">
        <v>2</v>
      </c>
      <c r="G1" s="41" t="s">
        <v>3</v>
      </c>
      <c r="H1" s="41" t="s">
        <v>7</v>
      </c>
      <c r="I1" s="41" t="s">
        <v>267</v>
      </c>
      <c r="J1" s="41" t="s">
        <v>1145</v>
      </c>
      <c r="K1" s="41" t="s">
        <v>222</v>
      </c>
      <c r="L1" s="41" t="s">
        <v>246</v>
      </c>
      <c r="M1" s="41" t="s">
        <v>4</v>
      </c>
      <c r="N1" s="41" t="s">
        <v>5</v>
      </c>
      <c r="O1" s="41" t="s">
        <v>6</v>
      </c>
      <c r="P1" s="41" t="s">
        <v>382</v>
      </c>
      <c r="Q1" s="41" t="s">
        <v>1127</v>
      </c>
      <c r="R1" s="41" t="s">
        <v>334</v>
      </c>
    </row>
    <row r="2" spans="1:18" ht="66" customHeight="1">
      <c r="A2" s="1" t="s">
        <v>38</v>
      </c>
      <c r="B2" s="1" t="s">
        <v>336</v>
      </c>
      <c r="C2" s="1" t="s">
        <v>335</v>
      </c>
      <c r="D2" s="40" t="s">
        <v>1102</v>
      </c>
      <c r="E2" s="1" t="s">
        <v>163</v>
      </c>
      <c r="F2" s="1" t="s">
        <v>1128</v>
      </c>
      <c r="G2" s="1" t="s">
        <v>11</v>
      </c>
      <c r="H2" s="1" t="s">
        <v>43</v>
      </c>
      <c r="I2" s="1" t="s">
        <v>135</v>
      </c>
      <c r="J2" s="4" t="s">
        <v>135</v>
      </c>
      <c r="K2" s="4" t="s">
        <v>1066</v>
      </c>
      <c r="L2" s="4" t="s">
        <v>14</v>
      </c>
      <c r="M2" s="1" t="s">
        <v>1165</v>
      </c>
      <c r="N2" s="4" t="s">
        <v>1067</v>
      </c>
      <c r="O2" s="4" t="s">
        <v>1068</v>
      </c>
      <c r="P2" s="44" t="s">
        <v>386</v>
      </c>
      <c r="Q2" s="1" t="s">
        <v>14</v>
      </c>
      <c r="R2" s="1"/>
    </row>
    <row r="3" spans="1:18" ht="66" customHeight="1">
      <c r="A3" s="1" t="s">
        <v>138</v>
      </c>
      <c r="B3" s="1" t="s">
        <v>298</v>
      </c>
      <c r="C3" s="4" t="s">
        <v>257</v>
      </c>
      <c r="D3" s="40" t="s">
        <v>1105</v>
      </c>
      <c r="E3" s="1" t="s">
        <v>1168</v>
      </c>
      <c r="F3" s="1" t="s">
        <v>1128</v>
      </c>
      <c r="G3" s="1" t="s">
        <v>11</v>
      </c>
      <c r="H3" s="4" t="s">
        <v>66</v>
      </c>
      <c r="I3" s="4" t="s">
        <v>258</v>
      </c>
      <c r="J3" s="4" t="s">
        <v>1169</v>
      </c>
      <c r="K3" s="4" t="s">
        <v>258</v>
      </c>
      <c r="L3" s="4" t="s">
        <v>14</v>
      </c>
      <c r="M3" s="4" t="s">
        <v>18</v>
      </c>
      <c r="N3" s="4" t="s">
        <v>14</v>
      </c>
      <c r="O3" s="4" t="s">
        <v>1078</v>
      </c>
      <c r="P3" s="1" t="s">
        <v>14</v>
      </c>
      <c r="Q3" s="50" t="s">
        <v>1072</v>
      </c>
      <c r="R3" s="1" t="s">
        <v>1079</v>
      </c>
    </row>
    <row r="4" spans="1:18" ht="66" customHeight="1">
      <c r="A4" s="1" t="s">
        <v>1146</v>
      </c>
      <c r="B4" s="1" t="s">
        <v>336</v>
      </c>
      <c r="C4" s="1" t="s">
        <v>1186</v>
      </c>
      <c r="D4" s="40" t="s">
        <v>14</v>
      </c>
      <c r="E4" s="1" t="s">
        <v>1168</v>
      </c>
      <c r="F4" s="1" t="s">
        <v>1128</v>
      </c>
      <c r="G4" s="1" t="s">
        <v>142</v>
      </c>
      <c r="H4" s="1" t="s">
        <v>1149</v>
      </c>
      <c r="I4" s="1" t="s">
        <v>135</v>
      </c>
      <c r="J4" s="1" t="s">
        <v>1170</v>
      </c>
      <c r="K4" s="1" t="s">
        <v>1151</v>
      </c>
      <c r="L4" s="4" t="s">
        <v>14</v>
      </c>
      <c r="M4" s="1" t="s">
        <v>1165</v>
      </c>
      <c r="N4" s="1" t="s">
        <v>1171</v>
      </c>
      <c r="O4" s="1" t="s">
        <v>14</v>
      </c>
      <c r="P4" s="39" t="s">
        <v>1153</v>
      </c>
      <c r="Q4" s="1" t="s">
        <v>14</v>
      </c>
      <c r="R4" s="1"/>
    </row>
    <row r="5" spans="1:18" ht="66" customHeight="1">
      <c r="A5" s="1" t="s">
        <v>1179</v>
      </c>
      <c r="B5" s="1" t="s">
        <v>14</v>
      </c>
      <c r="C5" s="1" t="s">
        <v>1180</v>
      </c>
      <c r="D5" s="40" t="s">
        <v>14</v>
      </c>
      <c r="E5" s="1" t="s">
        <v>1168</v>
      </c>
      <c r="F5" s="1" t="s">
        <v>1130</v>
      </c>
      <c r="G5" s="1" t="s">
        <v>1181</v>
      </c>
      <c r="H5" s="1" t="s">
        <v>14</v>
      </c>
      <c r="I5" s="1" t="s">
        <v>1182</v>
      </c>
      <c r="J5" s="1" t="s">
        <v>14</v>
      </c>
      <c r="K5" s="1" t="s">
        <v>14</v>
      </c>
      <c r="L5" s="1" t="s">
        <v>14</v>
      </c>
      <c r="M5" s="1" t="s">
        <v>14</v>
      </c>
      <c r="N5" s="1" t="s">
        <v>14</v>
      </c>
      <c r="O5" s="1" t="s">
        <v>14</v>
      </c>
      <c r="P5" s="1" t="s">
        <v>14</v>
      </c>
      <c r="Q5" s="1" t="s">
        <v>14</v>
      </c>
      <c r="R5" s="1"/>
    </row>
    <row r="6" spans="1:18" ht="66" customHeight="1">
      <c r="A6" s="1" t="s">
        <v>255</v>
      </c>
      <c r="B6" s="1" t="s">
        <v>254</v>
      </c>
      <c r="C6" s="4" t="s">
        <v>210</v>
      </c>
      <c r="D6" s="40" t="s">
        <v>1103</v>
      </c>
      <c r="E6" s="1" t="s">
        <v>1168</v>
      </c>
      <c r="F6" s="1" t="s">
        <v>1130</v>
      </c>
      <c r="G6" s="1" t="s">
        <v>256</v>
      </c>
      <c r="H6" s="4" t="s">
        <v>460</v>
      </c>
      <c r="I6" s="4" t="s">
        <v>135</v>
      </c>
      <c r="J6" s="4" t="s">
        <v>135</v>
      </c>
      <c r="K6" s="4" t="s">
        <v>1164</v>
      </c>
      <c r="L6" s="4" t="s">
        <v>14</v>
      </c>
      <c r="M6" s="4" t="s">
        <v>1074</v>
      </c>
      <c r="N6" s="4" t="s">
        <v>14</v>
      </c>
      <c r="O6" s="4" t="s">
        <v>14</v>
      </c>
      <c r="P6" s="1" t="s">
        <v>14</v>
      </c>
      <c r="Q6" s="1" t="s">
        <v>14</v>
      </c>
      <c r="R6" s="1"/>
    </row>
    <row r="7" spans="1:18" ht="66" customHeight="1">
      <c r="A7" s="1" t="s">
        <v>1143</v>
      </c>
      <c r="B7" s="1" t="s">
        <v>298</v>
      </c>
      <c r="C7" s="1" t="s">
        <v>1144</v>
      </c>
      <c r="D7" s="40" t="s">
        <v>1104</v>
      </c>
      <c r="E7" s="1" t="s">
        <v>1168</v>
      </c>
      <c r="F7" s="1" t="s">
        <v>1128</v>
      </c>
      <c r="G7" s="1" t="s">
        <v>11</v>
      </c>
      <c r="H7" s="1" t="s">
        <v>14</v>
      </c>
      <c r="I7" s="1" t="s">
        <v>135</v>
      </c>
      <c r="J7" s="1" t="s">
        <v>14</v>
      </c>
      <c r="K7" s="4" t="s">
        <v>14</v>
      </c>
      <c r="L7" s="4" t="s">
        <v>14</v>
      </c>
      <c r="M7" s="1" t="s">
        <v>1165</v>
      </c>
      <c r="N7" s="1" t="s">
        <v>14</v>
      </c>
      <c r="O7" s="1" t="s">
        <v>14</v>
      </c>
      <c r="P7" s="1" t="s">
        <v>14</v>
      </c>
      <c r="Q7" s="1" t="s">
        <v>14</v>
      </c>
      <c r="R7" s="1"/>
    </row>
    <row r="8" spans="1:18" ht="66" customHeight="1">
      <c r="A8" s="1" t="s">
        <v>41</v>
      </c>
      <c r="B8" s="1" t="s">
        <v>298</v>
      </c>
      <c r="C8" s="1" t="s">
        <v>269</v>
      </c>
      <c r="D8" s="40" t="s">
        <v>1104</v>
      </c>
      <c r="E8" s="1" t="s">
        <v>163</v>
      </c>
      <c r="F8" s="1" t="s">
        <v>1128</v>
      </c>
      <c r="G8" s="1" t="s">
        <v>11</v>
      </c>
      <c r="H8" s="1" t="s">
        <v>43</v>
      </c>
      <c r="I8" s="1" t="s">
        <v>135</v>
      </c>
      <c r="J8" s="4" t="s">
        <v>135</v>
      </c>
      <c r="K8" s="4" t="s">
        <v>1066</v>
      </c>
      <c r="L8" s="4" t="s">
        <v>14</v>
      </c>
      <c r="M8" s="1" t="s">
        <v>1165</v>
      </c>
      <c r="N8" s="4" t="s">
        <v>19</v>
      </c>
      <c r="O8" s="4" t="s">
        <v>42</v>
      </c>
      <c r="P8" s="43" t="s">
        <v>394</v>
      </c>
      <c r="Q8" s="1" t="s">
        <v>1126</v>
      </c>
      <c r="R8" s="1"/>
    </row>
    <row r="9" spans="1:18" ht="66" customHeight="1">
      <c r="A9" s="1" t="s">
        <v>1174</v>
      </c>
      <c r="B9" s="1" t="s">
        <v>14</v>
      </c>
      <c r="C9" s="1" t="s">
        <v>1178</v>
      </c>
      <c r="D9" s="40" t="s">
        <v>14</v>
      </c>
      <c r="E9" s="1" t="s">
        <v>1168</v>
      </c>
      <c r="F9" s="1" t="s">
        <v>1130</v>
      </c>
      <c r="G9" s="1" t="s">
        <v>1177</v>
      </c>
      <c r="H9" s="1" t="s">
        <v>14</v>
      </c>
      <c r="I9" s="1" t="s">
        <v>1177</v>
      </c>
      <c r="J9" s="1" t="s">
        <v>14</v>
      </c>
      <c r="K9" s="1" t="s">
        <v>14</v>
      </c>
      <c r="L9" s="1" t="s">
        <v>14</v>
      </c>
      <c r="M9" s="1" t="s">
        <v>14</v>
      </c>
      <c r="N9" s="1" t="s">
        <v>14</v>
      </c>
      <c r="O9" s="1" t="s">
        <v>14</v>
      </c>
      <c r="P9" s="1" t="s">
        <v>14</v>
      </c>
      <c r="Q9" s="1" t="s">
        <v>14</v>
      </c>
      <c r="R9" s="1"/>
    </row>
    <row r="10" spans="1:18" ht="91" customHeight="1">
      <c r="A10" s="1" t="s">
        <v>1147</v>
      </c>
      <c r="B10" s="1" t="s">
        <v>336</v>
      </c>
      <c r="C10" s="1" t="s">
        <v>1185</v>
      </c>
      <c r="D10" s="40" t="s">
        <v>14</v>
      </c>
      <c r="E10" s="1" t="s">
        <v>1168</v>
      </c>
      <c r="F10" s="1" t="s">
        <v>1128</v>
      </c>
      <c r="G10" s="1" t="s">
        <v>142</v>
      </c>
      <c r="H10" s="1" t="s">
        <v>1149</v>
      </c>
      <c r="I10" s="1" t="s">
        <v>135</v>
      </c>
      <c r="J10" s="1" t="s">
        <v>1170</v>
      </c>
      <c r="K10" s="1" t="s">
        <v>1151</v>
      </c>
      <c r="L10" s="4" t="s">
        <v>14</v>
      </c>
      <c r="M10" s="1" t="s">
        <v>1165</v>
      </c>
      <c r="N10" s="1" t="s">
        <v>1171</v>
      </c>
      <c r="O10" s="1" t="s">
        <v>14</v>
      </c>
      <c r="P10" s="39" t="s">
        <v>1153</v>
      </c>
      <c r="Q10" s="1" t="s">
        <v>14</v>
      </c>
      <c r="R10" s="1"/>
    </row>
    <row r="11" spans="1:18" ht="91" customHeight="1">
      <c r="A11" s="1" t="s">
        <v>1250</v>
      </c>
      <c r="B11" s="1" t="s">
        <v>1251</v>
      </c>
      <c r="C11" s="1" t="s">
        <v>1252</v>
      </c>
      <c r="D11" s="40" t="s">
        <v>14</v>
      </c>
      <c r="E11" s="1" t="s">
        <v>1168</v>
      </c>
      <c r="F11" s="1" t="s">
        <v>1128</v>
      </c>
      <c r="G11" s="1" t="s">
        <v>1253</v>
      </c>
      <c r="H11" s="1" t="s">
        <v>43</v>
      </c>
      <c r="I11" s="1" t="s">
        <v>135</v>
      </c>
      <c r="J11" s="1" t="s">
        <v>1254</v>
      </c>
      <c r="K11" s="1" t="s">
        <v>1255</v>
      </c>
      <c r="L11" s="4" t="s">
        <v>14</v>
      </c>
      <c r="M11" s="1" t="s">
        <v>14</v>
      </c>
      <c r="N11" s="1" t="s">
        <v>1256</v>
      </c>
      <c r="O11" s="1" t="s">
        <v>1256</v>
      </c>
      <c r="P11" s="1" t="s">
        <v>14</v>
      </c>
      <c r="Q11" s="1" t="s">
        <v>14</v>
      </c>
      <c r="R11" s="1" t="s">
        <v>14</v>
      </c>
    </row>
    <row r="12" spans="1:18" ht="66" customHeight="1">
      <c r="A12" s="1" t="s">
        <v>1167</v>
      </c>
      <c r="B12" s="1" t="s">
        <v>336</v>
      </c>
      <c r="C12" s="1" t="s">
        <v>1148</v>
      </c>
      <c r="D12" s="40" t="s">
        <v>14</v>
      </c>
      <c r="E12" s="1" t="s">
        <v>1168</v>
      </c>
      <c r="F12" s="1" t="s">
        <v>1128</v>
      </c>
      <c r="G12" s="1" t="s">
        <v>142</v>
      </c>
      <c r="H12" s="1" t="s">
        <v>14</v>
      </c>
      <c r="I12" s="1" t="s">
        <v>135</v>
      </c>
      <c r="J12" s="1" t="s">
        <v>14</v>
      </c>
      <c r="K12" s="1" t="s">
        <v>1152</v>
      </c>
      <c r="L12" s="1" t="s">
        <v>14</v>
      </c>
      <c r="M12" s="1" t="s">
        <v>18</v>
      </c>
      <c r="N12" s="1" t="s">
        <v>14</v>
      </c>
      <c r="O12" s="1" t="s">
        <v>14</v>
      </c>
      <c r="P12" s="1" t="s">
        <v>14</v>
      </c>
      <c r="Q12" s="1" t="s">
        <v>14</v>
      </c>
      <c r="R12" s="1"/>
    </row>
    <row r="13" spans="1:18" ht="124.5" customHeight="1">
      <c r="A13" s="1" t="s">
        <v>1172</v>
      </c>
      <c r="B13" s="1" t="s">
        <v>14</v>
      </c>
      <c r="C13" s="1" t="s">
        <v>1175</v>
      </c>
      <c r="D13" s="40" t="s">
        <v>14</v>
      </c>
      <c r="E13" s="1" t="s">
        <v>1168</v>
      </c>
      <c r="F13" s="1" t="s">
        <v>1128</v>
      </c>
      <c r="G13" s="1" t="s">
        <v>1289</v>
      </c>
      <c r="H13" s="1" t="s">
        <v>1176</v>
      </c>
      <c r="I13" s="1" t="s">
        <v>135</v>
      </c>
      <c r="J13" s="1" t="s">
        <v>1183</v>
      </c>
      <c r="K13" s="1" t="s">
        <v>14</v>
      </c>
      <c r="L13" s="1" t="s">
        <v>14</v>
      </c>
      <c r="M13" s="1" t="s">
        <v>14</v>
      </c>
      <c r="N13" s="1" t="s">
        <v>14</v>
      </c>
      <c r="O13" s="1" t="s">
        <v>14</v>
      </c>
      <c r="P13" s="1" t="s">
        <v>14</v>
      </c>
      <c r="Q13" s="1" t="s">
        <v>14</v>
      </c>
      <c r="R13" s="1"/>
    </row>
    <row r="14" spans="1:18" ht="66" customHeight="1">
      <c r="A14" s="1" t="s">
        <v>1173</v>
      </c>
      <c r="B14" s="1" t="s">
        <v>14</v>
      </c>
      <c r="C14" s="1" t="s">
        <v>1184</v>
      </c>
      <c r="D14" s="40" t="s">
        <v>14</v>
      </c>
      <c r="E14" s="1" t="s">
        <v>1168</v>
      </c>
      <c r="F14" s="1" t="s">
        <v>1128</v>
      </c>
      <c r="G14" s="1" t="s">
        <v>1289</v>
      </c>
      <c r="H14" s="1" t="s">
        <v>14</v>
      </c>
      <c r="I14" s="1" t="s">
        <v>135</v>
      </c>
      <c r="J14" s="1" t="s">
        <v>14</v>
      </c>
      <c r="K14" s="1" t="s">
        <v>14</v>
      </c>
      <c r="L14" s="1" t="s">
        <v>14</v>
      </c>
      <c r="M14" s="1" t="s">
        <v>14</v>
      </c>
      <c r="N14" s="1" t="s">
        <v>14</v>
      </c>
      <c r="O14" s="1" t="s">
        <v>14</v>
      </c>
      <c r="P14" s="1" t="s">
        <v>14</v>
      </c>
      <c r="Q14" s="1" t="s">
        <v>14</v>
      </c>
      <c r="R14" s="1"/>
    </row>
    <row r="15" spans="1:18" ht="66" customHeight="1">
      <c r="A15" s="1" t="s">
        <v>1285</v>
      </c>
      <c r="B15" s="1" t="s">
        <v>2030</v>
      </c>
      <c r="C15" s="1" t="s">
        <v>1286</v>
      </c>
      <c r="D15" s="40" t="s">
        <v>14</v>
      </c>
      <c r="E15" s="1" t="s">
        <v>1168</v>
      </c>
      <c r="F15" s="1" t="s">
        <v>1128</v>
      </c>
      <c r="G15" s="1" t="s">
        <v>1289</v>
      </c>
      <c r="H15" s="1" t="s">
        <v>14</v>
      </c>
      <c r="I15" s="1" t="s">
        <v>135</v>
      </c>
      <c r="J15" s="1" t="s">
        <v>14</v>
      </c>
      <c r="K15" s="1" t="s">
        <v>14</v>
      </c>
      <c r="L15" s="1" t="s">
        <v>14</v>
      </c>
      <c r="M15" s="1" t="s">
        <v>14</v>
      </c>
      <c r="N15" s="1" t="s">
        <v>14</v>
      </c>
      <c r="O15" s="1" t="s">
        <v>14</v>
      </c>
      <c r="P15" s="1" t="s">
        <v>14</v>
      </c>
      <c r="Q15" s="1" t="s">
        <v>14</v>
      </c>
      <c r="R15" s="1"/>
    </row>
    <row r="16" spans="1:18" ht="66" customHeight="1">
      <c r="A16" s="1" t="s">
        <v>1283</v>
      </c>
      <c r="B16" s="1" t="s">
        <v>298</v>
      </c>
      <c r="C16" s="1" t="s">
        <v>1287</v>
      </c>
      <c r="D16" s="40" t="s">
        <v>14</v>
      </c>
      <c r="E16" s="1" t="s">
        <v>1168</v>
      </c>
      <c r="F16" s="1" t="s">
        <v>1128</v>
      </c>
      <c r="G16" s="1" t="s">
        <v>1289</v>
      </c>
      <c r="H16" s="1" t="s">
        <v>14</v>
      </c>
      <c r="I16" s="1" t="s">
        <v>135</v>
      </c>
      <c r="J16" s="1" t="s">
        <v>14</v>
      </c>
      <c r="K16" s="1" t="s">
        <v>14</v>
      </c>
      <c r="L16" s="1" t="s">
        <v>14</v>
      </c>
      <c r="M16" s="1" t="s">
        <v>14</v>
      </c>
      <c r="N16" s="1" t="s">
        <v>14</v>
      </c>
      <c r="O16" s="1" t="s">
        <v>14</v>
      </c>
      <c r="P16" s="1" t="s">
        <v>14</v>
      </c>
      <c r="Q16" s="1" t="s">
        <v>14</v>
      </c>
      <c r="R16" s="1" t="s">
        <v>1454</v>
      </c>
    </row>
    <row r="17" spans="1:18" ht="66" customHeight="1">
      <c r="A17" s="1" t="s">
        <v>1284</v>
      </c>
      <c r="B17" s="1" t="s">
        <v>298</v>
      </c>
      <c r="C17" s="1" t="s">
        <v>1288</v>
      </c>
      <c r="D17" s="40" t="s">
        <v>14</v>
      </c>
      <c r="E17" s="1" t="s">
        <v>1168</v>
      </c>
      <c r="F17" s="1" t="s">
        <v>1128</v>
      </c>
      <c r="G17" s="1" t="s">
        <v>1289</v>
      </c>
      <c r="H17" s="1" t="s">
        <v>14</v>
      </c>
      <c r="I17" s="1" t="s">
        <v>135</v>
      </c>
      <c r="J17" s="1" t="s">
        <v>14</v>
      </c>
      <c r="K17" s="1" t="s">
        <v>14</v>
      </c>
      <c r="L17" s="1" t="s">
        <v>14</v>
      </c>
      <c r="M17" s="1" t="s">
        <v>14</v>
      </c>
      <c r="N17" s="1" t="s">
        <v>14</v>
      </c>
      <c r="O17" s="1" t="s">
        <v>14</v>
      </c>
      <c r="P17" s="1" t="s">
        <v>14</v>
      </c>
      <c r="Q17" s="1" t="s">
        <v>14</v>
      </c>
      <c r="R17" s="1"/>
    </row>
    <row r="18" spans="1:18" ht="66" customHeight="1">
      <c r="A18" s="1" t="s">
        <v>1290</v>
      </c>
      <c r="B18" s="1" t="s">
        <v>14</v>
      </c>
      <c r="C18" s="1" t="s">
        <v>1291</v>
      </c>
      <c r="D18" s="40" t="s">
        <v>14</v>
      </c>
      <c r="E18" s="1" t="s">
        <v>1168</v>
      </c>
      <c r="F18" s="1" t="s">
        <v>1292</v>
      </c>
      <c r="G18" s="1" t="s">
        <v>1289</v>
      </c>
      <c r="H18" s="1" t="s">
        <v>14</v>
      </c>
      <c r="I18" s="1" t="s">
        <v>135</v>
      </c>
      <c r="J18" s="1" t="s">
        <v>14</v>
      </c>
      <c r="K18" s="1" t="s">
        <v>14</v>
      </c>
      <c r="L18" s="1" t="s">
        <v>14</v>
      </c>
      <c r="M18" s="1" t="s">
        <v>14</v>
      </c>
      <c r="N18" s="1" t="s">
        <v>14</v>
      </c>
      <c r="O18" s="1" t="s">
        <v>14</v>
      </c>
      <c r="P18" s="1" t="s">
        <v>14</v>
      </c>
      <c r="Q18" s="1" t="s">
        <v>14</v>
      </c>
      <c r="R18" s="1"/>
    </row>
    <row r="19" spans="1:18" ht="98.25" customHeight="1">
      <c r="A19" s="1" t="s">
        <v>1294</v>
      </c>
      <c r="B19" s="1" t="s">
        <v>14</v>
      </c>
      <c r="C19" s="1" t="s">
        <v>1295</v>
      </c>
      <c r="D19" s="40" t="s">
        <v>14</v>
      </c>
      <c r="E19" s="1" t="s">
        <v>1168</v>
      </c>
      <c r="F19" s="1" t="s">
        <v>1130</v>
      </c>
      <c r="G19" s="1" t="s">
        <v>1289</v>
      </c>
      <c r="H19" s="1" t="s">
        <v>14</v>
      </c>
      <c r="I19" s="1" t="s">
        <v>135</v>
      </c>
      <c r="J19" s="1" t="s">
        <v>14</v>
      </c>
      <c r="K19" s="1" t="s">
        <v>14</v>
      </c>
      <c r="L19" s="1" t="s">
        <v>14</v>
      </c>
      <c r="M19" s="1" t="s">
        <v>14</v>
      </c>
      <c r="N19" s="1" t="s">
        <v>14</v>
      </c>
      <c r="O19" s="1" t="s">
        <v>14</v>
      </c>
      <c r="P19" s="1" t="s">
        <v>14</v>
      </c>
      <c r="Q19" s="1" t="s">
        <v>14</v>
      </c>
      <c r="R19" s="1"/>
    </row>
    <row r="20" spans="1:18" ht="66" customHeight="1">
      <c r="A20" s="1" t="s">
        <v>1293</v>
      </c>
      <c r="B20" s="1" t="s">
        <v>14</v>
      </c>
      <c r="C20" s="1" t="s">
        <v>1296</v>
      </c>
      <c r="D20" s="40" t="s">
        <v>14</v>
      </c>
      <c r="E20" s="1" t="s">
        <v>1168</v>
      </c>
      <c r="F20" s="1" t="s">
        <v>1128</v>
      </c>
      <c r="G20" s="1" t="s">
        <v>1289</v>
      </c>
      <c r="H20" s="1" t="s">
        <v>14</v>
      </c>
      <c r="I20" s="1" t="s">
        <v>135</v>
      </c>
      <c r="J20" s="1" t="s">
        <v>14</v>
      </c>
      <c r="K20" s="1" t="s">
        <v>14</v>
      </c>
      <c r="L20" s="1" t="s">
        <v>14</v>
      </c>
      <c r="M20" s="1" t="s">
        <v>14</v>
      </c>
      <c r="N20" s="1" t="s">
        <v>14</v>
      </c>
      <c r="O20" s="1" t="s">
        <v>14</v>
      </c>
      <c r="P20" s="1" t="s">
        <v>14</v>
      </c>
      <c r="Q20" s="1" t="s">
        <v>14</v>
      </c>
      <c r="R20" s="1"/>
    </row>
    <row r="21" spans="1:18" ht="66" customHeight="1">
      <c r="A21" s="1" t="s">
        <v>1331</v>
      </c>
      <c r="B21" s="1" t="s">
        <v>298</v>
      </c>
      <c r="C21" s="1" t="s">
        <v>1332</v>
      </c>
      <c r="D21" s="40" t="s">
        <v>14</v>
      </c>
      <c r="E21" s="1" t="s">
        <v>1168</v>
      </c>
      <c r="F21" s="1" t="s">
        <v>1128</v>
      </c>
      <c r="G21" s="1" t="s">
        <v>1289</v>
      </c>
      <c r="H21" s="1" t="s">
        <v>14</v>
      </c>
      <c r="I21" s="1" t="s">
        <v>135</v>
      </c>
      <c r="J21" s="1" t="s">
        <v>14</v>
      </c>
      <c r="K21" s="1" t="s">
        <v>14</v>
      </c>
      <c r="L21" s="1" t="s">
        <v>14</v>
      </c>
      <c r="M21" s="1" t="s">
        <v>14</v>
      </c>
      <c r="N21" s="1" t="s">
        <v>14</v>
      </c>
      <c r="O21" s="1" t="s">
        <v>14</v>
      </c>
      <c r="P21" s="1" t="s">
        <v>14</v>
      </c>
      <c r="Q21" s="1" t="s">
        <v>14</v>
      </c>
      <c r="R21" s="1"/>
    </row>
    <row r="22" spans="1:18" ht="66" customHeight="1">
      <c r="A22" s="1" t="s">
        <v>1356</v>
      </c>
      <c r="B22" s="1" t="s">
        <v>1251</v>
      </c>
      <c r="C22" s="1" t="s">
        <v>2033</v>
      </c>
      <c r="D22" s="40" t="s">
        <v>14</v>
      </c>
      <c r="E22" s="1" t="s">
        <v>1168</v>
      </c>
      <c r="F22" s="1" t="s">
        <v>1128</v>
      </c>
      <c r="G22" s="1" t="s">
        <v>1289</v>
      </c>
      <c r="H22" s="1" t="s">
        <v>2039</v>
      </c>
      <c r="I22" s="1" t="s">
        <v>135</v>
      </c>
      <c r="J22" s="1" t="s">
        <v>1254</v>
      </c>
      <c r="K22" s="1" t="s">
        <v>14</v>
      </c>
      <c r="L22" s="1" t="s">
        <v>14</v>
      </c>
      <c r="M22" s="1" t="s">
        <v>14</v>
      </c>
      <c r="N22" s="1" t="s">
        <v>14</v>
      </c>
      <c r="O22" s="1"/>
      <c r="P22" s="1"/>
      <c r="Q22" s="1"/>
      <c r="R22" s="1"/>
    </row>
    <row r="23" spans="1:18" ht="66" customHeight="1">
      <c r="A23" s="1" t="s">
        <v>1357</v>
      </c>
      <c r="B23" s="1" t="s">
        <v>298</v>
      </c>
      <c r="C23" s="1" t="s">
        <v>2034</v>
      </c>
      <c r="D23" s="40" t="s">
        <v>14</v>
      </c>
      <c r="E23" s="1" t="s">
        <v>1168</v>
      </c>
      <c r="F23" s="1" t="s">
        <v>1128</v>
      </c>
      <c r="G23" s="1" t="s">
        <v>1289</v>
      </c>
      <c r="H23" s="1" t="s">
        <v>2039</v>
      </c>
      <c r="I23" s="1" t="s">
        <v>135</v>
      </c>
      <c r="J23" s="1" t="s">
        <v>14</v>
      </c>
      <c r="K23" s="1" t="s">
        <v>14</v>
      </c>
      <c r="L23" s="1" t="s">
        <v>14</v>
      </c>
      <c r="M23" s="1" t="s">
        <v>14</v>
      </c>
      <c r="N23" s="1" t="s">
        <v>14</v>
      </c>
      <c r="O23" s="1"/>
      <c r="P23" s="1"/>
      <c r="Q23" s="1"/>
      <c r="R23" s="1"/>
    </row>
    <row r="24" spans="1:18" ht="66" customHeight="1">
      <c r="A24" s="1" t="s">
        <v>1479</v>
      </c>
      <c r="B24" s="1" t="s">
        <v>14</v>
      </c>
      <c r="C24" s="1" t="s">
        <v>1480</v>
      </c>
      <c r="D24" s="40" t="s">
        <v>14</v>
      </c>
      <c r="E24" s="1" t="s">
        <v>1168</v>
      </c>
      <c r="F24" s="1" t="s">
        <v>1128</v>
      </c>
      <c r="G24" s="1" t="s">
        <v>1289</v>
      </c>
      <c r="H24" s="1" t="s">
        <v>1176</v>
      </c>
      <c r="I24" s="1" t="s">
        <v>135</v>
      </c>
      <c r="J24" s="1" t="s">
        <v>14</v>
      </c>
      <c r="K24" s="1" t="s">
        <v>14</v>
      </c>
      <c r="L24" s="1" t="s">
        <v>14</v>
      </c>
      <c r="M24" s="1" t="s">
        <v>14</v>
      </c>
      <c r="N24" s="1" t="s">
        <v>14</v>
      </c>
      <c r="O24" s="1"/>
      <c r="P24" s="1"/>
      <c r="Q24" s="1"/>
      <c r="R24" s="1"/>
    </row>
    <row r="25" spans="1:18" ht="66" customHeight="1">
      <c r="A25" s="1" t="s">
        <v>1999</v>
      </c>
      <c r="B25" s="1" t="s">
        <v>2031</v>
      </c>
      <c r="C25" s="1" t="s">
        <v>2036</v>
      </c>
      <c r="D25" s="40" t="s">
        <v>14</v>
      </c>
      <c r="E25" s="1" t="s">
        <v>1168</v>
      </c>
      <c r="F25" s="1" t="s">
        <v>2038</v>
      </c>
      <c r="G25" s="1" t="s">
        <v>1289</v>
      </c>
      <c r="H25" s="1" t="s">
        <v>2039</v>
      </c>
      <c r="I25" s="1" t="s">
        <v>135</v>
      </c>
      <c r="J25" s="1" t="s">
        <v>2040</v>
      </c>
      <c r="K25" s="1" t="s">
        <v>14</v>
      </c>
      <c r="L25" s="1" t="s">
        <v>14</v>
      </c>
      <c r="M25" s="1" t="s">
        <v>14</v>
      </c>
      <c r="N25" s="1" t="s">
        <v>14</v>
      </c>
      <c r="O25" s="1"/>
      <c r="P25" s="1"/>
      <c r="Q25" s="1"/>
      <c r="R25" s="1"/>
    </row>
    <row r="26" spans="1:18" ht="66" customHeight="1">
      <c r="A26" s="1" t="s">
        <v>2003</v>
      </c>
      <c r="B26" s="1" t="s">
        <v>298</v>
      </c>
      <c r="C26" s="1" t="s">
        <v>2037</v>
      </c>
      <c r="D26" s="40" t="s">
        <v>14</v>
      </c>
      <c r="E26" s="1" t="s">
        <v>1168</v>
      </c>
      <c r="F26" s="1" t="s">
        <v>1128</v>
      </c>
      <c r="G26" s="1" t="s">
        <v>1289</v>
      </c>
      <c r="H26" s="1" t="s">
        <v>1168</v>
      </c>
      <c r="I26" s="1" t="s">
        <v>135</v>
      </c>
      <c r="J26" s="1" t="s">
        <v>1168</v>
      </c>
      <c r="K26" s="1" t="s">
        <v>14</v>
      </c>
      <c r="L26" s="1" t="s">
        <v>14</v>
      </c>
      <c r="M26" s="1" t="s">
        <v>14</v>
      </c>
      <c r="N26" s="1" t="s">
        <v>14</v>
      </c>
      <c r="O26" s="1"/>
      <c r="P26" s="1"/>
      <c r="Q26" s="1"/>
      <c r="R26" s="1"/>
    </row>
    <row r="27" spans="1:18" ht="66" customHeight="1">
      <c r="A27" s="1" t="s">
        <v>2004</v>
      </c>
      <c r="B27" s="1" t="s">
        <v>336</v>
      </c>
      <c r="C27" s="1" t="s">
        <v>2035</v>
      </c>
      <c r="D27" s="40" t="s">
        <v>14</v>
      </c>
      <c r="E27" s="1" t="s">
        <v>1168</v>
      </c>
      <c r="F27" s="1" t="s">
        <v>2038</v>
      </c>
      <c r="G27" s="1" t="s">
        <v>1289</v>
      </c>
      <c r="H27" s="1" t="s">
        <v>1168</v>
      </c>
      <c r="I27" s="1" t="s">
        <v>135</v>
      </c>
      <c r="J27" s="1" t="s">
        <v>1168</v>
      </c>
      <c r="K27" s="1" t="s">
        <v>14</v>
      </c>
      <c r="L27" s="1" t="s">
        <v>14</v>
      </c>
      <c r="M27" s="1" t="s">
        <v>14</v>
      </c>
      <c r="N27" s="1" t="s">
        <v>14</v>
      </c>
      <c r="O27" s="1"/>
      <c r="P27" s="1"/>
      <c r="Q27" s="1"/>
      <c r="R27" s="1"/>
    </row>
  </sheetData>
  <autoFilter ref="A1:R9">
    <sortState ref="A2:T13">
      <sortCondition ref="A1:A13"/>
    </sortState>
  </autoFilter>
  <pageMargins left="0.7" right="0.7" top="0.75" bottom="0.75" header="0.3" footer="0.3"/>
  <legacy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0"/>
  <sheetViews>
    <sheetView workbookViewId="0">
      <selection activeCell="Q32" sqref="Q32"/>
    </sheetView>
  </sheetViews>
  <sheetFormatPr baseColWidth="10" defaultColWidth="8.83203125" defaultRowHeight="14" x14ac:dyDescent="0"/>
  <cols>
    <col min="1" max="1" width="6.6640625" customWidth="1"/>
    <col min="2" max="6" width="7.6640625" customWidth="1"/>
    <col min="7" max="7" width="9.33203125" customWidth="1"/>
    <col min="8" max="9" width="7.6640625" customWidth="1"/>
    <col min="10" max="10" width="10" customWidth="1"/>
    <col min="11" max="13" width="7.6640625" customWidth="1"/>
    <col min="14" max="14" width="10.6640625" customWidth="1"/>
  </cols>
  <sheetData>
    <row r="1" spans="1:24">
      <c r="E1" t="s">
        <v>1902</v>
      </c>
    </row>
    <row r="2" spans="1:24">
      <c r="B2" s="336" t="s">
        <v>1812</v>
      </c>
      <c r="C2" s="336" t="s">
        <v>1813</v>
      </c>
      <c r="D2" s="336" t="s">
        <v>1814</v>
      </c>
      <c r="E2" s="336" t="s">
        <v>1815</v>
      </c>
      <c r="F2" s="336" t="s">
        <v>1816</v>
      </c>
      <c r="G2" s="336" t="s">
        <v>1817</v>
      </c>
      <c r="H2" s="336" t="s">
        <v>1818</v>
      </c>
      <c r="I2" s="336" t="s">
        <v>1819</v>
      </c>
      <c r="J2" s="336" t="s">
        <v>1820</v>
      </c>
      <c r="K2" s="336" t="s">
        <v>1888</v>
      </c>
      <c r="L2" s="336" t="s">
        <v>1822</v>
      </c>
      <c r="M2" s="336" t="s">
        <v>1823</v>
      </c>
    </row>
    <row r="3" spans="1:24" s="202" customFormat="1">
      <c r="A3" s="338" t="s">
        <v>1896</v>
      </c>
      <c r="B3" s="336" t="s">
        <v>1812</v>
      </c>
      <c r="C3" s="336" t="s">
        <v>1813</v>
      </c>
      <c r="D3" s="336" t="s">
        <v>1814</v>
      </c>
      <c r="E3" s="336" t="s">
        <v>1815</v>
      </c>
      <c r="F3" s="336" t="s">
        <v>1816</v>
      </c>
      <c r="G3" s="336" t="s">
        <v>1817</v>
      </c>
      <c r="H3" s="336" t="s">
        <v>1818</v>
      </c>
      <c r="I3" s="336" t="s">
        <v>1819</v>
      </c>
      <c r="J3" s="336" t="s">
        <v>1820</v>
      </c>
      <c r="K3" s="336" t="s">
        <v>1890</v>
      </c>
      <c r="L3" s="336" t="s">
        <v>1822</v>
      </c>
      <c r="M3" s="336" t="s">
        <v>1823</v>
      </c>
      <c r="N3" s="337" t="s">
        <v>1634</v>
      </c>
    </row>
    <row r="4" spans="1:24">
      <c r="A4" s="318"/>
      <c r="B4" s="319"/>
      <c r="C4" s="319"/>
      <c r="D4" s="319"/>
      <c r="E4" s="319"/>
      <c r="F4" s="319"/>
      <c r="G4" s="319"/>
      <c r="H4" s="319"/>
      <c r="I4" s="319"/>
      <c r="J4" s="319"/>
      <c r="K4" s="319"/>
      <c r="L4" s="319"/>
      <c r="M4" s="319"/>
      <c r="N4" s="320"/>
      <c r="R4" s="235"/>
      <c r="S4" s="235"/>
      <c r="T4" s="235"/>
      <c r="U4" s="235"/>
      <c r="V4" s="235"/>
      <c r="W4" s="235"/>
      <c r="X4" s="235"/>
    </row>
    <row r="5" spans="1:24">
      <c r="A5" s="338">
        <v>2011</v>
      </c>
      <c r="B5" s="354">
        <v>35988</v>
      </c>
      <c r="C5" s="354">
        <v>47248</v>
      </c>
      <c r="D5" s="354">
        <v>50752</v>
      </c>
      <c r="E5" s="354">
        <v>54888</v>
      </c>
      <c r="F5" s="354">
        <v>68807</v>
      </c>
      <c r="G5" s="354">
        <v>87365</v>
      </c>
      <c r="H5" s="354">
        <v>106690</v>
      </c>
      <c r="I5" s="354">
        <v>115378</v>
      </c>
      <c r="J5" s="354">
        <v>129172</v>
      </c>
      <c r="K5" s="354">
        <v>172974</v>
      </c>
      <c r="L5" s="354">
        <v>174117</v>
      </c>
      <c r="M5" s="354">
        <v>219198</v>
      </c>
      <c r="N5" s="339">
        <f t="shared" ref="N5:N10" si="0">SUM(B5:M5)</f>
        <v>1262577</v>
      </c>
      <c r="R5" s="235"/>
      <c r="S5" s="235"/>
      <c r="T5" s="235"/>
      <c r="U5" s="235"/>
      <c r="V5" s="235"/>
      <c r="W5" s="235"/>
      <c r="X5" s="235"/>
    </row>
    <row r="6" spans="1:24">
      <c r="A6" s="361">
        <v>2012</v>
      </c>
      <c r="B6" s="354">
        <v>265101</v>
      </c>
      <c r="C6" s="354">
        <v>274685</v>
      </c>
      <c r="D6" s="354">
        <v>301378</v>
      </c>
      <c r="E6" s="354">
        <v>329087</v>
      </c>
      <c r="F6" s="354">
        <v>441776</v>
      </c>
      <c r="G6" s="354">
        <v>471843</v>
      </c>
      <c r="H6" s="354">
        <v>520788</v>
      </c>
      <c r="I6" s="354">
        <v>599615</v>
      </c>
      <c r="J6" s="354">
        <v>604291</v>
      </c>
      <c r="K6" s="354">
        <v>629477</v>
      </c>
      <c r="L6" s="354">
        <v>505853</v>
      </c>
      <c r="M6" s="354">
        <v>623697</v>
      </c>
      <c r="N6" s="339">
        <f t="shared" si="0"/>
        <v>5567591</v>
      </c>
      <c r="P6" s="231"/>
      <c r="Q6" s="200"/>
      <c r="R6" s="235"/>
      <c r="S6" s="235"/>
      <c r="T6" s="235"/>
      <c r="U6" s="235"/>
      <c r="V6" s="235"/>
      <c r="W6" s="235"/>
      <c r="X6" s="235"/>
    </row>
    <row r="7" spans="1:24">
      <c r="A7" s="361">
        <v>2013</v>
      </c>
      <c r="B7" s="356">
        <v>826105</v>
      </c>
      <c r="C7" s="356">
        <v>665173</v>
      </c>
      <c r="D7" s="356">
        <v>696779</v>
      </c>
      <c r="E7" s="356">
        <v>637775</v>
      </c>
      <c r="F7" s="356">
        <v>732754</v>
      </c>
      <c r="G7" s="356">
        <v>623305</v>
      </c>
      <c r="H7" s="356">
        <v>653486</v>
      </c>
      <c r="I7" s="356">
        <v>752851</v>
      </c>
      <c r="J7" s="356">
        <v>726602</v>
      </c>
      <c r="K7" s="356">
        <v>655221</v>
      </c>
      <c r="L7" s="356">
        <v>506855</v>
      </c>
      <c r="M7" s="356">
        <v>610305</v>
      </c>
      <c r="N7" s="344">
        <f t="shared" si="0"/>
        <v>8087211</v>
      </c>
      <c r="R7" s="235"/>
      <c r="S7" s="235"/>
      <c r="T7" s="235"/>
      <c r="U7" s="235"/>
      <c r="V7" s="235"/>
      <c r="W7" s="235"/>
      <c r="X7" s="235"/>
    </row>
    <row r="8" spans="1:24">
      <c r="A8" s="341">
        <v>2014</v>
      </c>
      <c r="B8" s="354">
        <v>691544</v>
      </c>
      <c r="C8" s="354">
        <v>661140</v>
      </c>
      <c r="D8" s="354">
        <v>664324</v>
      </c>
      <c r="E8" s="354">
        <v>614910</v>
      </c>
      <c r="F8" s="354">
        <v>619134</v>
      </c>
      <c r="G8" s="354">
        <v>667269</v>
      </c>
      <c r="H8" s="354">
        <v>828456</v>
      </c>
      <c r="I8" s="354">
        <v>800225</v>
      </c>
      <c r="J8" s="354">
        <v>770447</v>
      </c>
      <c r="K8" s="354">
        <v>723872</v>
      </c>
      <c r="L8" s="354">
        <v>617404</v>
      </c>
      <c r="M8" s="354">
        <v>719371</v>
      </c>
      <c r="N8" s="346">
        <f t="shared" si="0"/>
        <v>8378096</v>
      </c>
      <c r="R8" s="235"/>
      <c r="S8" s="235"/>
      <c r="T8" s="235"/>
      <c r="U8" s="235"/>
      <c r="V8" s="235"/>
      <c r="W8" s="235"/>
      <c r="X8" s="235"/>
    </row>
    <row r="9" spans="1:24">
      <c r="A9" s="341">
        <v>2015</v>
      </c>
      <c r="B9" s="354">
        <v>757165</v>
      </c>
      <c r="C9" s="354">
        <v>607913</v>
      </c>
      <c r="D9" s="354">
        <v>620479</v>
      </c>
      <c r="E9" s="354">
        <v>457985</v>
      </c>
      <c r="F9" s="354">
        <v>474798</v>
      </c>
      <c r="G9" s="354">
        <v>475885</v>
      </c>
      <c r="H9" s="354">
        <v>569373</v>
      </c>
      <c r="I9" s="354">
        <v>752007</v>
      </c>
      <c r="J9" s="354">
        <v>744378</v>
      </c>
      <c r="K9" s="354">
        <v>657113</v>
      </c>
      <c r="L9" s="354">
        <v>538626</v>
      </c>
      <c r="M9" s="354">
        <v>630123</v>
      </c>
      <c r="N9" s="346">
        <f t="shared" si="0"/>
        <v>7285845</v>
      </c>
      <c r="R9" s="235"/>
      <c r="S9" s="235"/>
      <c r="T9" s="235"/>
      <c r="U9" s="235"/>
      <c r="V9" s="235"/>
      <c r="W9" s="235"/>
      <c r="X9" s="235"/>
    </row>
    <row r="10" spans="1:24">
      <c r="A10" s="341">
        <v>2016</v>
      </c>
      <c r="B10" s="354">
        <v>675675</v>
      </c>
      <c r="C10" s="354">
        <v>574164</v>
      </c>
      <c r="D10" s="354"/>
      <c r="E10" s="354"/>
      <c r="F10" s="354"/>
      <c r="G10" s="354"/>
      <c r="H10" s="354"/>
      <c r="I10" s="354"/>
      <c r="J10" s="354"/>
      <c r="K10" s="354"/>
      <c r="L10" s="354"/>
      <c r="M10" s="354"/>
      <c r="N10" s="346">
        <f t="shared" si="0"/>
        <v>1249839</v>
      </c>
      <c r="R10" s="235"/>
      <c r="S10" s="235"/>
      <c r="T10" s="235"/>
      <c r="U10" s="235"/>
      <c r="V10" s="235"/>
      <c r="W10" s="235"/>
      <c r="X10" s="235"/>
    </row>
    <row r="11" spans="1:24">
      <c r="K11" s="78"/>
      <c r="L11" s="660" t="s">
        <v>1893</v>
      </c>
      <c r="M11" s="660"/>
      <c r="N11" s="334">
        <f>SUM(D9:M9,B10:M10)</f>
        <v>7170606</v>
      </c>
      <c r="R11" s="194"/>
      <c r="S11" s="235"/>
      <c r="T11" s="235"/>
      <c r="U11" s="235"/>
      <c r="V11" s="235"/>
      <c r="W11" s="235"/>
      <c r="X11" s="235"/>
    </row>
    <row r="12" spans="1:24">
      <c r="K12" s="660" t="s">
        <v>1901</v>
      </c>
      <c r="L12" s="660"/>
      <c r="M12" s="660"/>
      <c r="N12" s="334">
        <f>SUM(N5:N10)</f>
        <v>31831159</v>
      </c>
      <c r="R12" s="235"/>
      <c r="S12" s="235"/>
      <c r="T12" s="235"/>
      <c r="U12" s="235"/>
      <c r="V12" s="235"/>
      <c r="W12" s="235"/>
      <c r="X12" s="235"/>
    </row>
    <row r="13" spans="1:24">
      <c r="M13" s="335"/>
      <c r="Q13" s="200"/>
      <c r="R13" s="194"/>
      <c r="S13" s="235"/>
      <c r="T13" s="235"/>
      <c r="U13" s="235"/>
      <c r="V13" s="235"/>
      <c r="W13" s="235"/>
      <c r="X13" s="235"/>
    </row>
    <row r="14" spans="1:24" ht="15">
      <c r="B14" s="351"/>
      <c r="C14" s="352"/>
      <c r="G14" s="178"/>
      <c r="M14" s="335"/>
      <c r="R14" s="235"/>
      <c r="S14" s="235"/>
      <c r="T14" s="235"/>
      <c r="U14" s="235"/>
      <c r="V14" s="235"/>
      <c r="W14" s="235"/>
      <c r="X14" s="235"/>
    </row>
    <row r="15" spans="1:24" ht="15">
      <c r="B15" s="351"/>
      <c r="C15" s="352"/>
      <c r="J15" s="178"/>
      <c r="M15" s="335"/>
      <c r="R15" s="235"/>
      <c r="S15" s="235"/>
      <c r="T15" s="235"/>
      <c r="U15" s="235"/>
      <c r="V15" s="235"/>
      <c r="W15" s="235"/>
      <c r="X15" s="235"/>
    </row>
    <row r="16" spans="1:24" ht="15">
      <c r="B16" s="351"/>
      <c r="C16" s="352"/>
      <c r="M16" s="335"/>
      <c r="R16" s="235"/>
      <c r="S16" s="235"/>
      <c r="T16" s="235"/>
      <c r="U16" s="235"/>
      <c r="V16" s="235"/>
      <c r="W16" s="235"/>
      <c r="X16" s="235"/>
    </row>
    <row r="17" spans="17:24">
      <c r="R17" s="235"/>
      <c r="S17" s="235"/>
      <c r="T17" s="235"/>
      <c r="U17" s="235"/>
      <c r="V17" s="235"/>
      <c r="W17" s="235"/>
      <c r="X17" s="235"/>
    </row>
    <row r="18" spans="17:24">
      <c r="R18" s="235"/>
      <c r="S18" s="235"/>
      <c r="T18" s="235"/>
      <c r="U18" s="235"/>
      <c r="V18" s="235"/>
      <c r="W18" s="235"/>
      <c r="X18" s="235"/>
    </row>
    <row r="20" spans="17:24">
      <c r="Q20" s="235"/>
      <c r="R20" s="235"/>
      <c r="S20" s="235"/>
      <c r="T20" s="235"/>
      <c r="U20" s="235"/>
      <c r="V20" s="235"/>
    </row>
    <row r="21" spans="17:24">
      <c r="Q21" s="235"/>
      <c r="R21" s="235"/>
      <c r="S21" s="235"/>
      <c r="T21" s="235"/>
      <c r="U21" s="235"/>
      <c r="V21" s="235"/>
    </row>
    <row r="22" spans="17:24">
      <c r="Q22" s="235"/>
      <c r="R22" s="235"/>
      <c r="S22" s="235"/>
      <c r="T22" s="235"/>
      <c r="U22" s="235"/>
      <c r="V22" s="235"/>
    </row>
    <row r="23" spans="17:24">
      <c r="Q23" s="235"/>
      <c r="R23" s="235"/>
      <c r="S23" s="235"/>
      <c r="T23" s="235"/>
      <c r="U23" s="235"/>
      <c r="V23" s="235"/>
    </row>
    <row r="24" spans="17:24">
      <c r="Q24" s="235"/>
      <c r="R24" s="235"/>
      <c r="S24" s="235"/>
      <c r="T24" s="235"/>
      <c r="U24" s="235"/>
      <c r="V24" s="235"/>
    </row>
    <row r="25" spans="17:24">
      <c r="Q25" s="235"/>
      <c r="R25" s="235"/>
      <c r="S25" s="235"/>
      <c r="T25" s="235"/>
      <c r="U25" s="235"/>
      <c r="V25" s="235"/>
    </row>
    <row r="26" spans="17:24">
      <c r="Q26" s="235"/>
      <c r="R26" s="235"/>
      <c r="S26" s="235"/>
      <c r="T26" s="235"/>
      <c r="U26" s="235"/>
      <c r="V26" s="235"/>
    </row>
    <row r="27" spans="17:24">
      <c r="Q27" s="235"/>
      <c r="R27" s="235"/>
      <c r="S27" s="235"/>
      <c r="T27" s="235"/>
      <c r="U27" s="235"/>
      <c r="V27" s="235"/>
    </row>
    <row r="28" spans="17:24">
      <c r="Q28" s="235"/>
      <c r="R28" s="235"/>
      <c r="S28" s="235"/>
      <c r="T28" s="235"/>
      <c r="U28" s="235"/>
      <c r="V28" s="235"/>
    </row>
    <row r="29" spans="17:24">
      <c r="Q29" s="235"/>
      <c r="R29" s="235"/>
      <c r="S29" s="235"/>
      <c r="T29" s="235"/>
      <c r="U29" s="235"/>
      <c r="V29" s="235"/>
    </row>
    <row r="30" spans="17:24">
      <c r="Q30" s="235"/>
      <c r="R30" s="235"/>
      <c r="S30" s="235"/>
      <c r="T30" s="235"/>
      <c r="U30" s="235"/>
      <c r="V30" s="235"/>
    </row>
  </sheetData>
  <mergeCells count="2">
    <mergeCell ref="L11:M11"/>
    <mergeCell ref="K12:M12"/>
  </mergeCells>
  <pageMargins left="0.7" right="0.7" top="0.75" bottom="0.75" header="0.3" footer="0.3"/>
  <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R30" sqref="R30"/>
    </sheetView>
  </sheetViews>
  <sheetFormatPr baseColWidth="10" defaultColWidth="8.83203125" defaultRowHeight="14" x14ac:dyDescent="0"/>
  <cols>
    <col min="1" max="1" width="6.6640625" customWidth="1"/>
    <col min="2" max="13" width="7.6640625" customWidth="1"/>
    <col min="14" max="14" width="10.5" customWidth="1"/>
    <col min="15" max="15" width="6.6640625" customWidth="1"/>
    <col min="16" max="16" width="10.5" bestFit="1" customWidth="1"/>
  </cols>
  <sheetData>
    <row r="1" spans="1:16">
      <c r="B1" t="s">
        <v>1903</v>
      </c>
      <c r="D1" t="s">
        <v>1903</v>
      </c>
    </row>
    <row r="2" spans="1:16">
      <c r="B2" s="336" t="s">
        <v>1812</v>
      </c>
      <c r="C2" s="336" t="s">
        <v>1813</v>
      </c>
      <c r="D2" s="336" t="s">
        <v>1814</v>
      </c>
      <c r="E2" s="336" t="s">
        <v>1815</v>
      </c>
      <c r="F2" s="336" t="s">
        <v>1816</v>
      </c>
      <c r="G2" s="336" t="s">
        <v>1817</v>
      </c>
      <c r="H2" s="336" t="s">
        <v>1818</v>
      </c>
      <c r="I2" s="336" t="s">
        <v>1819</v>
      </c>
      <c r="J2" s="336" t="s">
        <v>1820</v>
      </c>
      <c r="K2" s="336" t="s">
        <v>1888</v>
      </c>
      <c r="L2" s="336" t="s">
        <v>1822</v>
      </c>
      <c r="M2" s="336" t="s">
        <v>1823</v>
      </c>
    </row>
    <row r="3" spans="1:16">
      <c r="A3" s="338" t="s">
        <v>1896</v>
      </c>
      <c r="B3" s="336" t="s">
        <v>1812</v>
      </c>
      <c r="C3" s="336" t="s">
        <v>1813</v>
      </c>
      <c r="D3" s="336" t="s">
        <v>1814</v>
      </c>
      <c r="E3" s="336" t="s">
        <v>1815</v>
      </c>
      <c r="F3" s="336" t="s">
        <v>1816</v>
      </c>
      <c r="G3" s="336" t="s">
        <v>1817</v>
      </c>
      <c r="H3" s="336" t="s">
        <v>1818</v>
      </c>
      <c r="I3" s="336" t="s">
        <v>1819</v>
      </c>
      <c r="J3" s="336" t="s">
        <v>1820</v>
      </c>
      <c r="K3" s="336" t="s">
        <v>1904</v>
      </c>
      <c r="L3" s="336" t="s">
        <v>1822</v>
      </c>
      <c r="M3" s="336" t="s">
        <v>1823</v>
      </c>
      <c r="N3" s="362" t="s">
        <v>1634</v>
      </c>
      <c r="P3" s="363"/>
    </row>
    <row r="4" spans="1:16">
      <c r="A4" s="318"/>
      <c r="B4" s="319"/>
      <c r="C4" s="319"/>
      <c r="D4" s="319"/>
      <c r="E4" s="319"/>
      <c r="F4" s="319"/>
      <c r="G4" s="319"/>
      <c r="H4" s="319"/>
      <c r="I4" s="319"/>
      <c r="J4" s="319"/>
      <c r="K4" s="319"/>
      <c r="L4" s="319"/>
      <c r="M4" s="319"/>
      <c r="N4" s="320"/>
    </row>
    <row r="5" spans="1:16">
      <c r="A5" s="353">
        <v>2011</v>
      </c>
      <c r="B5" s="354">
        <v>23488</v>
      </c>
      <c r="C5" s="354">
        <v>28070</v>
      </c>
      <c r="D5" s="354">
        <v>35953</v>
      </c>
      <c r="E5" s="354">
        <v>38457</v>
      </c>
      <c r="F5" s="354">
        <v>40922</v>
      </c>
      <c r="G5" s="354">
        <v>51586</v>
      </c>
      <c r="H5" s="354">
        <v>56807</v>
      </c>
      <c r="I5" s="354">
        <v>63917</v>
      </c>
      <c r="J5" s="354">
        <v>67957</v>
      </c>
      <c r="K5" s="354">
        <v>56804</v>
      </c>
      <c r="L5" s="354">
        <v>69280</v>
      </c>
      <c r="M5" s="354">
        <v>98518</v>
      </c>
      <c r="N5" s="339">
        <f t="shared" ref="N5:N10" si="0">SUM(B5:M5)</f>
        <v>631759</v>
      </c>
    </row>
    <row r="6" spans="1:16">
      <c r="A6" s="364">
        <v>2012</v>
      </c>
      <c r="B6" s="354">
        <v>110668</v>
      </c>
      <c r="C6" s="354">
        <v>117829</v>
      </c>
      <c r="D6" s="354">
        <v>137357</v>
      </c>
      <c r="E6" s="354">
        <v>133924</v>
      </c>
      <c r="F6" s="354">
        <v>169663</v>
      </c>
      <c r="G6" s="354">
        <v>180667</v>
      </c>
      <c r="H6" s="354">
        <v>198359</v>
      </c>
      <c r="I6" s="354">
        <v>215595</v>
      </c>
      <c r="J6" s="354">
        <v>185108</v>
      </c>
      <c r="K6" s="365">
        <v>195640</v>
      </c>
      <c r="L6" s="354">
        <v>188059</v>
      </c>
      <c r="M6" s="354">
        <v>201833</v>
      </c>
      <c r="N6" s="339">
        <f t="shared" si="0"/>
        <v>2034702</v>
      </c>
      <c r="P6" s="200"/>
    </row>
    <row r="7" spans="1:16">
      <c r="A7" s="364">
        <v>2013</v>
      </c>
      <c r="B7" s="356">
        <v>256569</v>
      </c>
      <c r="C7" s="356">
        <v>223646</v>
      </c>
      <c r="D7" s="356">
        <v>261512</v>
      </c>
      <c r="E7" s="356">
        <v>262551</v>
      </c>
      <c r="F7" s="356">
        <v>269521</v>
      </c>
      <c r="G7" s="356">
        <v>265112</v>
      </c>
      <c r="H7" s="356">
        <v>282762</v>
      </c>
      <c r="I7" s="356">
        <v>291580</v>
      </c>
      <c r="J7" s="356">
        <v>278240</v>
      </c>
      <c r="K7" s="366">
        <v>227447</v>
      </c>
      <c r="L7" s="356">
        <v>221120</v>
      </c>
      <c r="M7" s="356">
        <v>239016</v>
      </c>
      <c r="N7" s="344">
        <f t="shared" si="0"/>
        <v>3079076</v>
      </c>
      <c r="P7" s="200"/>
    </row>
    <row r="8" spans="1:16">
      <c r="A8" s="367">
        <v>2014</v>
      </c>
      <c r="B8" s="354">
        <v>270096</v>
      </c>
      <c r="C8" s="354">
        <v>264073</v>
      </c>
      <c r="D8" s="354">
        <v>304460</v>
      </c>
      <c r="E8" s="354">
        <v>298432</v>
      </c>
      <c r="F8" s="354">
        <v>286448</v>
      </c>
      <c r="G8" s="354">
        <v>289754</v>
      </c>
      <c r="H8" s="354">
        <v>325093</v>
      </c>
      <c r="I8" s="354">
        <v>318451</v>
      </c>
      <c r="J8" s="354">
        <v>311543</v>
      </c>
      <c r="K8" s="365">
        <v>323318</v>
      </c>
      <c r="L8" s="354">
        <v>285958</v>
      </c>
      <c r="M8" s="354">
        <v>313755</v>
      </c>
      <c r="N8" s="346">
        <f t="shared" si="0"/>
        <v>3591381</v>
      </c>
      <c r="P8" s="200"/>
    </row>
    <row r="9" spans="1:16">
      <c r="A9" s="367">
        <v>2015</v>
      </c>
      <c r="B9" s="354">
        <v>329308</v>
      </c>
      <c r="C9" s="354">
        <v>273638</v>
      </c>
      <c r="D9" s="354">
        <v>300349</v>
      </c>
      <c r="E9" s="354">
        <v>256324</v>
      </c>
      <c r="F9" s="354">
        <v>252360</v>
      </c>
      <c r="G9" s="354">
        <v>95918</v>
      </c>
      <c r="H9" s="354">
        <v>0</v>
      </c>
      <c r="I9" s="354">
        <v>0</v>
      </c>
      <c r="J9" s="354">
        <v>75788</v>
      </c>
      <c r="K9" s="365">
        <v>108967</v>
      </c>
      <c r="L9" s="354">
        <v>87999</v>
      </c>
      <c r="M9" s="354">
        <v>87817</v>
      </c>
      <c r="N9" s="346">
        <f t="shared" si="0"/>
        <v>1868468</v>
      </c>
      <c r="P9" s="200"/>
    </row>
    <row r="10" spans="1:16">
      <c r="A10" s="367">
        <v>2016</v>
      </c>
      <c r="B10" s="354">
        <v>95182</v>
      </c>
      <c r="C10" s="354">
        <v>86499</v>
      </c>
      <c r="D10" s="354"/>
      <c r="E10" s="354"/>
      <c r="F10" s="354"/>
      <c r="G10" s="354"/>
      <c r="H10" s="354"/>
      <c r="I10" s="354"/>
      <c r="J10" s="354"/>
      <c r="K10" s="365"/>
      <c r="L10" s="354"/>
      <c r="M10" s="354"/>
      <c r="N10" s="346">
        <f t="shared" si="0"/>
        <v>181681</v>
      </c>
      <c r="P10" s="200"/>
    </row>
    <row r="11" spans="1:16">
      <c r="L11" s="659" t="s">
        <v>1893</v>
      </c>
      <c r="M11" s="659"/>
      <c r="N11" s="334">
        <f>SUM(D9:M9,B10:C10)</f>
        <v>1447203</v>
      </c>
    </row>
    <row r="12" spans="1:16">
      <c r="A12" t="s">
        <v>1905</v>
      </c>
      <c r="K12" s="659" t="s">
        <v>1901</v>
      </c>
      <c r="L12" s="659"/>
      <c r="M12" s="659"/>
      <c r="N12" s="334">
        <f>SUM(N5:N10)</f>
        <v>11387067</v>
      </c>
    </row>
    <row r="14" spans="1:16" ht="15">
      <c r="B14" s="351"/>
      <c r="C14" s="352"/>
      <c r="D14" s="178"/>
    </row>
    <row r="15" spans="1:16" ht="15">
      <c r="B15" s="351"/>
      <c r="C15" s="352"/>
      <c r="P15" s="200"/>
    </row>
    <row r="16" spans="1:16" ht="15">
      <c r="B16" s="351"/>
      <c r="C16" s="352"/>
    </row>
  </sheetData>
  <mergeCells count="2">
    <mergeCell ref="L11:M11"/>
    <mergeCell ref="K12:M12"/>
  </mergeCells>
  <pageMargins left="0.7" right="0.7" top="0.75" bottom="0.75" header="0.3" footer="0.3"/>
  <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8"/>
  <sheetViews>
    <sheetView workbookViewId="0">
      <pane xSplit="1" topLeftCell="B1" activePane="topRight" state="frozen"/>
      <selection pane="topRight" activeCell="A4" sqref="A4"/>
    </sheetView>
  </sheetViews>
  <sheetFormatPr baseColWidth="10" defaultColWidth="8.83203125" defaultRowHeight="14" x14ac:dyDescent="0"/>
  <cols>
    <col min="1" max="1" width="26.1640625" customWidth="1"/>
    <col min="2" max="2" width="10.33203125" customWidth="1"/>
    <col min="3" max="3" width="10.5" customWidth="1"/>
    <col min="4" max="7" width="10" customWidth="1"/>
    <col min="8" max="10" width="9.6640625" customWidth="1"/>
    <col min="11" max="11" width="11" customWidth="1"/>
    <col min="12" max="36" width="9.6640625" customWidth="1"/>
    <col min="37" max="37" width="18.1640625" bestFit="1" customWidth="1"/>
  </cols>
  <sheetData>
    <row r="1" spans="1:37" ht="17.25" customHeight="1" thickBot="1">
      <c r="B1" s="661" t="s">
        <v>1906</v>
      </c>
      <c r="C1" s="662"/>
      <c r="D1" s="662"/>
      <c r="E1" s="662"/>
      <c r="F1" s="662"/>
      <c r="G1" s="663"/>
      <c r="H1" s="368"/>
    </row>
    <row r="2" spans="1:37" ht="15" customHeight="1">
      <c r="A2" s="506"/>
      <c r="B2" s="665" t="s">
        <v>1907</v>
      </c>
      <c r="C2" s="665" t="s">
        <v>1908</v>
      </c>
      <c r="D2" s="665" t="s">
        <v>1909</v>
      </c>
      <c r="E2" s="664" t="s">
        <v>1910</v>
      </c>
      <c r="F2" s="664" t="s">
        <v>1967</v>
      </c>
      <c r="G2" s="664" t="s">
        <v>1971</v>
      </c>
      <c r="H2" s="369" t="s">
        <v>1911</v>
      </c>
      <c r="I2" s="370" t="s">
        <v>1822</v>
      </c>
      <c r="J2" s="370" t="s">
        <v>1823</v>
      </c>
      <c r="K2" s="370" t="s">
        <v>1812</v>
      </c>
      <c r="L2" s="370" t="s">
        <v>1813</v>
      </c>
      <c r="M2" s="370" t="s">
        <v>1814</v>
      </c>
      <c r="N2" s="370" t="s">
        <v>1815</v>
      </c>
      <c r="O2" s="370" t="s">
        <v>1816</v>
      </c>
      <c r="P2" s="370" t="s">
        <v>1828</v>
      </c>
      <c r="Q2" s="370" t="s">
        <v>1829</v>
      </c>
      <c r="R2" s="370" t="s">
        <v>1819</v>
      </c>
      <c r="S2" s="370" t="s">
        <v>1826</v>
      </c>
      <c r="T2" s="370" t="s">
        <v>1912</v>
      </c>
      <c r="U2" s="370" t="s">
        <v>1822</v>
      </c>
      <c r="V2" s="370" t="s">
        <v>1823</v>
      </c>
      <c r="W2" s="370" t="s">
        <v>1812</v>
      </c>
      <c r="X2" s="370" t="s">
        <v>1813</v>
      </c>
      <c r="Y2" s="370" t="s">
        <v>1814</v>
      </c>
      <c r="Z2" s="370" t="s">
        <v>1815</v>
      </c>
      <c r="AA2" s="370" t="s">
        <v>1816</v>
      </c>
      <c r="AB2" s="370" t="s">
        <v>1828</v>
      </c>
      <c r="AC2" s="370" t="s">
        <v>1829</v>
      </c>
      <c r="AD2" s="370" t="s">
        <v>1819</v>
      </c>
      <c r="AE2" s="370" t="s">
        <v>1826</v>
      </c>
      <c r="AF2" s="370" t="s">
        <v>1913</v>
      </c>
      <c r="AG2" s="370" t="s">
        <v>1822</v>
      </c>
      <c r="AH2" s="370" t="s">
        <v>1823</v>
      </c>
      <c r="AI2" s="370" t="s">
        <v>1812</v>
      </c>
      <c r="AJ2" s="370" t="s">
        <v>1813</v>
      </c>
      <c r="AK2" s="371" t="s">
        <v>1974</v>
      </c>
    </row>
    <row r="3" spans="1:37">
      <c r="A3" s="507"/>
      <c r="B3" s="665"/>
      <c r="C3" s="664"/>
      <c r="D3" s="664"/>
      <c r="E3" s="664"/>
      <c r="F3" s="664"/>
      <c r="G3" s="664"/>
      <c r="H3" s="372"/>
      <c r="I3" s="373"/>
      <c r="J3" s="373"/>
      <c r="K3" s="373"/>
      <c r="L3" s="373"/>
      <c r="M3" s="373"/>
      <c r="N3" s="373"/>
      <c r="O3" s="373"/>
      <c r="P3" s="373"/>
      <c r="Q3" s="373"/>
      <c r="R3" s="373"/>
      <c r="S3" s="373"/>
      <c r="T3" s="373"/>
      <c r="U3" s="373"/>
      <c r="V3" s="373"/>
      <c r="W3" s="373"/>
      <c r="X3" s="373"/>
      <c r="Y3" s="373"/>
      <c r="Z3" s="373"/>
      <c r="AA3" s="373"/>
      <c r="AB3" s="373"/>
      <c r="AC3" s="373"/>
      <c r="AD3" s="373"/>
      <c r="AE3" s="373"/>
      <c r="AF3" s="373"/>
      <c r="AG3" s="373"/>
      <c r="AH3" s="373"/>
      <c r="AI3" s="373"/>
      <c r="AJ3" s="373"/>
      <c r="AK3" s="373"/>
    </row>
    <row r="4" spans="1:37" ht="15">
      <c r="A4" s="501" t="s">
        <v>1914</v>
      </c>
      <c r="B4" s="508">
        <v>23936</v>
      </c>
      <c r="C4" s="504">
        <v>215869</v>
      </c>
      <c r="D4" s="504">
        <v>302434</v>
      </c>
      <c r="E4" s="504">
        <f t="shared" ref="E4:E10" si="0">SUM(H4:S4)</f>
        <v>273964</v>
      </c>
      <c r="F4" s="504">
        <f t="shared" ref="F4:F9" si="1">SUM(T4:AE4)</f>
        <v>303358</v>
      </c>
      <c r="G4" s="504">
        <f>SUM(AF4:AJ4)</f>
        <v>121077</v>
      </c>
      <c r="H4" s="346">
        <v>18109</v>
      </c>
      <c r="I4" s="339">
        <v>17873</v>
      </c>
      <c r="J4" s="339">
        <v>19962</v>
      </c>
      <c r="K4" s="339">
        <v>23659</v>
      </c>
      <c r="L4" s="339">
        <v>22475</v>
      </c>
      <c r="M4" s="339">
        <v>27117</v>
      </c>
      <c r="N4" s="339">
        <v>24689</v>
      </c>
      <c r="O4" s="339">
        <v>23450</v>
      </c>
      <c r="P4" s="339">
        <v>23416</v>
      </c>
      <c r="Q4" s="339">
        <v>25498</v>
      </c>
      <c r="R4" s="339">
        <v>24486</v>
      </c>
      <c r="S4" s="339">
        <v>23230</v>
      </c>
      <c r="T4" s="339">
        <v>24423</v>
      </c>
      <c r="U4" s="339">
        <v>21658</v>
      </c>
      <c r="V4" s="339">
        <v>24447</v>
      </c>
      <c r="W4" s="339">
        <v>28932</v>
      </c>
      <c r="X4" s="339">
        <v>26484</v>
      </c>
      <c r="Y4" s="339">
        <v>27976</v>
      </c>
      <c r="Z4" s="339">
        <v>24868</v>
      </c>
      <c r="AA4" s="339">
        <v>21807</v>
      </c>
      <c r="AB4" s="339">
        <v>23482</v>
      </c>
      <c r="AC4" s="339">
        <v>25145</v>
      </c>
      <c r="AD4" s="339">
        <v>26941</v>
      </c>
      <c r="AE4" s="339">
        <v>27195</v>
      </c>
      <c r="AF4" s="339">
        <v>25723</v>
      </c>
      <c r="AG4" s="339">
        <v>21671</v>
      </c>
      <c r="AH4" s="339">
        <v>22191</v>
      </c>
      <c r="AI4" s="339">
        <v>26064</v>
      </c>
      <c r="AJ4" s="339">
        <v>25428</v>
      </c>
      <c r="AK4" s="375">
        <f t="shared" ref="AK4:AK13" si="2">SUM(H4:AJ4)</f>
        <v>698399</v>
      </c>
    </row>
    <row r="5" spans="1:37" ht="15">
      <c r="A5" s="501" t="s">
        <v>271</v>
      </c>
      <c r="B5" s="508">
        <v>25022</v>
      </c>
      <c r="C5" s="504">
        <v>204127</v>
      </c>
      <c r="D5" s="504">
        <v>314520</v>
      </c>
      <c r="E5" s="504">
        <f t="shared" si="0"/>
        <v>241213</v>
      </c>
      <c r="F5" s="504">
        <f t="shared" si="1"/>
        <v>255375</v>
      </c>
      <c r="G5" s="504">
        <f t="shared" ref="G5:G13" si="3">SUM(AF5:AJ5)</f>
        <v>97437</v>
      </c>
      <c r="H5" s="346">
        <v>16351</v>
      </c>
      <c r="I5" s="339">
        <v>15859</v>
      </c>
      <c r="J5" s="339">
        <v>17725</v>
      </c>
      <c r="K5" s="339">
        <v>21807</v>
      </c>
      <c r="L5" s="339">
        <v>19866</v>
      </c>
      <c r="M5" s="339">
        <v>23474</v>
      </c>
      <c r="N5" s="339">
        <v>21700</v>
      </c>
      <c r="O5" s="339">
        <v>20313</v>
      </c>
      <c r="P5" s="339">
        <v>20342</v>
      </c>
      <c r="Q5" s="339">
        <v>22311</v>
      </c>
      <c r="R5" s="339">
        <v>21823</v>
      </c>
      <c r="S5" s="339">
        <v>19642</v>
      </c>
      <c r="T5" s="339">
        <v>21213</v>
      </c>
      <c r="U5" s="339">
        <v>19476</v>
      </c>
      <c r="V5" s="339">
        <v>22399</v>
      </c>
      <c r="W5" s="339">
        <v>25904</v>
      </c>
      <c r="X5" s="339">
        <v>22283</v>
      </c>
      <c r="Y5" s="339">
        <v>22583</v>
      </c>
      <c r="Z5" s="339">
        <v>19566</v>
      </c>
      <c r="AA5" s="339">
        <v>18481</v>
      </c>
      <c r="AB5" s="339">
        <v>19060</v>
      </c>
      <c r="AC5" s="339">
        <v>21212</v>
      </c>
      <c r="AD5" s="339">
        <v>22026</v>
      </c>
      <c r="AE5" s="339">
        <v>21172</v>
      </c>
      <c r="AF5" s="339">
        <v>20887</v>
      </c>
      <c r="AG5" s="339">
        <v>17984</v>
      </c>
      <c r="AH5" s="339">
        <v>17899</v>
      </c>
      <c r="AI5" s="339">
        <v>20584</v>
      </c>
      <c r="AJ5" s="339">
        <v>20083</v>
      </c>
      <c r="AK5" s="375">
        <f t="shared" si="2"/>
        <v>594025</v>
      </c>
    </row>
    <row r="6" spans="1:37" ht="15">
      <c r="A6" s="501" t="s">
        <v>1915</v>
      </c>
      <c r="B6" s="508">
        <v>94179</v>
      </c>
      <c r="C6" s="504">
        <v>619056</v>
      </c>
      <c r="D6" s="504">
        <v>1283356</v>
      </c>
      <c r="E6" s="504">
        <f t="shared" si="0"/>
        <v>992769</v>
      </c>
      <c r="F6" s="504">
        <f t="shared" si="1"/>
        <v>1174784</v>
      </c>
      <c r="G6" s="504">
        <f t="shared" si="3"/>
        <v>458443</v>
      </c>
      <c r="H6" s="346">
        <v>68528</v>
      </c>
      <c r="I6" s="339">
        <v>65009</v>
      </c>
      <c r="J6" s="339">
        <v>81495</v>
      </c>
      <c r="K6" s="339">
        <v>83470</v>
      </c>
      <c r="L6" s="339">
        <v>74057</v>
      </c>
      <c r="M6" s="339">
        <v>87495</v>
      </c>
      <c r="N6" s="339">
        <v>83860</v>
      </c>
      <c r="O6" s="339">
        <v>84625</v>
      </c>
      <c r="P6" s="339">
        <v>84807</v>
      </c>
      <c r="Q6" s="339">
        <v>95262</v>
      </c>
      <c r="R6" s="339">
        <v>93483</v>
      </c>
      <c r="S6" s="339">
        <v>90678</v>
      </c>
      <c r="T6" s="339">
        <v>92592</v>
      </c>
      <c r="U6" s="339">
        <v>83924</v>
      </c>
      <c r="V6" s="339">
        <v>105776</v>
      </c>
      <c r="W6" s="339">
        <v>113589</v>
      </c>
      <c r="X6" s="339">
        <v>106964</v>
      </c>
      <c r="Y6" s="339">
        <v>114168</v>
      </c>
      <c r="Z6" s="339">
        <v>91388</v>
      </c>
      <c r="AA6" s="339">
        <v>88364</v>
      </c>
      <c r="AB6" s="339">
        <v>90895</v>
      </c>
      <c r="AC6" s="339">
        <v>94404</v>
      </c>
      <c r="AD6" s="339">
        <v>93747</v>
      </c>
      <c r="AE6" s="339">
        <v>98973</v>
      </c>
      <c r="AF6" s="339">
        <v>98209</v>
      </c>
      <c r="AG6" s="339">
        <v>83346</v>
      </c>
      <c r="AH6" s="339">
        <v>86570</v>
      </c>
      <c r="AI6" s="339">
        <v>96197</v>
      </c>
      <c r="AJ6" s="339">
        <v>94121</v>
      </c>
      <c r="AK6" s="375">
        <f t="shared" si="2"/>
        <v>2625996</v>
      </c>
    </row>
    <row r="7" spans="1:37" ht="15">
      <c r="A7" s="501" t="s">
        <v>1916</v>
      </c>
      <c r="B7" s="508">
        <v>2156</v>
      </c>
      <c r="C7" s="504">
        <v>27523</v>
      </c>
      <c r="D7" s="504">
        <v>47968</v>
      </c>
      <c r="E7" s="504">
        <f t="shared" si="0"/>
        <v>38829</v>
      </c>
      <c r="F7" s="504">
        <f t="shared" si="1"/>
        <v>62603</v>
      </c>
      <c r="G7" s="504">
        <f t="shared" si="3"/>
        <v>34404</v>
      </c>
      <c r="H7" s="357">
        <v>2869</v>
      </c>
      <c r="I7" s="344">
        <v>2555</v>
      </c>
      <c r="J7" s="344">
        <v>3085</v>
      </c>
      <c r="K7" s="344">
        <v>5063</v>
      </c>
      <c r="L7" s="344">
        <v>2785</v>
      </c>
      <c r="M7" s="344">
        <v>3559</v>
      </c>
      <c r="N7" s="344">
        <v>3159</v>
      </c>
      <c r="O7" s="344">
        <v>2856</v>
      </c>
      <c r="P7" s="344">
        <v>3142</v>
      </c>
      <c r="Q7" s="344">
        <v>3281</v>
      </c>
      <c r="R7" s="344">
        <v>3223</v>
      </c>
      <c r="S7" s="344">
        <v>3252</v>
      </c>
      <c r="T7" s="344">
        <v>3321</v>
      </c>
      <c r="U7" s="344">
        <v>3245</v>
      </c>
      <c r="V7" s="344">
        <v>3775</v>
      </c>
      <c r="W7" s="344">
        <v>4260</v>
      </c>
      <c r="X7" s="344">
        <v>3868</v>
      </c>
      <c r="Y7" s="344">
        <v>4316</v>
      </c>
      <c r="Z7" s="344">
        <v>3782</v>
      </c>
      <c r="AA7" s="344">
        <v>3708</v>
      </c>
      <c r="AB7" s="344">
        <v>3884</v>
      </c>
      <c r="AC7" s="344">
        <v>4000</v>
      </c>
      <c r="AD7" s="344">
        <v>3926</v>
      </c>
      <c r="AE7" s="344">
        <v>20518</v>
      </c>
      <c r="AF7" s="344">
        <v>18926</v>
      </c>
      <c r="AG7" s="344">
        <v>3570</v>
      </c>
      <c r="AH7" s="344">
        <v>3662</v>
      </c>
      <c r="AI7" s="344">
        <v>4031</v>
      </c>
      <c r="AJ7" s="344">
        <v>4215</v>
      </c>
      <c r="AK7" s="375">
        <f t="shared" si="2"/>
        <v>135836</v>
      </c>
    </row>
    <row r="8" spans="1:37" ht="15">
      <c r="A8" s="502" t="s">
        <v>1917</v>
      </c>
      <c r="B8" s="509">
        <v>0</v>
      </c>
      <c r="C8" s="505">
        <v>0</v>
      </c>
      <c r="D8" s="505">
        <v>0</v>
      </c>
      <c r="E8" s="504">
        <f t="shared" si="0"/>
        <v>518740</v>
      </c>
      <c r="F8" s="504">
        <f t="shared" si="1"/>
        <v>807427</v>
      </c>
      <c r="G8" s="504">
        <f t="shared" si="3"/>
        <v>396390</v>
      </c>
      <c r="H8" s="346"/>
      <c r="I8" s="339"/>
      <c r="J8" s="339"/>
      <c r="K8" s="339">
        <v>48852</v>
      </c>
      <c r="L8" s="339">
        <v>51749</v>
      </c>
      <c r="M8" s="339">
        <v>60019</v>
      </c>
      <c r="N8" s="339">
        <v>57023</v>
      </c>
      <c r="O8" s="339">
        <v>56395</v>
      </c>
      <c r="P8" s="339">
        <v>56567</v>
      </c>
      <c r="Q8" s="339">
        <v>63410</v>
      </c>
      <c r="R8" s="339">
        <v>63914</v>
      </c>
      <c r="S8" s="339">
        <v>60811</v>
      </c>
      <c r="T8" s="339">
        <v>62970</v>
      </c>
      <c r="U8" s="339">
        <v>56150</v>
      </c>
      <c r="V8" s="339">
        <v>68428</v>
      </c>
      <c r="W8" s="339">
        <v>81182</v>
      </c>
      <c r="X8" s="339">
        <v>70128</v>
      </c>
      <c r="Y8" s="339">
        <v>72655</v>
      </c>
      <c r="Z8" s="339">
        <v>61820</v>
      </c>
      <c r="AA8" s="339">
        <v>58512</v>
      </c>
      <c r="AB8" s="339">
        <v>63010</v>
      </c>
      <c r="AC8" s="339">
        <v>66392</v>
      </c>
      <c r="AD8" s="339">
        <v>68670</v>
      </c>
      <c r="AE8" s="339">
        <v>77510</v>
      </c>
      <c r="AF8" s="339">
        <v>73961</v>
      </c>
      <c r="AG8" s="339">
        <v>60868</v>
      </c>
      <c r="AH8" s="339">
        <v>62822</v>
      </c>
      <c r="AI8" s="339">
        <v>72587</v>
      </c>
      <c r="AJ8" s="339">
        <v>126152</v>
      </c>
      <c r="AK8" s="375">
        <f t="shared" si="2"/>
        <v>1722557</v>
      </c>
    </row>
    <row r="9" spans="1:37" ht="15">
      <c r="A9" s="501" t="s">
        <v>1918</v>
      </c>
      <c r="B9" s="509">
        <v>0</v>
      </c>
      <c r="C9" s="505">
        <v>0</v>
      </c>
      <c r="D9" s="505">
        <v>0</v>
      </c>
      <c r="E9" s="504">
        <f t="shared" si="0"/>
        <v>188159</v>
      </c>
      <c r="F9" s="504">
        <f t="shared" si="1"/>
        <v>242039</v>
      </c>
      <c r="G9" s="504">
        <f t="shared" si="3"/>
        <v>93844</v>
      </c>
      <c r="H9" s="357"/>
      <c r="I9" s="344"/>
      <c r="J9" s="344"/>
      <c r="K9" s="344">
        <v>21068</v>
      </c>
      <c r="L9" s="344">
        <v>19844</v>
      </c>
      <c r="M9" s="344">
        <v>23324</v>
      </c>
      <c r="N9" s="344">
        <v>21309</v>
      </c>
      <c r="O9" s="344">
        <v>20345</v>
      </c>
      <c r="P9" s="344">
        <v>20167</v>
      </c>
      <c r="Q9" s="344">
        <v>22028</v>
      </c>
      <c r="R9" s="344">
        <v>21295</v>
      </c>
      <c r="S9" s="344">
        <v>18779</v>
      </c>
      <c r="T9" s="344">
        <v>20012</v>
      </c>
      <c r="U9" s="344">
        <v>19432</v>
      </c>
      <c r="V9" s="344">
        <v>21330</v>
      </c>
      <c r="W9" s="344">
        <v>24960</v>
      </c>
      <c r="X9" s="344">
        <v>20971</v>
      </c>
      <c r="Y9" s="344">
        <v>21000</v>
      </c>
      <c r="Z9" s="344">
        <v>18028</v>
      </c>
      <c r="AA9" s="344">
        <v>17178</v>
      </c>
      <c r="AB9" s="344">
        <v>17627</v>
      </c>
      <c r="AC9" s="344">
        <v>20091</v>
      </c>
      <c r="AD9" s="344">
        <v>21026</v>
      </c>
      <c r="AE9" s="344">
        <v>20384</v>
      </c>
      <c r="AF9" s="344">
        <v>19878</v>
      </c>
      <c r="AG9" s="344">
        <v>17609</v>
      </c>
      <c r="AH9" s="344">
        <v>17190</v>
      </c>
      <c r="AI9" s="344">
        <v>19880</v>
      </c>
      <c r="AJ9" s="344">
        <v>19287</v>
      </c>
      <c r="AK9" s="375">
        <f t="shared" si="2"/>
        <v>524042</v>
      </c>
    </row>
    <row r="10" spans="1:37" ht="15">
      <c r="A10" s="501" t="s">
        <v>1919</v>
      </c>
      <c r="B10" s="509">
        <v>0</v>
      </c>
      <c r="C10" s="505">
        <v>0</v>
      </c>
      <c r="D10" s="505">
        <v>0</v>
      </c>
      <c r="E10" s="504">
        <f t="shared" si="0"/>
        <v>127850</v>
      </c>
      <c r="F10" s="504">
        <f>SUM(T10:AE10)</f>
        <v>227652</v>
      </c>
      <c r="G10" s="504">
        <f t="shared" si="3"/>
        <v>43619</v>
      </c>
      <c r="H10" s="357"/>
      <c r="I10" s="344"/>
      <c r="J10" s="344"/>
      <c r="K10" s="344"/>
      <c r="L10" s="344"/>
      <c r="M10" s="344"/>
      <c r="N10" s="344">
        <v>19859</v>
      </c>
      <c r="O10" s="344">
        <v>24567</v>
      </c>
      <c r="P10" s="344">
        <v>21855</v>
      </c>
      <c r="Q10" s="344">
        <v>22345</v>
      </c>
      <c r="R10" s="344">
        <v>20647</v>
      </c>
      <c r="S10" s="344">
        <v>18577</v>
      </c>
      <c r="T10" s="344">
        <v>19402</v>
      </c>
      <c r="U10" s="344">
        <v>17823</v>
      </c>
      <c r="V10" s="344">
        <v>21234</v>
      </c>
      <c r="W10" s="344">
        <v>26547</v>
      </c>
      <c r="X10" s="344">
        <v>21803</v>
      </c>
      <c r="Y10" s="344">
        <v>19736</v>
      </c>
      <c r="Z10" s="344">
        <v>16157</v>
      </c>
      <c r="AA10" s="344">
        <v>15127</v>
      </c>
      <c r="AB10" s="344">
        <v>14617</v>
      </c>
      <c r="AC10" s="344">
        <v>17557</v>
      </c>
      <c r="AD10" s="344">
        <v>19235</v>
      </c>
      <c r="AE10" s="344">
        <v>18414</v>
      </c>
      <c r="AF10" s="344">
        <v>17178</v>
      </c>
      <c r="AG10" s="344">
        <v>15745</v>
      </c>
      <c r="AH10" s="344">
        <v>10696</v>
      </c>
      <c r="AI10" s="344"/>
      <c r="AJ10" s="344"/>
      <c r="AK10" s="375">
        <f t="shared" si="2"/>
        <v>399121</v>
      </c>
    </row>
    <row r="11" spans="1:37" ht="15">
      <c r="A11" s="503" t="s">
        <v>1968</v>
      </c>
      <c r="B11" s="509"/>
      <c r="C11" s="505"/>
      <c r="D11" s="505"/>
      <c r="E11" s="504"/>
      <c r="F11" s="504"/>
      <c r="G11" s="504">
        <f t="shared" si="3"/>
        <v>25001</v>
      </c>
      <c r="H11" s="346"/>
      <c r="I11" s="339"/>
      <c r="J11" s="339"/>
      <c r="K11" s="339"/>
      <c r="L11" s="339"/>
      <c r="M11" s="339"/>
      <c r="N11" s="339"/>
      <c r="O11" s="339"/>
      <c r="P11" s="339"/>
      <c r="Q11" s="339"/>
      <c r="R11" s="339"/>
      <c r="S11" s="339"/>
      <c r="T11" s="339"/>
      <c r="U11" s="339"/>
      <c r="V11" s="339"/>
      <c r="W11" s="339"/>
      <c r="X11" s="339"/>
      <c r="Y11" s="339"/>
      <c r="Z11" s="339"/>
      <c r="AA11" s="339"/>
      <c r="AB11" s="339"/>
      <c r="AC11" s="339"/>
      <c r="AD11" s="339"/>
      <c r="AE11" s="339"/>
      <c r="AF11" s="339"/>
      <c r="AG11" s="339"/>
      <c r="AH11" s="339">
        <v>3064</v>
      </c>
      <c r="AI11" s="339">
        <v>11917</v>
      </c>
      <c r="AJ11" s="339">
        <v>10020</v>
      </c>
      <c r="AK11" s="375">
        <f t="shared" si="2"/>
        <v>25001</v>
      </c>
    </row>
    <row r="12" spans="1:37" ht="15">
      <c r="A12" s="503" t="s">
        <v>1969</v>
      </c>
      <c r="B12" s="509"/>
      <c r="C12" s="505"/>
      <c r="D12" s="505"/>
      <c r="E12" s="504"/>
      <c r="F12" s="504"/>
      <c r="G12" s="504">
        <f t="shared" si="3"/>
        <v>21088</v>
      </c>
      <c r="H12" s="346"/>
      <c r="I12" s="339"/>
      <c r="J12" s="339"/>
      <c r="K12" s="339"/>
      <c r="L12" s="339"/>
      <c r="M12" s="339"/>
      <c r="N12" s="339"/>
      <c r="O12" s="339"/>
      <c r="P12" s="339"/>
      <c r="Q12" s="339"/>
      <c r="R12" s="339"/>
      <c r="S12" s="339"/>
      <c r="T12" s="339"/>
      <c r="U12" s="339"/>
      <c r="V12" s="339"/>
      <c r="W12" s="339"/>
      <c r="X12" s="339"/>
      <c r="Y12" s="339"/>
      <c r="Z12" s="339"/>
      <c r="AA12" s="339"/>
      <c r="AB12" s="339"/>
      <c r="AC12" s="339"/>
      <c r="AD12" s="339"/>
      <c r="AE12" s="339"/>
      <c r="AF12" s="339"/>
      <c r="AG12" s="339"/>
      <c r="AH12" s="339">
        <v>2786</v>
      </c>
      <c r="AI12" s="339">
        <v>9510</v>
      </c>
      <c r="AJ12" s="339">
        <v>8792</v>
      </c>
      <c r="AK12" s="375">
        <f t="shared" si="2"/>
        <v>21088</v>
      </c>
    </row>
    <row r="13" spans="1:37" ht="15">
      <c r="A13" s="503" t="s">
        <v>1970</v>
      </c>
      <c r="B13" s="509"/>
      <c r="C13" s="505"/>
      <c r="D13" s="504">
        <v>1546360</v>
      </c>
      <c r="E13" s="504">
        <f t="shared" ref="E13" si="4">SUM(H13:S13)</f>
        <v>347741</v>
      </c>
      <c r="F13" s="504">
        <f>SUM(T13:AE13)</f>
        <v>413</v>
      </c>
      <c r="G13" s="504">
        <f t="shared" si="3"/>
        <v>1802</v>
      </c>
      <c r="H13" s="346">
        <v>108763</v>
      </c>
      <c r="I13" s="339">
        <v>101301</v>
      </c>
      <c r="J13" s="339">
        <v>122271</v>
      </c>
      <c r="K13" s="339">
        <v>15050</v>
      </c>
      <c r="L13" s="339">
        <v>61</v>
      </c>
      <c r="M13" s="339">
        <v>26</v>
      </c>
      <c r="N13" s="339">
        <v>28</v>
      </c>
      <c r="O13" s="339">
        <v>44</v>
      </c>
      <c r="P13" s="339">
        <v>48</v>
      </c>
      <c r="Q13" s="339">
        <v>83</v>
      </c>
      <c r="R13" s="339">
        <v>37</v>
      </c>
      <c r="S13" s="339">
        <v>29</v>
      </c>
      <c r="T13" s="339">
        <v>21</v>
      </c>
      <c r="U13" s="339">
        <v>5</v>
      </c>
      <c r="V13" s="339">
        <v>34</v>
      </c>
      <c r="W13" s="339">
        <v>29</v>
      </c>
      <c r="X13" s="339">
        <v>51</v>
      </c>
      <c r="Y13" s="339">
        <v>26</v>
      </c>
      <c r="Z13" s="339">
        <v>40</v>
      </c>
      <c r="AA13" s="339">
        <v>26</v>
      </c>
      <c r="AB13" s="339">
        <v>18</v>
      </c>
      <c r="AC13" s="339">
        <v>55</v>
      </c>
      <c r="AD13" s="339">
        <v>40</v>
      </c>
      <c r="AE13" s="339">
        <v>68</v>
      </c>
      <c r="AF13" s="339">
        <v>58</v>
      </c>
      <c r="AG13" s="339">
        <v>24</v>
      </c>
      <c r="AH13" s="339">
        <v>31</v>
      </c>
      <c r="AI13" s="339"/>
      <c r="AJ13" s="339">
        <v>1689</v>
      </c>
      <c r="AK13" s="375">
        <f t="shared" si="2"/>
        <v>349956</v>
      </c>
    </row>
    <row r="14" spans="1:37" ht="16" thickBot="1">
      <c r="A14" s="503" t="s">
        <v>1920</v>
      </c>
      <c r="B14" s="376"/>
      <c r="C14" s="377"/>
      <c r="D14" s="378"/>
      <c r="E14" s="379"/>
      <c r="F14" s="510"/>
      <c r="G14" s="510"/>
      <c r="H14" s="346">
        <f>SUM(H4:H13)</f>
        <v>214620</v>
      </c>
      <c r="I14" s="346">
        <f t="shared" ref="I14:AJ14" si="5">SUM(I4:I13)</f>
        <v>202597</v>
      </c>
      <c r="J14" s="346">
        <f t="shared" si="5"/>
        <v>244538</v>
      </c>
      <c r="K14" s="346">
        <f t="shared" si="5"/>
        <v>218969</v>
      </c>
      <c r="L14" s="346">
        <f t="shared" si="5"/>
        <v>190837</v>
      </c>
      <c r="M14" s="346">
        <f t="shared" si="5"/>
        <v>225014</v>
      </c>
      <c r="N14" s="346">
        <f t="shared" si="5"/>
        <v>231627</v>
      </c>
      <c r="O14" s="346">
        <f t="shared" si="5"/>
        <v>232595</v>
      </c>
      <c r="P14" s="346">
        <f t="shared" si="5"/>
        <v>230344</v>
      </c>
      <c r="Q14" s="346">
        <f t="shared" si="5"/>
        <v>254218</v>
      </c>
      <c r="R14" s="346">
        <f t="shared" si="5"/>
        <v>248908</v>
      </c>
      <c r="S14" s="346">
        <f t="shared" si="5"/>
        <v>234998</v>
      </c>
      <c r="T14" s="346">
        <f t="shared" si="5"/>
        <v>243954</v>
      </c>
      <c r="U14" s="346">
        <f t="shared" si="5"/>
        <v>221713</v>
      </c>
      <c r="V14" s="346">
        <f t="shared" si="5"/>
        <v>267423</v>
      </c>
      <c r="W14" s="346">
        <f t="shared" si="5"/>
        <v>305403</v>
      </c>
      <c r="X14" s="346">
        <f t="shared" si="5"/>
        <v>272552</v>
      </c>
      <c r="Y14" s="346">
        <f t="shared" si="5"/>
        <v>282460</v>
      </c>
      <c r="Z14" s="346">
        <f t="shared" si="5"/>
        <v>235649</v>
      </c>
      <c r="AA14" s="346">
        <f t="shared" si="5"/>
        <v>223203</v>
      </c>
      <c r="AB14" s="346">
        <f t="shared" si="5"/>
        <v>232593</v>
      </c>
      <c r="AC14" s="346">
        <f t="shared" si="5"/>
        <v>248856</v>
      </c>
      <c r="AD14" s="346">
        <f t="shared" si="5"/>
        <v>255611</v>
      </c>
      <c r="AE14" s="346">
        <f t="shared" si="5"/>
        <v>284234</v>
      </c>
      <c r="AF14" s="346">
        <f t="shared" si="5"/>
        <v>274820</v>
      </c>
      <c r="AG14" s="346">
        <f t="shared" si="5"/>
        <v>220817</v>
      </c>
      <c r="AH14" s="346">
        <f t="shared" si="5"/>
        <v>226911</v>
      </c>
      <c r="AI14" s="346">
        <f t="shared" si="5"/>
        <v>260770</v>
      </c>
      <c r="AJ14" s="346">
        <f t="shared" si="5"/>
        <v>309787</v>
      </c>
      <c r="AK14" s="375">
        <f>SUM(H14:AJ14)</f>
        <v>7096021</v>
      </c>
    </row>
    <row r="15" spans="1:37" ht="16" thickBot="1">
      <c r="B15" s="380">
        <f>SUM(B4:B10)</f>
        <v>145293</v>
      </c>
      <c r="C15" s="374">
        <f>SUM(C4:C10)</f>
        <v>1066575</v>
      </c>
      <c r="D15" s="374">
        <f>SUM(D4:D13)</f>
        <v>3494638</v>
      </c>
      <c r="E15" s="374">
        <f>SUM(E4:E13)</f>
        <v>2729265</v>
      </c>
      <c r="F15" s="374">
        <f>SUM(F4:F13)</f>
        <v>3073651</v>
      </c>
      <c r="G15" s="374">
        <f>SUM(G4:G13)</f>
        <v>1293105</v>
      </c>
    </row>
    <row r="16" spans="1:37">
      <c r="H16" s="381"/>
      <c r="I16" s="381"/>
      <c r="J16" s="382" t="s">
        <v>1972</v>
      </c>
      <c r="K16" s="383">
        <f>AK14</f>
        <v>7096021</v>
      </c>
      <c r="L16" s="383"/>
      <c r="M16" s="383"/>
      <c r="N16" s="383"/>
      <c r="O16" s="383"/>
      <c r="P16" s="383"/>
      <c r="Q16" s="383"/>
      <c r="R16" s="383"/>
      <c r="S16" s="383"/>
      <c r="T16" s="383"/>
      <c r="U16" s="383"/>
      <c r="V16" s="383"/>
      <c r="W16" s="383"/>
      <c r="X16" s="383"/>
      <c r="Y16" s="383"/>
      <c r="Z16" s="383"/>
      <c r="AA16" s="383"/>
      <c r="AB16" s="383"/>
      <c r="AC16" s="383"/>
      <c r="AD16" s="383"/>
      <c r="AE16" s="383"/>
      <c r="AF16" s="383"/>
      <c r="AG16" s="383"/>
      <c r="AH16" s="383"/>
      <c r="AI16" s="383"/>
      <c r="AJ16" s="383"/>
    </row>
    <row r="17" spans="4:36">
      <c r="H17" s="381"/>
      <c r="I17" s="381"/>
      <c r="J17" s="382" t="s">
        <v>1973</v>
      </c>
      <c r="K17" s="334">
        <f>SUM(B15:G15)</f>
        <v>11802527</v>
      </c>
      <c r="L17" s="334"/>
      <c r="M17" s="334"/>
      <c r="N17" s="384"/>
      <c r="O17" s="334"/>
      <c r="P17" s="334"/>
      <c r="Q17" s="334"/>
      <c r="R17" s="334"/>
      <c r="S17" s="334"/>
      <c r="T17" s="334"/>
      <c r="U17" s="334"/>
      <c r="V17" s="334"/>
      <c r="W17" s="334"/>
      <c r="X17" s="334"/>
      <c r="Y17" s="334"/>
      <c r="Z17" s="334"/>
      <c r="AA17" s="334"/>
      <c r="AB17" s="334"/>
      <c r="AC17" s="334"/>
      <c r="AD17" s="334"/>
      <c r="AE17" s="334"/>
      <c r="AF17" s="334"/>
      <c r="AG17" s="334"/>
      <c r="AH17" s="334"/>
      <c r="AI17" s="334"/>
      <c r="AJ17" s="334"/>
    </row>
    <row r="18" spans="4:36">
      <c r="D18" s="200"/>
      <c r="E18" s="200"/>
      <c r="F18" s="200"/>
      <c r="G18" s="200"/>
    </row>
  </sheetData>
  <mergeCells count="7">
    <mergeCell ref="B1:G1"/>
    <mergeCell ref="G2:G3"/>
    <mergeCell ref="B2:B3"/>
    <mergeCell ref="C2:C3"/>
    <mergeCell ref="D2:D3"/>
    <mergeCell ref="E2:E3"/>
    <mergeCell ref="F2:F3"/>
  </mergeCells>
  <pageMargins left="0.7" right="0.7" top="0.75" bottom="0.75" header="0.3" footer="0.3"/>
  <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P85"/>
  <sheetViews>
    <sheetView zoomScale="125" zoomScaleNormal="125" zoomScalePageLayoutView="125" workbookViewId="0">
      <selection activeCell="CE34" sqref="CE34"/>
    </sheetView>
  </sheetViews>
  <sheetFormatPr baseColWidth="10" defaultColWidth="8.83203125" defaultRowHeight="14" x14ac:dyDescent="0"/>
  <cols>
    <col min="1" max="1" width="19.5" customWidth="1"/>
    <col min="2" max="2" width="8.6640625" customWidth="1"/>
    <col min="3" max="54" width="9.33203125" customWidth="1"/>
    <col min="55" max="87" width="10.33203125" customWidth="1"/>
    <col min="92" max="92" width="20" customWidth="1"/>
    <col min="93" max="93" width="18.83203125" bestFit="1" customWidth="1"/>
    <col min="94" max="94" width="77.83203125" hidden="1" customWidth="1"/>
    <col min="257" max="257" width="19.5" customWidth="1"/>
    <col min="258" max="258" width="8.6640625" customWidth="1"/>
    <col min="259" max="310" width="9.33203125" customWidth="1"/>
    <col min="311" max="343" width="10.33203125" customWidth="1"/>
    <col min="348" max="348" width="20" customWidth="1"/>
    <col min="349" max="349" width="18.83203125" bestFit="1" customWidth="1"/>
    <col min="350" max="350" width="0" hidden="1" customWidth="1"/>
    <col min="513" max="513" width="19.5" customWidth="1"/>
    <col min="514" max="514" width="8.6640625" customWidth="1"/>
    <col min="515" max="566" width="9.33203125" customWidth="1"/>
    <col min="567" max="599" width="10.33203125" customWidth="1"/>
    <col min="604" max="604" width="20" customWidth="1"/>
    <col min="605" max="605" width="18.83203125" bestFit="1" customWidth="1"/>
    <col min="606" max="606" width="0" hidden="1" customWidth="1"/>
    <col min="769" max="769" width="19.5" customWidth="1"/>
    <col min="770" max="770" width="8.6640625" customWidth="1"/>
    <col min="771" max="822" width="9.33203125" customWidth="1"/>
    <col min="823" max="855" width="10.33203125" customWidth="1"/>
    <col min="860" max="860" width="20" customWidth="1"/>
    <col min="861" max="861" width="18.83203125" bestFit="1" customWidth="1"/>
    <col min="862" max="862" width="0" hidden="1" customWidth="1"/>
    <col min="1025" max="1025" width="19.5" customWidth="1"/>
    <col min="1026" max="1026" width="8.6640625" customWidth="1"/>
    <col min="1027" max="1078" width="9.33203125" customWidth="1"/>
    <col min="1079" max="1111" width="10.33203125" customWidth="1"/>
    <col min="1116" max="1116" width="20" customWidth="1"/>
    <col min="1117" max="1117" width="18.83203125" bestFit="1" customWidth="1"/>
    <col min="1118" max="1118" width="0" hidden="1" customWidth="1"/>
    <col min="1281" max="1281" width="19.5" customWidth="1"/>
    <col min="1282" max="1282" width="8.6640625" customWidth="1"/>
    <col min="1283" max="1334" width="9.33203125" customWidth="1"/>
    <col min="1335" max="1367" width="10.33203125" customWidth="1"/>
    <col min="1372" max="1372" width="20" customWidth="1"/>
    <col min="1373" max="1373" width="18.83203125" bestFit="1" customWidth="1"/>
    <col min="1374" max="1374" width="0" hidden="1" customWidth="1"/>
    <col min="1537" max="1537" width="19.5" customWidth="1"/>
    <col min="1538" max="1538" width="8.6640625" customWidth="1"/>
    <col min="1539" max="1590" width="9.33203125" customWidth="1"/>
    <col min="1591" max="1623" width="10.33203125" customWidth="1"/>
    <col min="1628" max="1628" width="20" customWidth="1"/>
    <col min="1629" max="1629" width="18.83203125" bestFit="1" customWidth="1"/>
    <col min="1630" max="1630" width="0" hidden="1" customWidth="1"/>
    <col min="1793" max="1793" width="19.5" customWidth="1"/>
    <col min="1794" max="1794" width="8.6640625" customWidth="1"/>
    <col min="1795" max="1846" width="9.33203125" customWidth="1"/>
    <col min="1847" max="1879" width="10.33203125" customWidth="1"/>
    <col min="1884" max="1884" width="20" customWidth="1"/>
    <col min="1885" max="1885" width="18.83203125" bestFit="1" customWidth="1"/>
    <col min="1886" max="1886" width="0" hidden="1" customWidth="1"/>
    <col min="2049" max="2049" width="19.5" customWidth="1"/>
    <col min="2050" max="2050" width="8.6640625" customWidth="1"/>
    <col min="2051" max="2102" width="9.33203125" customWidth="1"/>
    <col min="2103" max="2135" width="10.33203125" customWidth="1"/>
    <col min="2140" max="2140" width="20" customWidth="1"/>
    <col min="2141" max="2141" width="18.83203125" bestFit="1" customWidth="1"/>
    <col min="2142" max="2142" width="0" hidden="1" customWidth="1"/>
    <col min="2305" max="2305" width="19.5" customWidth="1"/>
    <col min="2306" max="2306" width="8.6640625" customWidth="1"/>
    <col min="2307" max="2358" width="9.33203125" customWidth="1"/>
    <col min="2359" max="2391" width="10.33203125" customWidth="1"/>
    <col min="2396" max="2396" width="20" customWidth="1"/>
    <col min="2397" max="2397" width="18.83203125" bestFit="1" customWidth="1"/>
    <col min="2398" max="2398" width="0" hidden="1" customWidth="1"/>
    <col min="2561" max="2561" width="19.5" customWidth="1"/>
    <col min="2562" max="2562" width="8.6640625" customWidth="1"/>
    <col min="2563" max="2614" width="9.33203125" customWidth="1"/>
    <col min="2615" max="2647" width="10.33203125" customWidth="1"/>
    <col min="2652" max="2652" width="20" customWidth="1"/>
    <col min="2653" max="2653" width="18.83203125" bestFit="1" customWidth="1"/>
    <col min="2654" max="2654" width="0" hidden="1" customWidth="1"/>
    <col min="2817" max="2817" width="19.5" customWidth="1"/>
    <col min="2818" max="2818" width="8.6640625" customWidth="1"/>
    <col min="2819" max="2870" width="9.33203125" customWidth="1"/>
    <col min="2871" max="2903" width="10.33203125" customWidth="1"/>
    <col min="2908" max="2908" width="20" customWidth="1"/>
    <col min="2909" max="2909" width="18.83203125" bestFit="1" customWidth="1"/>
    <col min="2910" max="2910" width="0" hidden="1" customWidth="1"/>
    <col min="3073" max="3073" width="19.5" customWidth="1"/>
    <col min="3074" max="3074" width="8.6640625" customWidth="1"/>
    <col min="3075" max="3126" width="9.33203125" customWidth="1"/>
    <col min="3127" max="3159" width="10.33203125" customWidth="1"/>
    <col min="3164" max="3164" width="20" customWidth="1"/>
    <col min="3165" max="3165" width="18.83203125" bestFit="1" customWidth="1"/>
    <col min="3166" max="3166" width="0" hidden="1" customWidth="1"/>
    <col min="3329" max="3329" width="19.5" customWidth="1"/>
    <col min="3330" max="3330" width="8.6640625" customWidth="1"/>
    <col min="3331" max="3382" width="9.33203125" customWidth="1"/>
    <col min="3383" max="3415" width="10.33203125" customWidth="1"/>
    <col min="3420" max="3420" width="20" customWidth="1"/>
    <col min="3421" max="3421" width="18.83203125" bestFit="1" customWidth="1"/>
    <col min="3422" max="3422" width="0" hidden="1" customWidth="1"/>
    <col min="3585" max="3585" width="19.5" customWidth="1"/>
    <col min="3586" max="3586" width="8.6640625" customWidth="1"/>
    <col min="3587" max="3638" width="9.33203125" customWidth="1"/>
    <col min="3639" max="3671" width="10.33203125" customWidth="1"/>
    <col min="3676" max="3676" width="20" customWidth="1"/>
    <col min="3677" max="3677" width="18.83203125" bestFit="1" customWidth="1"/>
    <col min="3678" max="3678" width="0" hidden="1" customWidth="1"/>
    <col min="3841" max="3841" width="19.5" customWidth="1"/>
    <col min="3842" max="3842" width="8.6640625" customWidth="1"/>
    <col min="3843" max="3894" width="9.33203125" customWidth="1"/>
    <col min="3895" max="3927" width="10.33203125" customWidth="1"/>
    <col min="3932" max="3932" width="20" customWidth="1"/>
    <col min="3933" max="3933" width="18.83203125" bestFit="1" customWidth="1"/>
    <col min="3934" max="3934" width="0" hidden="1" customWidth="1"/>
    <col min="4097" max="4097" width="19.5" customWidth="1"/>
    <col min="4098" max="4098" width="8.6640625" customWidth="1"/>
    <col min="4099" max="4150" width="9.33203125" customWidth="1"/>
    <col min="4151" max="4183" width="10.33203125" customWidth="1"/>
    <col min="4188" max="4188" width="20" customWidth="1"/>
    <col min="4189" max="4189" width="18.83203125" bestFit="1" customWidth="1"/>
    <col min="4190" max="4190" width="0" hidden="1" customWidth="1"/>
    <col min="4353" max="4353" width="19.5" customWidth="1"/>
    <col min="4354" max="4354" width="8.6640625" customWidth="1"/>
    <col min="4355" max="4406" width="9.33203125" customWidth="1"/>
    <col min="4407" max="4439" width="10.33203125" customWidth="1"/>
    <col min="4444" max="4444" width="20" customWidth="1"/>
    <col min="4445" max="4445" width="18.83203125" bestFit="1" customWidth="1"/>
    <col min="4446" max="4446" width="0" hidden="1" customWidth="1"/>
    <col min="4609" max="4609" width="19.5" customWidth="1"/>
    <col min="4610" max="4610" width="8.6640625" customWidth="1"/>
    <col min="4611" max="4662" width="9.33203125" customWidth="1"/>
    <col min="4663" max="4695" width="10.33203125" customWidth="1"/>
    <col min="4700" max="4700" width="20" customWidth="1"/>
    <col min="4701" max="4701" width="18.83203125" bestFit="1" customWidth="1"/>
    <col min="4702" max="4702" width="0" hidden="1" customWidth="1"/>
    <col min="4865" max="4865" width="19.5" customWidth="1"/>
    <col min="4866" max="4866" width="8.6640625" customWidth="1"/>
    <col min="4867" max="4918" width="9.33203125" customWidth="1"/>
    <col min="4919" max="4951" width="10.33203125" customWidth="1"/>
    <col min="4956" max="4956" width="20" customWidth="1"/>
    <col min="4957" max="4957" width="18.83203125" bestFit="1" customWidth="1"/>
    <col min="4958" max="4958" width="0" hidden="1" customWidth="1"/>
    <col min="5121" max="5121" width="19.5" customWidth="1"/>
    <col min="5122" max="5122" width="8.6640625" customWidth="1"/>
    <col min="5123" max="5174" width="9.33203125" customWidth="1"/>
    <col min="5175" max="5207" width="10.33203125" customWidth="1"/>
    <col min="5212" max="5212" width="20" customWidth="1"/>
    <col min="5213" max="5213" width="18.83203125" bestFit="1" customWidth="1"/>
    <col min="5214" max="5214" width="0" hidden="1" customWidth="1"/>
    <col min="5377" max="5377" width="19.5" customWidth="1"/>
    <col min="5378" max="5378" width="8.6640625" customWidth="1"/>
    <col min="5379" max="5430" width="9.33203125" customWidth="1"/>
    <col min="5431" max="5463" width="10.33203125" customWidth="1"/>
    <col min="5468" max="5468" width="20" customWidth="1"/>
    <col min="5469" max="5469" width="18.83203125" bestFit="1" customWidth="1"/>
    <col min="5470" max="5470" width="0" hidden="1" customWidth="1"/>
    <col min="5633" max="5633" width="19.5" customWidth="1"/>
    <col min="5634" max="5634" width="8.6640625" customWidth="1"/>
    <col min="5635" max="5686" width="9.33203125" customWidth="1"/>
    <col min="5687" max="5719" width="10.33203125" customWidth="1"/>
    <col min="5724" max="5724" width="20" customWidth="1"/>
    <col min="5725" max="5725" width="18.83203125" bestFit="1" customWidth="1"/>
    <col min="5726" max="5726" width="0" hidden="1" customWidth="1"/>
    <col min="5889" max="5889" width="19.5" customWidth="1"/>
    <col min="5890" max="5890" width="8.6640625" customWidth="1"/>
    <col min="5891" max="5942" width="9.33203125" customWidth="1"/>
    <col min="5943" max="5975" width="10.33203125" customWidth="1"/>
    <col min="5980" max="5980" width="20" customWidth="1"/>
    <col min="5981" max="5981" width="18.83203125" bestFit="1" customWidth="1"/>
    <col min="5982" max="5982" width="0" hidden="1" customWidth="1"/>
    <col min="6145" max="6145" width="19.5" customWidth="1"/>
    <col min="6146" max="6146" width="8.6640625" customWidth="1"/>
    <col min="6147" max="6198" width="9.33203125" customWidth="1"/>
    <col min="6199" max="6231" width="10.33203125" customWidth="1"/>
    <col min="6236" max="6236" width="20" customWidth="1"/>
    <col min="6237" max="6237" width="18.83203125" bestFit="1" customWidth="1"/>
    <col min="6238" max="6238" width="0" hidden="1" customWidth="1"/>
    <col min="6401" max="6401" width="19.5" customWidth="1"/>
    <col min="6402" max="6402" width="8.6640625" customWidth="1"/>
    <col min="6403" max="6454" width="9.33203125" customWidth="1"/>
    <col min="6455" max="6487" width="10.33203125" customWidth="1"/>
    <col min="6492" max="6492" width="20" customWidth="1"/>
    <col min="6493" max="6493" width="18.83203125" bestFit="1" customWidth="1"/>
    <col min="6494" max="6494" width="0" hidden="1" customWidth="1"/>
    <col min="6657" max="6657" width="19.5" customWidth="1"/>
    <col min="6658" max="6658" width="8.6640625" customWidth="1"/>
    <col min="6659" max="6710" width="9.33203125" customWidth="1"/>
    <col min="6711" max="6743" width="10.33203125" customWidth="1"/>
    <col min="6748" max="6748" width="20" customWidth="1"/>
    <col min="6749" max="6749" width="18.83203125" bestFit="1" customWidth="1"/>
    <col min="6750" max="6750" width="0" hidden="1" customWidth="1"/>
    <col min="6913" max="6913" width="19.5" customWidth="1"/>
    <col min="6914" max="6914" width="8.6640625" customWidth="1"/>
    <col min="6915" max="6966" width="9.33203125" customWidth="1"/>
    <col min="6967" max="6999" width="10.33203125" customWidth="1"/>
    <col min="7004" max="7004" width="20" customWidth="1"/>
    <col min="7005" max="7005" width="18.83203125" bestFit="1" customWidth="1"/>
    <col min="7006" max="7006" width="0" hidden="1" customWidth="1"/>
    <col min="7169" max="7169" width="19.5" customWidth="1"/>
    <col min="7170" max="7170" width="8.6640625" customWidth="1"/>
    <col min="7171" max="7222" width="9.33203125" customWidth="1"/>
    <col min="7223" max="7255" width="10.33203125" customWidth="1"/>
    <col min="7260" max="7260" width="20" customWidth="1"/>
    <col min="7261" max="7261" width="18.83203125" bestFit="1" customWidth="1"/>
    <col min="7262" max="7262" width="0" hidden="1" customWidth="1"/>
    <col min="7425" max="7425" width="19.5" customWidth="1"/>
    <col min="7426" max="7426" width="8.6640625" customWidth="1"/>
    <col min="7427" max="7478" width="9.33203125" customWidth="1"/>
    <col min="7479" max="7511" width="10.33203125" customWidth="1"/>
    <col min="7516" max="7516" width="20" customWidth="1"/>
    <col min="7517" max="7517" width="18.83203125" bestFit="1" customWidth="1"/>
    <col min="7518" max="7518" width="0" hidden="1" customWidth="1"/>
    <col min="7681" max="7681" width="19.5" customWidth="1"/>
    <col min="7682" max="7682" width="8.6640625" customWidth="1"/>
    <col min="7683" max="7734" width="9.33203125" customWidth="1"/>
    <col min="7735" max="7767" width="10.33203125" customWidth="1"/>
    <col min="7772" max="7772" width="20" customWidth="1"/>
    <col min="7773" max="7773" width="18.83203125" bestFit="1" customWidth="1"/>
    <col min="7774" max="7774" width="0" hidden="1" customWidth="1"/>
    <col min="7937" max="7937" width="19.5" customWidth="1"/>
    <col min="7938" max="7938" width="8.6640625" customWidth="1"/>
    <col min="7939" max="7990" width="9.33203125" customWidth="1"/>
    <col min="7991" max="8023" width="10.33203125" customWidth="1"/>
    <col min="8028" max="8028" width="20" customWidth="1"/>
    <col min="8029" max="8029" width="18.83203125" bestFit="1" customWidth="1"/>
    <col min="8030" max="8030" width="0" hidden="1" customWidth="1"/>
    <col min="8193" max="8193" width="19.5" customWidth="1"/>
    <col min="8194" max="8194" width="8.6640625" customWidth="1"/>
    <col min="8195" max="8246" width="9.33203125" customWidth="1"/>
    <col min="8247" max="8279" width="10.33203125" customWidth="1"/>
    <col min="8284" max="8284" width="20" customWidth="1"/>
    <col min="8285" max="8285" width="18.83203125" bestFit="1" customWidth="1"/>
    <col min="8286" max="8286" width="0" hidden="1" customWidth="1"/>
    <col min="8449" max="8449" width="19.5" customWidth="1"/>
    <col min="8450" max="8450" width="8.6640625" customWidth="1"/>
    <col min="8451" max="8502" width="9.33203125" customWidth="1"/>
    <col min="8503" max="8535" width="10.33203125" customWidth="1"/>
    <col min="8540" max="8540" width="20" customWidth="1"/>
    <col min="8541" max="8541" width="18.83203125" bestFit="1" customWidth="1"/>
    <col min="8542" max="8542" width="0" hidden="1" customWidth="1"/>
    <col min="8705" max="8705" width="19.5" customWidth="1"/>
    <col min="8706" max="8706" width="8.6640625" customWidth="1"/>
    <col min="8707" max="8758" width="9.33203125" customWidth="1"/>
    <col min="8759" max="8791" width="10.33203125" customWidth="1"/>
    <col min="8796" max="8796" width="20" customWidth="1"/>
    <col min="8797" max="8797" width="18.83203125" bestFit="1" customWidth="1"/>
    <col min="8798" max="8798" width="0" hidden="1" customWidth="1"/>
    <col min="8961" max="8961" width="19.5" customWidth="1"/>
    <col min="8962" max="8962" width="8.6640625" customWidth="1"/>
    <col min="8963" max="9014" width="9.33203125" customWidth="1"/>
    <col min="9015" max="9047" width="10.33203125" customWidth="1"/>
    <col min="9052" max="9052" width="20" customWidth="1"/>
    <col min="9053" max="9053" width="18.83203125" bestFit="1" customWidth="1"/>
    <col min="9054" max="9054" width="0" hidden="1" customWidth="1"/>
    <col min="9217" max="9217" width="19.5" customWidth="1"/>
    <col min="9218" max="9218" width="8.6640625" customWidth="1"/>
    <col min="9219" max="9270" width="9.33203125" customWidth="1"/>
    <col min="9271" max="9303" width="10.33203125" customWidth="1"/>
    <col min="9308" max="9308" width="20" customWidth="1"/>
    <col min="9309" max="9309" width="18.83203125" bestFit="1" customWidth="1"/>
    <col min="9310" max="9310" width="0" hidden="1" customWidth="1"/>
    <col min="9473" max="9473" width="19.5" customWidth="1"/>
    <col min="9474" max="9474" width="8.6640625" customWidth="1"/>
    <col min="9475" max="9526" width="9.33203125" customWidth="1"/>
    <col min="9527" max="9559" width="10.33203125" customWidth="1"/>
    <col min="9564" max="9564" width="20" customWidth="1"/>
    <col min="9565" max="9565" width="18.83203125" bestFit="1" customWidth="1"/>
    <col min="9566" max="9566" width="0" hidden="1" customWidth="1"/>
    <col min="9729" max="9729" width="19.5" customWidth="1"/>
    <col min="9730" max="9730" width="8.6640625" customWidth="1"/>
    <col min="9731" max="9782" width="9.33203125" customWidth="1"/>
    <col min="9783" max="9815" width="10.33203125" customWidth="1"/>
    <col min="9820" max="9820" width="20" customWidth="1"/>
    <col min="9821" max="9821" width="18.83203125" bestFit="1" customWidth="1"/>
    <col min="9822" max="9822" width="0" hidden="1" customWidth="1"/>
    <col min="9985" max="9985" width="19.5" customWidth="1"/>
    <col min="9986" max="9986" width="8.6640625" customWidth="1"/>
    <col min="9987" max="10038" width="9.33203125" customWidth="1"/>
    <col min="10039" max="10071" width="10.33203125" customWidth="1"/>
    <col min="10076" max="10076" width="20" customWidth="1"/>
    <col min="10077" max="10077" width="18.83203125" bestFit="1" customWidth="1"/>
    <col min="10078" max="10078" width="0" hidden="1" customWidth="1"/>
    <col min="10241" max="10241" width="19.5" customWidth="1"/>
    <col min="10242" max="10242" width="8.6640625" customWidth="1"/>
    <col min="10243" max="10294" width="9.33203125" customWidth="1"/>
    <col min="10295" max="10327" width="10.33203125" customWidth="1"/>
    <col min="10332" max="10332" width="20" customWidth="1"/>
    <col min="10333" max="10333" width="18.83203125" bestFit="1" customWidth="1"/>
    <col min="10334" max="10334" width="0" hidden="1" customWidth="1"/>
    <col min="10497" max="10497" width="19.5" customWidth="1"/>
    <col min="10498" max="10498" width="8.6640625" customWidth="1"/>
    <col min="10499" max="10550" width="9.33203125" customWidth="1"/>
    <col min="10551" max="10583" width="10.33203125" customWidth="1"/>
    <col min="10588" max="10588" width="20" customWidth="1"/>
    <col min="10589" max="10589" width="18.83203125" bestFit="1" customWidth="1"/>
    <col min="10590" max="10590" width="0" hidden="1" customWidth="1"/>
    <col min="10753" max="10753" width="19.5" customWidth="1"/>
    <col min="10754" max="10754" width="8.6640625" customWidth="1"/>
    <col min="10755" max="10806" width="9.33203125" customWidth="1"/>
    <col min="10807" max="10839" width="10.33203125" customWidth="1"/>
    <col min="10844" max="10844" width="20" customWidth="1"/>
    <col min="10845" max="10845" width="18.83203125" bestFit="1" customWidth="1"/>
    <col min="10846" max="10846" width="0" hidden="1" customWidth="1"/>
    <col min="11009" max="11009" width="19.5" customWidth="1"/>
    <col min="11010" max="11010" width="8.6640625" customWidth="1"/>
    <col min="11011" max="11062" width="9.33203125" customWidth="1"/>
    <col min="11063" max="11095" width="10.33203125" customWidth="1"/>
    <col min="11100" max="11100" width="20" customWidth="1"/>
    <col min="11101" max="11101" width="18.83203125" bestFit="1" customWidth="1"/>
    <col min="11102" max="11102" width="0" hidden="1" customWidth="1"/>
    <col min="11265" max="11265" width="19.5" customWidth="1"/>
    <col min="11266" max="11266" width="8.6640625" customWidth="1"/>
    <col min="11267" max="11318" width="9.33203125" customWidth="1"/>
    <col min="11319" max="11351" width="10.33203125" customWidth="1"/>
    <col min="11356" max="11356" width="20" customWidth="1"/>
    <col min="11357" max="11357" width="18.83203125" bestFit="1" customWidth="1"/>
    <col min="11358" max="11358" width="0" hidden="1" customWidth="1"/>
    <col min="11521" max="11521" width="19.5" customWidth="1"/>
    <col min="11522" max="11522" width="8.6640625" customWidth="1"/>
    <col min="11523" max="11574" width="9.33203125" customWidth="1"/>
    <col min="11575" max="11607" width="10.33203125" customWidth="1"/>
    <col min="11612" max="11612" width="20" customWidth="1"/>
    <col min="11613" max="11613" width="18.83203125" bestFit="1" customWidth="1"/>
    <col min="11614" max="11614" width="0" hidden="1" customWidth="1"/>
    <col min="11777" max="11777" width="19.5" customWidth="1"/>
    <col min="11778" max="11778" width="8.6640625" customWidth="1"/>
    <col min="11779" max="11830" width="9.33203125" customWidth="1"/>
    <col min="11831" max="11863" width="10.33203125" customWidth="1"/>
    <col min="11868" max="11868" width="20" customWidth="1"/>
    <col min="11869" max="11869" width="18.83203125" bestFit="1" customWidth="1"/>
    <col min="11870" max="11870" width="0" hidden="1" customWidth="1"/>
    <col min="12033" max="12033" width="19.5" customWidth="1"/>
    <col min="12034" max="12034" width="8.6640625" customWidth="1"/>
    <col min="12035" max="12086" width="9.33203125" customWidth="1"/>
    <col min="12087" max="12119" width="10.33203125" customWidth="1"/>
    <col min="12124" max="12124" width="20" customWidth="1"/>
    <col min="12125" max="12125" width="18.83203125" bestFit="1" customWidth="1"/>
    <col min="12126" max="12126" width="0" hidden="1" customWidth="1"/>
    <col min="12289" max="12289" width="19.5" customWidth="1"/>
    <col min="12290" max="12290" width="8.6640625" customWidth="1"/>
    <col min="12291" max="12342" width="9.33203125" customWidth="1"/>
    <col min="12343" max="12375" width="10.33203125" customWidth="1"/>
    <col min="12380" max="12380" width="20" customWidth="1"/>
    <col min="12381" max="12381" width="18.83203125" bestFit="1" customWidth="1"/>
    <col min="12382" max="12382" width="0" hidden="1" customWidth="1"/>
    <col min="12545" max="12545" width="19.5" customWidth="1"/>
    <col min="12546" max="12546" width="8.6640625" customWidth="1"/>
    <col min="12547" max="12598" width="9.33203125" customWidth="1"/>
    <col min="12599" max="12631" width="10.33203125" customWidth="1"/>
    <col min="12636" max="12636" width="20" customWidth="1"/>
    <col min="12637" max="12637" width="18.83203125" bestFit="1" customWidth="1"/>
    <col min="12638" max="12638" width="0" hidden="1" customWidth="1"/>
    <col min="12801" max="12801" width="19.5" customWidth="1"/>
    <col min="12802" max="12802" width="8.6640625" customWidth="1"/>
    <col min="12803" max="12854" width="9.33203125" customWidth="1"/>
    <col min="12855" max="12887" width="10.33203125" customWidth="1"/>
    <col min="12892" max="12892" width="20" customWidth="1"/>
    <col min="12893" max="12893" width="18.83203125" bestFit="1" customWidth="1"/>
    <col min="12894" max="12894" width="0" hidden="1" customWidth="1"/>
    <col min="13057" max="13057" width="19.5" customWidth="1"/>
    <col min="13058" max="13058" width="8.6640625" customWidth="1"/>
    <col min="13059" max="13110" width="9.33203125" customWidth="1"/>
    <col min="13111" max="13143" width="10.33203125" customWidth="1"/>
    <col min="13148" max="13148" width="20" customWidth="1"/>
    <col min="13149" max="13149" width="18.83203125" bestFit="1" customWidth="1"/>
    <col min="13150" max="13150" width="0" hidden="1" customWidth="1"/>
    <col min="13313" max="13313" width="19.5" customWidth="1"/>
    <col min="13314" max="13314" width="8.6640625" customWidth="1"/>
    <col min="13315" max="13366" width="9.33203125" customWidth="1"/>
    <col min="13367" max="13399" width="10.33203125" customWidth="1"/>
    <col min="13404" max="13404" width="20" customWidth="1"/>
    <col min="13405" max="13405" width="18.83203125" bestFit="1" customWidth="1"/>
    <col min="13406" max="13406" width="0" hidden="1" customWidth="1"/>
    <col min="13569" max="13569" width="19.5" customWidth="1"/>
    <col min="13570" max="13570" width="8.6640625" customWidth="1"/>
    <col min="13571" max="13622" width="9.33203125" customWidth="1"/>
    <col min="13623" max="13655" width="10.33203125" customWidth="1"/>
    <col min="13660" max="13660" width="20" customWidth="1"/>
    <col min="13661" max="13661" width="18.83203125" bestFit="1" customWidth="1"/>
    <col min="13662" max="13662" width="0" hidden="1" customWidth="1"/>
    <col min="13825" max="13825" width="19.5" customWidth="1"/>
    <col min="13826" max="13826" width="8.6640625" customWidth="1"/>
    <col min="13827" max="13878" width="9.33203125" customWidth="1"/>
    <col min="13879" max="13911" width="10.33203125" customWidth="1"/>
    <col min="13916" max="13916" width="20" customWidth="1"/>
    <col min="13917" max="13917" width="18.83203125" bestFit="1" customWidth="1"/>
    <col min="13918" max="13918" width="0" hidden="1" customWidth="1"/>
    <col min="14081" max="14081" width="19.5" customWidth="1"/>
    <col min="14082" max="14082" width="8.6640625" customWidth="1"/>
    <col min="14083" max="14134" width="9.33203125" customWidth="1"/>
    <col min="14135" max="14167" width="10.33203125" customWidth="1"/>
    <col min="14172" max="14172" width="20" customWidth="1"/>
    <col min="14173" max="14173" width="18.83203125" bestFit="1" customWidth="1"/>
    <col min="14174" max="14174" width="0" hidden="1" customWidth="1"/>
    <col min="14337" max="14337" width="19.5" customWidth="1"/>
    <col min="14338" max="14338" width="8.6640625" customWidth="1"/>
    <col min="14339" max="14390" width="9.33203125" customWidth="1"/>
    <col min="14391" max="14423" width="10.33203125" customWidth="1"/>
    <col min="14428" max="14428" width="20" customWidth="1"/>
    <col min="14429" max="14429" width="18.83203125" bestFit="1" customWidth="1"/>
    <col min="14430" max="14430" width="0" hidden="1" customWidth="1"/>
    <col min="14593" max="14593" width="19.5" customWidth="1"/>
    <col min="14594" max="14594" width="8.6640625" customWidth="1"/>
    <col min="14595" max="14646" width="9.33203125" customWidth="1"/>
    <col min="14647" max="14679" width="10.33203125" customWidth="1"/>
    <col min="14684" max="14684" width="20" customWidth="1"/>
    <col min="14685" max="14685" width="18.83203125" bestFit="1" customWidth="1"/>
    <col min="14686" max="14686" width="0" hidden="1" customWidth="1"/>
    <col min="14849" max="14849" width="19.5" customWidth="1"/>
    <col min="14850" max="14850" width="8.6640625" customWidth="1"/>
    <col min="14851" max="14902" width="9.33203125" customWidth="1"/>
    <col min="14903" max="14935" width="10.33203125" customWidth="1"/>
    <col min="14940" max="14940" width="20" customWidth="1"/>
    <col min="14941" max="14941" width="18.83203125" bestFit="1" customWidth="1"/>
    <col min="14942" max="14942" width="0" hidden="1" customWidth="1"/>
    <col min="15105" max="15105" width="19.5" customWidth="1"/>
    <col min="15106" max="15106" width="8.6640625" customWidth="1"/>
    <col min="15107" max="15158" width="9.33203125" customWidth="1"/>
    <col min="15159" max="15191" width="10.33203125" customWidth="1"/>
    <col min="15196" max="15196" width="20" customWidth="1"/>
    <col min="15197" max="15197" width="18.83203125" bestFit="1" customWidth="1"/>
    <col min="15198" max="15198" width="0" hidden="1" customWidth="1"/>
    <col min="15361" max="15361" width="19.5" customWidth="1"/>
    <col min="15362" max="15362" width="8.6640625" customWidth="1"/>
    <col min="15363" max="15414" width="9.33203125" customWidth="1"/>
    <col min="15415" max="15447" width="10.33203125" customWidth="1"/>
    <col min="15452" max="15452" width="20" customWidth="1"/>
    <col min="15453" max="15453" width="18.83203125" bestFit="1" customWidth="1"/>
    <col min="15454" max="15454" width="0" hidden="1" customWidth="1"/>
    <col min="15617" max="15617" width="19.5" customWidth="1"/>
    <col min="15618" max="15618" width="8.6640625" customWidth="1"/>
    <col min="15619" max="15670" width="9.33203125" customWidth="1"/>
    <col min="15671" max="15703" width="10.33203125" customWidth="1"/>
    <col min="15708" max="15708" width="20" customWidth="1"/>
    <col min="15709" max="15709" width="18.83203125" bestFit="1" customWidth="1"/>
    <col min="15710" max="15710" width="0" hidden="1" customWidth="1"/>
    <col min="15873" max="15873" width="19.5" customWidth="1"/>
    <col min="15874" max="15874" width="8.6640625" customWidth="1"/>
    <col min="15875" max="15926" width="9.33203125" customWidth="1"/>
    <col min="15927" max="15959" width="10.33203125" customWidth="1"/>
    <col min="15964" max="15964" width="20" customWidth="1"/>
    <col min="15965" max="15965" width="18.83203125" bestFit="1" customWidth="1"/>
    <col min="15966" max="15966" width="0" hidden="1" customWidth="1"/>
    <col min="16129" max="16129" width="19.5" customWidth="1"/>
    <col min="16130" max="16130" width="8.6640625" customWidth="1"/>
    <col min="16131" max="16182" width="9.33203125" customWidth="1"/>
    <col min="16183" max="16215" width="10.33203125" customWidth="1"/>
    <col min="16220" max="16220" width="20" customWidth="1"/>
    <col min="16221" max="16221" width="18.83203125" bestFit="1" customWidth="1"/>
    <col min="16222" max="16222" width="0" hidden="1" customWidth="1"/>
  </cols>
  <sheetData>
    <row r="1" spans="1:94">
      <c r="A1" s="669" t="s">
        <v>1921</v>
      </c>
      <c r="B1" s="670"/>
      <c r="C1" s="670"/>
      <c r="D1" s="670"/>
      <c r="E1" s="670"/>
      <c r="F1" s="670"/>
      <c r="G1" s="670"/>
      <c r="H1" s="670"/>
      <c r="I1" s="670"/>
      <c r="J1" s="670"/>
      <c r="K1" s="670"/>
      <c r="L1" s="670"/>
      <c r="M1" s="670"/>
      <c r="N1" s="670"/>
      <c r="O1" s="670"/>
      <c r="P1" s="670"/>
      <c r="Q1" s="670"/>
      <c r="R1" s="670"/>
      <c r="S1" s="670"/>
      <c r="T1" s="670"/>
      <c r="U1" s="670"/>
      <c r="V1" s="670"/>
      <c r="W1" s="670"/>
      <c r="X1" s="670"/>
      <c r="Y1" s="670"/>
      <c r="Z1" s="670"/>
      <c r="AA1" s="670"/>
      <c r="AB1" s="670"/>
      <c r="AC1" s="670"/>
      <c r="AD1" s="670"/>
      <c r="AE1" s="670"/>
      <c r="AF1" s="670"/>
      <c r="AG1" s="670"/>
      <c r="AH1" s="670"/>
      <c r="AI1" s="670"/>
      <c r="AJ1" s="670"/>
      <c r="AK1" s="670"/>
      <c r="AL1" s="670"/>
      <c r="AM1" s="670"/>
      <c r="AN1" s="670"/>
      <c r="AO1" s="670"/>
      <c r="AP1" s="670"/>
      <c r="AQ1" s="670"/>
      <c r="AR1" s="670"/>
      <c r="AS1" s="670"/>
      <c r="AT1" s="670"/>
      <c r="AU1" s="670"/>
      <c r="AV1" s="670"/>
      <c r="AW1" s="670"/>
      <c r="AX1" s="670"/>
      <c r="AY1" s="670"/>
      <c r="AZ1" s="670"/>
      <c r="BA1" s="670"/>
      <c r="BB1" s="670"/>
      <c r="BC1" s="670"/>
      <c r="BD1" s="670"/>
      <c r="BE1" s="670"/>
      <c r="BF1" s="670"/>
      <c r="BG1" s="670"/>
      <c r="BH1" s="670"/>
      <c r="BI1" s="670"/>
      <c r="BJ1" s="670"/>
      <c r="BK1" s="670"/>
      <c r="BL1" s="670"/>
      <c r="BM1" s="670"/>
      <c r="BN1" s="670"/>
      <c r="BO1" s="670"/>
      <c r="BP1" s="670"/>
      <c r="BQ1" s="670"/>
      <c r="BR1" s="670"/>
      <c r="BS1" s="670"/>
      <c r="BT1" s="670"/>
      <c r="BU1" s="670"/>
      <c r="BV1" s="670"/>
      <c r="BW1" s="670"/>
      <c r="BX1" s="670"/>
      <c r="BY1" s="670"/>
      <c r="BZ1" s="670"/>
      <c r="CA1" s="670"/>
      <c r="CB1" s="670"/>
      <c r="CC1" s="670"/>
      <c r="CD1" s="670"/>
      <c r="CE1" s="670"/>
      <c r="CF1" s="670"/>
      <c r="CG1" s="670"/>
      <c r="CH1" s="670"/>
      <c r="CI1" s="670"/>
      <c r="CJ1" s="670"/>
      <c r="CK1" s="670"/>
      <c r="CL1" s="670"/>
      <c r="CM1" s="670"/>
      <c r="CN1" s="670"/>
    </row>
    <row r="2" spans="1:94" ht="9" customHeight="1" thickBot="1">
      <c r="A2" s="385"/>
      <c r="B2" s="315"/>
      <c r="C2" s="315"/>
      <c r="D2" s="315"/>
      <c r="E2" s="315"/>
      <c r="F2" s="315"/>
      <c r="G2" s="315"/>
      <c r="H2" s="315"/>
      <c r="I2" s="315"/>
      <c r="J2" s="315"/>
      <c r="K2" s="315"/>
      <c r="L2" s="315"/>
      <c r="M2" s="315"/>
      <c r="N2" s="315"/>
      <c r="O2" s="315"/>
      <c r="P2" s="315"/>
      <c r="Q2" s="315"/>
      <c r="R2" s="315"/>
      <c r="S2" s="315"/>
      <c r="T2" s="315"/>
      <c r="U2" s="315"/>
      <c r="V2" s="315"/>
      <c r="W2" s="315"/>
      <c r="X2" s="315"/>
      <c r="Y2" s="315"/>
      <c r="Z2" s="315"/>
      <c r="AA2" s="315"/>
      <c r="AB2" s="315"/>
      <c r="AC2" s="315"/>
      <c r="AD2" s="315"/>
      <c r="AE2" s="315"/>
      <c r="AF2" s="315"/>
      <c r="AG2" s="315"/>
      <c r="AH2" s="315"/>
      <c r="AI2" s="315"/>
      <c r="AJ2" s="315"/>
      <c r="AK2" s="315"/>
      <c r="AL2" s="315"/>
      <c r="AM2" s="315"/>
      <c r="AN2" s="315"/>
      <c r="AO2" s="315"/>
      <c r="AP2" s="315"/>
      <c r="AQ2" s="315"/>
      <c r="AR2" s="315"/>
      <c r="AS2" s="315"/>
      <c r="AT2" s="315"/>
      <c r="AU2" s="315"/>
      <c r="AV2" s="315"/>
      <c r="AW2" s="315"/>
      <c r="AX2" s="315"/>
      <c r="AY2" s="315"/>
      <c r="AZ2" s="315"/>
      <c r="BA2" s="315"/>
      <c r="BB2" s="315"/>
      <c r="BC2" s="315"/>
      <c r="BD2" s="315"/>
      <c r="BE2" s="315"/>
      <c r="BF2" s="315"/>
      <c r="BG2" s="315"/>
      <c r="BH2" s="315"/>
      <c r="BI2" s="315"/>
      <c r="BJ2" s="315"/>
      <c r="BK2" s="315"/>
      <c r="BL2" s="315"/>
      <c r="BM2" s="315"/>
      <c r="BN2" s="315"/>
      <c r="BO2" s="315"/>
      <c r="BP2" s="315"/>
      <c r="BQ2" s="315"/>
      <c r="BR2" s="315"/>
      <c r="BS2" s="315"/>
      <c r="BT2" s="315"/>
      <c r="BU2" s="315"/>
      <c r="BV2" s="315"/>
      <c r="BW2" s="315"/>
      <c r="BX2" s="315"/>
      <c r="BY2" s="315"/>
      <c r="BZ2" s="315"/>
      <c r="CA2" s="315"/>
      <c r="CB2" s="315"/>
      <c r="CC2" s="315"/>
      <c r="CD2" s="315"/>
      <c r="CE2" s="315"/>
      <c r="CF2" s="315"/>
      <c r="CG2" s="315"/>
      <c r="CH2" s="315"/>
      <c r="CI2" s="315"/>
      <c r="CJ2" s="315"/>
      <c r="CK2" s="315"/>
      <c r="CL2" s="315"/>
      <c r="CM2" s="315"/>
      <c r="CN2" s="315"/>
    </row>
    <row r="3" spans="1:94" ht="13.5" customHeight="1">
      <c r="A3" s="671" t="s">
        <v>1922</v>
      </c>
      <c r="B3" s="386" t="s">
        <v>1923</v>
      </c>
      <c r="C3" s="387"/>
      <c r="D3" s="387"/>
      <c r="E3" s="387"/>
      <c r="F3" s="387"/>
      <c r="G3" s="387"/>
      <c r="H3" s="387"/>
      <c r="I3" s="387"/>
      <c r="J3" s="387"/>
      <c r="K3" s="387"/>
      <c r="L3" s="387"/>
      <c r="M3" s="388"/>
      <c r="N3" s="388"/>
      <c r="O3" s="388"/>
      <c r="P3" s="388"/>
      <c r="Q3" s="388"/>
      <c r="R3" s="388"/>
      <c r="S3" s="388"/>
      <c r="T3" s="673"/>
      <c r="U3" s="575"/>
      <c r="V3" s="575"/>
      <c r="W3" s="575"/>
      <c r="X3" s="575"/>
      <c r="Y3" s="575"/>
      <c r="Z3" s="575"/>
      <c r="AA3" s="575"/>
      <c r="AB3" s="575"/>
      <c r="AC3" s="575"/>
      <c r="AD3" s="575"/>
      <c r="AE3" s="575"/>
      <c r="AF3" s="575"/>
      <c r="AG3" s="575"/>
      <c r="AH3" s="575"/>
      <c r="AI3" s="575"/>
      <c r="AJ3" s="575"/>
      <c r="AK3" s="575"/>
      <c r="AL3" s="575"/>
      <c r="AM3" s="575"/>
      <c r="AN3" s="575"/>
      <c r="AO3" s="575"/>
      <c r="AP3" s="575"/>
      <c r="AQ3" s="575"/>
      <c r="AR3" s="575"/>
      <c r="AS3" s="576"/>
      <c r="AT3" s="389"/>
      <c r="AU3" s="389"/>
      <c r="AV3" s="389"/>
      <c r="AW3" s="389"/>
      <c r="AX3" s="389"/>
      <c r="AY3" s="389"/>
      <c r="AZ3" s="389"/>
      <c r="BA3" s="389"/>
      <c r="BB3" s="389"/>
      <c r="BC3" s="389"/>
      <c r="BD3" s="389"/>
      <c r="BE3" s="389"/>
      <c r="BF3" s="389"/>
      <c r="BG3" s="389"/>
      <c r="BH3" s="389"/>
      <c r="BI3" s="389"/>
      <c r="BJ3" s="389"/>
      <c r="BK3" s="389"/>
      <c r="BL3" s="389"/>
      <c r="BM3" s="389"/>
      <c r="BN3" s="389"/>
      <c r="BO3" s="389"/>
      <c r="BP3" s="389"/>
      <c r="BQ3" s="389"/>
      <c r="BR3" s="389"/>
      <c r="BS3" s="389"/>
      <c r="BT3" s="389"/>
      <c r="BU3" s="389"/>
      <c r="BV3" s="389"/>
      <c r="BW3" s="389"/>
      <c r="BX3" s="389"/>
      <c r="BY3" s="389"/>
      <c r="BZ3" s="389"/>
      <c r="CA3" s="389"/>
      <c r="CB3" s="389"/>
      <c r="CC3" s="389"/>
      <c r="CD3" s="389"/>
      <c r="CE3" s="389"/>
      <c r="CF3" s="389"/>
      <c r="CG3" s="389"/>
      <c r="CH3" s="389"/>
      <c r="CI3" s="389"/>
      <c r="CJ3" s="674" t="s">
        <v>1924</v>
      </c>
      <c r="CK3" s="675"/>
      <c r="CL3" s="675"/>
      <c r="CM3" s="675"/>
      <c r="CN3" s="676"/>
    </row>
    <row r="4" spans="1:94" s="78" customFormat="1" ht="12.75" customHeight="1">
      <c r="A4" s="672"/>
      <c r="B4" s="390">
        <v>40453</v>
      </c>
      <c r="C4" s="391">
        <v>40460</v>
      </c>
      <c r="D4" s="391">
        <v>40467</v>
      </c>
      <c r="E4" s="391">
        <v>40474</v>
      </c>
      <c r="F4" s="391">
        <v>40481</v>
      </c>
      <c r="G4" s="391">
        <v>40488</v>
      </c>
      <c r="H4" s="391">
        <v>40495</v>
      </c>
      <c r="I4" s="391">
        <v>40502</v>
      </c>
      <c r="J4" s="391">
        <v>40509</v>
      </c>
      <c r="K4" s="391">
        <v>40516</v>
      </c>
      <c r="L4" s="391">
        <v>40523</v>
      </c>
      <c r="M4" s="391">
        <v>40530</v>
      </c>
      <c r="N4" s="391">
        <v>40537</v>
      </c>
      <c r="O4" s="391">
        <v>40544</v>
      </c>
      <c r="P4" s="391">
        <v>40551</v>
      </c>
      <c r="Q4" s="391">
        <v>40558</v>
      </c>
      <c r="R4" s="391">
        <v>40564</v>
      </c>
      <c r="S4" s="390">
        <v>40571</v>
      </c>
      <c r="T4" s="390">
        <v>40578</v>
      </c>
      <c r="U4" s="390">
        <v>40585</v>
      </c>
      <c r="V4" s="390">
        <v>40592</v>
      </c>
      <c r="W4" s="390">
        <v>40599</v>
      </c>
      <c r="X4" s="390">
        <v>40606</v>
      </c>
      <c r="Y4" s="390">
        <v>40613</v>
      </c>
      <c r="Z4" s="390">
        <v>40620</v>
      </c>
      <c r="AA4" s="390">
        <v>40627</v>
      </c>
      <c r="AB4" s="390">
        <v>40634</v>
      </c>
      <c r="AC4" s="390">
        <v>40641</v>
      </c>
      <c r="AD4" s="390">
        <v>40648</v>
      </c>
      <c r="AE4" s="390">
        <v>40655</v>
      </c>
      <c r="AF4" s="390">
        <v>40662</v>
      </c>
      <c r="AG4" s="390">
        <v>40669</v>
      </c>
      <c r="AH4" s="390">
        <v>40676</v>
      </c>
      <c r="AI4" s="390">
        <v>40683</v>
      </c>
      <c r="AJ4" s="390">
        <v>40690</v>
      </c>
      <c r="AK4" s="390">
        <v>40697</v>
      </c>
      <c r="AL4" s="390">
        <v>40704</v>
      </c>
      <c r="AM4" s="390">
        <v>40711</v>
      </c>
      <c r="AN4" s="390">
        <v>40718</v>
      </c>
      <c r="AO4" s="390">
        <v>40725</v>
      </c>
      <c r="AP4" s="390">
        <v>40732</v>
      </c>
      <c r="AQ4" s="390">
        <v>40739</v>
      </c>
      <c r="AR4" s="390">
        <v>40746</v>
      </c>
      <c r="AS4" s="390">
        <v>40753</v>
      </c>
      <c r="AT4" s="390">
        <v>40760</v>
      </c>
      <c r="AU4" s="390">
        <v>40767</v>
      </c>
      <c r="AV4" s="390">
        <v>40774</v>
      </c>
      <c r="AW4" s="390">
        <v>40781</v>
      </c>
      <c r="AX4" s="390">
        <v>40788</v>
      </c>
      <c r="AY4" s="390">
        <v>40795</v>
      </c>
      <c r="AZ4" s="390">
        <v>40802</v>
      </c>
      <c r="BA4" s="390">
        <v>40809</v>
      </c>
      <c r="BB4" s="390">
        <v>40816</v>
      </c>
      <c r="BC4" s="390">
        <v>40823</v>
      </c>
      <c r="BD4" s="390">
        <v>40830</v>
      </c>
      <c r="BE4" s="390">
        <v>40837</v>
      </c>
      <c r="BF4" s="390">
        <v>40844</v>
      </c>
      <c r="BG4" s="390">
        <v>40851</v>
      </c>
      <c r="BH4" s="390">
        <v>40858</v>
      </c>
      <c r="BI4" s="390">
        <v>40865</v>
      </c>
      <c r="BJ4" s="390">
        <v>40872</v>
      </c>
      <c r="BK4" s="392">
        <v>40879</v>
      </c>
      <c r="BL4" s="392">
        <v>40886</v>
      </c>
      <c r="BM4" s="392">
        <v>40893</v>
      </c>
      <c r="BN4" s="392">
        <v>40900</v>
      </c>
      <c r="BO4" s="392">
        <v>40907</v>
      </c>
      <c r="BP4" s="392">
        <v>40914</v>
      </c>
      <c r="BQ4" s="392">
        <v>40921</v>
      </c>
      <c r="BR4" s="392">
        <v>40928</v>
      </c>
      <c r="BS4" s="392">
        <v>40935</v>
      </c>
      <c r="BT4" s="392">
        <v>40942</v>
      </c>
      <c r="BU4" s="392">
        <v>40949</v>
      </c>
      <c r="BV4" s="392">
        <v>40956</v>
      </c>
      <c r="BW4" s="392">
        <v>40963</v>
      </c>
      <c r="BX4" s="392">
        <v>40970</v>
      </c>
      <c r="BY4" s="392">
        <v>40977</v>
      </c>
      <c r="BZ4" s="392">
        <v>40984</v>
      </c>
      <c r="CA4" s="392">
        <v>40991</v>
      </c>
      <c r="CB4" s="392">
        <v>40998</v>
      </c>
      <c r="CC4" s="392">
        <v>41005</v>
      </c>
      <c r="CD4" s="392">
        <v>41012</v>
      </c>
      <c r="CE4" s="392">
        <v>41019</v>
      </c>
      <c r="CF4" s="392">
        <v>41026</v>
      </c>
      <c r="CG4" s="392">
        <v>41033</v>
      </c>
      <c r="CH4" s="392">
        <v>41040</v>
      </c>
      <c r="CI4" s="392">
        <v>41047</v>
      </c>
      <c r="CJ4" s="677"/>
      <c r="CK4" s="678"/>
      <c r="CL4" s="678"/>
      <c r="CM4" s="678"/>
      <c r="CN4" s="679"/>
      <c r="CP4" s="78" t="s">
        <v>1925</v>
      </c>
    </row>
    <row r="5" spans="1:94">
      <c r="A5" s="393" t="s">
        <v>1926</v>
      </c>
      <c r="B5" s="394">
        <v>113057</v>
      </c>
      <c r="C5" s="394">
        <v>123006</v>
      </c>
      <c r="D5" s="394">
        <v>92121</v>
      </c>
      <c r="E5" s="394">
        <v>111500</v>
      </c>
      <c r="F5" s="394">
        <v>119598</v>
      </c>
      <c r="G5" s="394">
        <v>122241</v>
      </c>
      <c r="H5" s="394">
        <v>100328</v>
      </c>
      <c r="I5" s="394">
        <v>124486</v>
      </c>
      <c r="J5" s="394">
        <v>86606</v>
      </c>
      <c r="K5" s="394">
        <v>124399</v>
      </c>
      <c r="L5" s="394">
        <v>121235</v>
      </c>
      <c r="M5" s="394">
        <v>121728</v>
      </c>
      <c r="N5" s="394">
        <v>94777</v>
      </c>
      <c r="O5" s="394">
        <v>96714</v>
      </c>
      <c r="P5" s="394">
        <v>121804</v>
      </c>
      <c r="Q5" s="394">
        <v>112423</v>
      </c>
      <c r="R5" s="394">
        <v>115782</v>
      </c>
      <c r="S5" s="394">
        <v>120399</v>
      </c>
      <c r="T5" s="394">
        <v>120399</v>
      </c>
      <c r="U5" s="394">
        <v>120399</v>
      </c>
      <c r="V5" s="394">
        <v>120339</v>
      </c>
      <c r="W5" s="394">
        <v>156736</v>
      </c>
      <c r="X5" s="394">
        <v>212227</v>
      </c>
      <c r="Y5" s="394">
        <v>157687</v>
      </c>
      <c r="Z5" s="394">
        <v>142659</v>
      </c>
      <c r="AA5" s="394">
        <v>145883</v>
      </c>
      <c r="AB5" s="394">
        <v>149292</v>
      </c>
      <c r="AC5" s="394">
        <v>144144</v>
      </c>
      <c r="AD5" s="394">
        <v>139744</v>
      </c>
      <c r="AE5" s="394">
        <v>133896</v>
      </c>
      <c r="AF5" s="394">
        <v>144642</v>
      </c>
      <c r="AG5" s="394">
        <v>138205</v>
      </c>
      <c r="AH5" s="394">
        <v>132419</v>
      </c>
      <c r="AI5" s="394">
        <v>127686</v>
      </c>
      <c r="AJ5" s="394">
        <v>127686</v>
      </c>
      <c r="AK5" s="394">
        <v>104736</v>
      </c>
      <c r="AL5" s="394">
        <v>122092</v>
      </c>
      <c r="AM5" s="394">
        <v>122800</v>
      </c>
      <c r="AN5" s="394">
        <v>113162</v>
      </c>
      <c r="AO5" s="394">
        <v>124482</v>
      </c>
      <c r="AP5" s="394">
        <v>106856</v>
      </c>
      <c r="AQ5" s="394">
        <v>128643</v>
      </c>
      <c r="AR5" s="394">
        <v>137246</v>
      </c>
      <c r="AS5" s="394">
        <v>135731</v>
      </c>
      <c r="AT5" s="394">
        <v>117056</v>
      </c>
      <c r="AU5" s="394">
        <v>113645</v>
      </c>
      <c r="AV5" s="394">
        <v>121301</v>
      </c>
      <c r="AW5" s="394">
        <v>127596</v>
      </c>
      <c r="AX5" s="394">
        <v>130138</v>
      </c>
      <c r="AY5" s="394">
        <v>105722</v>
      </c>
      <c r="AZ5" s="394">
        <v>128323</v>
      </c>
      <c r="BA5" s="394">
        <v>129024</v>
      </c>
      <c r="BB5" s="394">
        <v>115692</v>
      </c>
      <c r="BC5" s="394">
        <v>121098</v>
      </c>
      <c r="BD5" s="394">
        <v>92160</v>
      </c>
      <c r="BE5" s="394">
        <v>113830</v>
      </c>
      <c r="BF5" s="394">
        <v>119000</v>
      </c>
      <c r="BG5" s="394">
        <v>128873</v>
      </c>
      <c r="BH5" s="394">
        <v>92138</v>
      </c>
      <c r="BI5" s="394">
        <v>121420</v>
      </c>
      <c r="BJ5" s="394">
        <v>85831</v>
      </c>
      <c r="BK5" s="394">
        <v>128153</v>
      </c>
      <c r="BL5" s="394">
        <v>136462</v>
      </c>
      <c r="BM5" s="394">
        <v>136937</v>
      </c>
      <c r="BN5" s="394">
        <v>122398</v>
      </c>
      <c r="BO5" s="394">
        <v>127485</v>
      </c>
      <c r="BP5" s="394">
        <v>113065</v>
      </c>
      <c r="BQ5" s="394">
        <v>132923</v>
      </c>
      <c r="BR5" s="394">
        <v>96600</v>
      </c>
      <c r="BS5" s="394">
        <v>116230</v>
      </c>
      <c r="BT5" s="394">
        <v>132283</v>
      </c>
      <c r="BU5" s="394">
        <v>129355</v>
      </c>
      <c r="BV5" s="394">
        <v>135318</v>
      </c>
      <c r="BW5" s="394">
        <v>105618</v>
      </c>
      <c r="BX5" s="394">
        <v>126890</v>
      </c>
      <c r="BY5" s="394">
        <v>117337</v>
      </c>
      <c r="BZ5" s="394">
        <v>112306</v>
      </c>
      <c r="CA5" s="394">
        <v>111833</v>
      </c>
      <c r="CB5" s="394">
        <v>121539</v>
      </c>
      <c r="CC5" s="394">
        <v>107132</v>
      </c>
      <c r="CD5" s="394">
        <v>109125</v>
      </c>
      <c r="CE5" s="394">
        <v>114402</v>
      </c>
      <c r="CF5" s="394">
        <v>112220</v>
      </c>
      <c r="CG5" s="394">
        <v>107999</v>
      </c>
      <c r="CH5" s="394">
        <v>102146</v>
      </c>
      <c r="CI5" s="394"/>
      <c r="CJ5" s="680" t="s">
        <v>1927</v>
      </c>
      <c r="CK5" s="680"/>
      <c r="CL5" s="680"/>
      <c r="CM5" s="680"/>
      <c r="CN5" s="681"/>
      <c r="CO5" s="393" t="s">
        <v>1926</v>
      </c>
      <c r="CP5" t="s">
        <v>1928</v>
      </c>
    </row>
    <row r="6" spans="1:94">
      <c r="A6" s="393" t="s">
        <v>1929</v>
      </c>
      <c r="B6" s="316">
        <v>27939</v>
      </c>
      <c r="C6" s="316">
        <v>26315</v>
      </c>
      <c r="D6" s="316">
        <v>22182</v>
      </c>
      <c r="E6" s="316">
        <v>21319</v>
      </c>
      <c r="F6" s="316">
        <v>23634</v>
      </c>
      <c r="G6" s="316">
        <v>24973</v>
      </c>
      <c r="H6" s="316">
        <v>24772</v>
      </c>
      <c r="I6" s="316">
        <v>23990</v>
      </c>
      <c r="J6" s="316">
        <v>17351</v>
      </c>
      <c r="K6" s="316">
        <v>45990</v>
      </c>
      <c r="L6" s="316">
        <v>45588</v>
      </c>
      <c r="M6" s="316">
        <v>46881</v>
      </c>
      <c r="N6" s="395">
        <v>36858</v>
      </c>
      <c r="O6" s="395">
        <v>45868</v>
      </c>
      <c r="P6" s="395">
        <v>65659</v>
      </c>
      <c r="Q6" s="395">
        <v>63882</v>
      </c>
      <c r="R6" s="395">
        <v>64152</v>
      </c>
      <c r="S6" s="395">
        <v>79048</v>
      </c>
      <c r="T6" s="395">
        <v>111177</v>
      </c>
      <c r="U6" s="395">
        <v>115832</v>
      </c>
      <c r="V6" s="395">
        <v>113243</v>
      </c>
      <c r="W6" s="395">
        <v>123309</v>
      </c>
      <c r="X6" s="395">
        <v>124589</v>
      </c>
      <c r="Y6" s="395">
        <v>135196</v>
      </c>
      <c r="Z6" s="395">
        <v>137344</v>
      </c>
      <c r="AA6" s="395">
        <v>146296</v>
      </c>
      <c r="AB6" s="395">
        <v>127863</v>
      </c>
      <c r="AC6" s="395">
        <v>146486</v>
      </c>
      <c r="AD6" s="395">
        <v>144094</v>
      </c>
      <c r="AE6" s="395">
        <v>147766</v>
      </c>
      <c r="AF6" s="395">
        <v>152540</v>
      </c>
      <c r="AG6" s="395">
        <v>155427</v>
      </c>
      <c r="AH6" s="395">
        <v>160468</v>
      </c>
      <c r="AI6" s="395">
        <v>161711</v>
      </c>
      <c r="AJ6" s="395">
        <v>153915</v>
      </c>
      <c r="AK6" s="395">
        <v>159166</v>
      </c>
      <c r="AL6" s="395">
        <v>163620</v>
      </c>
      <c r="AM6" s="395">
        <v>161207</v>
      </c>
      <c r="AN6" s="395">
        <v>173390</v>
      </c>
      <c r="AO6" s="395">
        <v>176722</v>
      </c>
      <c r="AP6" s="395">
        <v>158781</v>
      </c>
      <c r="AQ6" s="395">
        <v>188420</v>
      </c>
      <c r="AR6" s="395">
        <v>193440</v>
      </c>
      <c r="AS6" s="395">
        <v>207560</v>
      </c>
      <c r="AT6" s="395">
        <v>204013</v>
      </c>
      <c r="AU6" s="395">
        <v>213971</v>
      </c>
      <c r="AV6" s="395">
        <v>212885</v>
      </c>
      <c r="AW6" s="395">
        <v>151940</v>
      </c>
      <c r="AX6" s="395">
        <v>230355</v>
      </c>
      <c r="AY6" s="395">
        <v>195293</v>
      </c>
      <c r="AZ6" s="395">
        <v>219364</v>
      </c>
      <c r="BA6" s="395">
        <v>225631</v>
      </c>
      <c r="BB6" s="395">
        <v>227657</v>
      </c>
      <c r="BC6" s="395">
        <v>224938</v>
      </c>
      <c r="BD6" s="395">
        <v>240786</v>
      </c>
      <c r="BE6" s="395">
        <v>243681</v>
      </c>
      <c r="BF6" s="395">
        <v>247607</v>
      </c>
      <c r="BG6" s="395">
        <v>251553</v>
      </c>
      <c r="BH6" s="395">
        <v>233919</v>
      </c>
      <c r="BI6" s="395">
        <v>262178</v>
      </c>
      <c r="BJ6" s="395">
        <v>171448</v>
      </c>
      <c r="BK6" s="395">
        <v>276515</v>
      </c>
      <c r="BL6" s="395">
        <v>255143</v>
      </c>
      <c r="BM6" s="395">
        <v>290069</v>
      </c>
      <c r="BN6" s="396">
        <v>281966</v>
      </c>
      <c r="BO6" s="396">
        <v>233679</v>
      </c>
      <c r="BP6" s="396">
        <v>283986</v>
      </c>
      <c r="BQ6" s="396">
        <v>329414</v>
      </c>
      <c r="BR6" s="396">
        <v>296295</v>
      </c>
      <c r="BS6" s="396">
        <v>329048</v>
      </c>
      <c r="BT6" s="396">
        <v>360797</v>
      </c>
      <c r="BU6" s="396">
        <v>320841</v>
      </c>
      <c r="BV6" s="396">
        <v>315714</v>
      </c>
      <c r="BW6" s="396">
        <v>304364</v>
      </c>
      <c r="BX6" s="396">
        <v>341346</v>
      </c>
      <c r="BY6" s="396">
        <v>308803</v>
      </c>
      <c r="BZ6" s="396">
        <v>300721</v>
      </c>
      <c r="CA6" s="396">
        <v>303385</v>
      </c>
      <c r="CB6" s="396">
        <v>321199</v>
      </c>
      <c r="CC6" s="396">
        <v>315231</v>
      </c>
      <c r="CD6" s="396">
        <v>310963</v>
      </c>
      <c r="CE6" s="396">
        <v>334142</v>
      </c>
      <c r="CF6" s="396">
        <v>316352</v>
      </c>
      <c r="CG6" s="396">
        <v>316953</v>
      </c>
      <c r="CH6" s="396">
        <v>304934</v>
      </c>
      <c r="CI6" s="396">
        <v>306379</v>
      </c>
      <c r="CJ6" s="666"/>
      <c r="CK6" s="666"/>
      <c r="CL6" s="666"/>
      <c r="CM6" s="667"/>
      <c r="CN6" s="668"/>
      <c r="CO6" s="393" t="s">
        <v>1929</v>
      </c>
      <c r="CP6" t="s">
        <v>1930</v>
      </c>
    </row>
    <row r="7" spans="1:94">
      <c r="A7" s="393" t="s">
        <v>1931</v>
      </c>
      <c r="B7" s="316">
        <v>10143</v>
      </c>
      <c r="C7" s="316">
        <v>9837</v>
      </c>
      <c r="D7" s="316">
        <v>7761</v>
      </c>
      <c r="E7" s="316">
        <v>9241</v>
      </c>
      <c r="F7" s="316">
        <v>10145</v>
      </c>
      <c r="G7" s="316">
        <v>11010</v>
      </c>
      <c r="H7" s="316">
        <v>10741</v>
      </c>
      <c r="I7" s="316">
        <v>12232</v>
      </c>
      <c r="J7" s="316">
        <v>7813</v>
      </c>
      <c r="K7" s="316">
        <v>14460</v>
      </c>
      <c r="L7" s="316">
        <v>17039</v>
      </c>
      <c r="M7" s="316">
        <v>19308</v>
      </c>
      <c r="N7" s="395">
        <v>17610</v>
      </c>
      <c r="O7" s="395">
        <v>20344</v>
      </c>
      <c r="P7" s="395">
        <v>27062</v>
      </c>
      <c r="Q7" s="395">
        <v>28010</v>
      </c>
      <c r="R7" s="395">
        <v>25438</v>
      </c>
      <c r="S7" s="395">
        <v>33172</v>
      </c>
      <c r="T7" s="395">
        <v>31711</v>
      </c>
      <c r="U7" s="395">
        <v>33686</v>
      </c>
      <c r="V7" s="395">
        <v>34866</v>
      </c>
      <c r="W7" s="395">
        <v>38275</v>
      </c>
      <c r="X7" s="395">
        <v>39391</v>
      </c>
      <c r="Y7" s="395">
        <v>43933</v>
      </c>
      <c r="Z7" s="395">
        <v>44461</v>
      </c>
      <c r="AA7" s="395">
        <v>47986</v>
      </c>
      <c r="AB7" s="395">
        <v>42548</v>
      </c>
      <c r="AC7" s="395">
        <v>49663</v>
      </c>
      <c r="AD7" s="395">
        <v>50710</v>
      </c>
      <c r="AE7" s="395">
        <v>59957</v>
      </c>
      <c r="AF7" s="395">
        <v>53465</v>
      </c>
      <c r="AG7" s="395">
        <v>54279</v>
      </c>
      <c r="AH7" s="395">
        <v>39043</v>
      </c>
      <c r="AI7" s="395">
        <v>41377</v>
      </c>
      <c r="AJ7" s="395">
        <v>46575</v>
      </c>
      <c r="AK7" s="395">
        <v>46288</v>
      </c>
      <c r="AL7" s="395">
        <v>48091</v>
      </c>
      <c r="AM7" s="395">
        <v>50411</v>
      </c>
      <c r="AN7" s="395">
        <v>52628</v>
      </c>
      <c r="AO7" s="395">
        <v>54368</v>
      </c>
      <c r="AP7" s="395">
        <v>48719</v>
      </c>
      <c r="AQ7" s="395">
        <v>56779</v>
      </c>
      <c r="AR7" s="395">
        <v>62723</v>
      </c>
      <c r="AS7" s="395">
        <v>65473</v>
      </c>
      <c r="AT7" s="395">
        <v>56831</v>
      </c>
      <c r="AU7" s="395">
        <v>62338</v>
      </c>
      <c r="AV7" s="395">
        <v>66277</v>
      </c>
      <c r="AW7" s="395">
        <v>49084</v>
      </c>
      <c r="AX7" s="395">
        <v>72747</v>
      </c>
      <c r="AY7" s="395">
        <v>63158</v>
      </c>
      <c r="AZ7" s="395">
        <v>72443</v>
      </c>
      <c r="BA7" s="395">
        <v>74780</v>
      </c>
      <c r="BB7" s="395">
        <v>63003</v>
      </c>
      <c r="BC7" s="395">
        <v>81831</v>
      </c>
      <c r="BD7" s="395">
        <v>71204</v>
      </c>
      <c r="BE7" s="395">
        <v>82821</v>
      </c>
      <c r="BF7" s="395">
        <v>86429</v>
      </c>
      <c r="BG7" s="395">
        <v>84482</v>
      </c>
      <c r="BH7" s="395">
        <v>79243</v>
      </c>
      <c r="BI7" s="395">
        <v>90454</v>
      </c>
      <c r="BJ7" s="395">
        <v>66341</v>
      </c>
      <c r="BK7" s="395">
        <v>98935</v>
      </c>
      <c r="BL7" s="395">
        <v>95090</v>
      </c>
      <c r="BM7" s="395">
        <v>162492</v>
      </c>
      <c r="BN7" s="395">
        <v>147900</v>
      </c>
      <c r="BO7" s="395">
        <v>130082</v>
      </c>
      <c r="BP7" s="395">
        <v>147266</v>
      </c>
      <c r="BQ7" s="395">
        <v>160638</v>
      </c>
      <c r="BR7" s="395">
        <v>145634</v>
      </c>
      <c r="BS7" s="395">
        <v>166292</v>
      </c>
      <c r="BT7" s="395">
        <v>184202</v>
      </c>
      <c r="BU7" s="395">
        <v>163354</v>
      </c>
      <c r="BV7" s="395">
        <v>188030</v>
      </c>
      <c r="BW7" s="395">
        <v>172203</v>
      </c>
      <c r="BX7" s="395">
        <v>189585</v>
      </c>
      <c r="BY7" s="395">
        <v>183035</v>
      </c>
      <c r="BZ7" s="395">
        <v>178395</v>
      </c>
      <c r="CA7" s="395">
        <v>184402</v>
      </c>
      <c r="CB7" s="395">
        <v>191124</v>
      </c>
      <c r="CC7" s="395">
        <v>170151</v>
      </c>
      <c r="CD7" s="395">
        <v>170015</v>
      </c>
      <c r="CE7" s="395">
        <v>184719</v>
      </c>
      <c r="CF7" s="395">
        <v>212752</v>
      </c>
      <c r="CG7" s="395">
        <v>200199</v>
      </c>
      <c r="CH7" s="395">
        <v>198543</v>
      </c>
      <c r="CI7" s="395">
        <v>198926</v>
      </c>
      <c r="CJ7" s="666" t="s">
        <v>1932</v>
      </c>
      <c r="CK7" s="666"/>
      <c r="CL7" s="666"/>
      <c r="CM7" s="667"/>
      <c r="CN7" s="668"/>
      <c r="CO7" s="393" t="s">
        <v>1931</v>
      </c>
      <c r="CP7" t="s">
        <v>1933</v>
      </c>
    </row>
    <row r="8" spans="1:94">
      <c r="A8" s="393" t="s">
        <v>51</v>
      </c>
      <c r="B8" s="316">
        <v>3496</v>
      </c>
      <c r="C8" s="316">
        <v>2774</v>
      </c>
      <c r="D8" s="316">
        <v>2152</v>
      </c>
      <c r="E8" s="316">
        <v>2826</v>
      </c>
      <c r="F8" s="316">
        <v>3638</v>
      </c>
      <c r="G8" s="316">
        <v>3116</v>
      </c>
      <c r="H8" s="316">
        <v>2837</v>
      </c>
      <c r="I8" s="316">
        <v>3197</v>
      </c>
      <c r="J8" s="316">
        <v>2447</v>
      </c>
      <c r="K8" s="316">
        <v>4207</v>
      </c>
      <c r="L8" s="316">
        <v>4025</v>
      </c>
      <c r="M8" s="316">
        <v>4933</v>
      </c>
      <c r="N8" s="395">
        <v>5137</v>
      </c>
      <c r="O8" s="395">
        <v>6360</v>
      </c>
      <c r="P8" s="395">
        <v>7363</v>
      </c>
      <c r="Q8" s="395">
        <v>6802</v>
      </c>
      <c r="R8" s="395">
        <v>6735</v>
      </c>
      <c r="S8" s="395">
        <v>10238</v>
      </c>
      <c r="T8" s="395">
        <v>12293</v>
      </c>
      <c r="U8" s="395">
        <v>9289</v>
      </c>
      <c r="V8" s="395">
        <v>9278</v>
      </c>
      <c r="W8" s="395">
        <v>12858</v>
      </c>
      <c r="X8" s="395">
        <v>12645</v>
      </c>
      <c r="Y8" s="395">
        <v>10075</v>
      </c>
      <c r="Z8" s="395">
        <v>10330</v>
      </c>
      <c r="AA8" s="395">
        <v>12556</v>
      </c>
      <c r="AB8" s="395">
        <v>14006</v>
      </c>
      <c r="AC8" s="395">
        <v>11164</v>
      </c>
      <c r="AD8" s="395">
        <v>10799</v>
      </c>
      <c r="AE8" s="395">
        <v>14005</v>
      </c>
      <c r="AF8" s="395">
        <v>15672</v>
      </c>
      <c r="AG8" s="395">
        <v>12824</v>
      </c>
      <c r="AH8" s="395">
        <v>8572</v>
      </c>
      <c r="AI8" s="395">
        <v>10352</v>
      </c>
      <c r="AJ8" s="395">
        <v>16390</v>
      </c>
      <c r="AK8" s="395">
        <v>14579</v>
      </c>
      <c r="AL8" s="395">
        <v>12720</v>
      </c>
      <c r="AM8" s="395">
        <v>13191</v>
      </c>
      <c r="AN8" s="395">
        <v>16243</v>
      </c>
      <c r="AO8" s="395">
        <v>18985</v>
      </c>
      <c r="AP8" s="395">
        <v>14138</v>
      </c>
      <c r="AQ8" s="395">
        <v>15660</v>
      </c>
      <c r="AR8" s="395">
        <v>19128</v>
      </c>
      <c r="AS8" s="395">
        <v>27135</v>
      </c>
      <c r="AT8" s="395">
        <v>17308</v>
      </c>
      <c r="AU8" s="395">
        <v>16949</v>
      </c>
      <c r="AV8" s="395">
        <v>19314</v>
      </c>
      <c r="AW8" s="395">
        <v>17004</v>
      </c>
      <c r="AX8" s="395">
        <v>28368</v>
      </c>
      <c r="AY8" s="395">
        <v>19819</v>
      </c>
      <c r="AZ8" s="395">
        <v>21711</v>
      </c>
      <c r="BA8" s="395">
        <v>24454</v>
      </c>
      <c r="BB8" s="395">
        <v>31757</v>
      </c>
      <c r="BC8" s="395">
        <v>28005</v>
      </c>
      <c r="BD8" s="395">
        <v>22977</v>
      </c>
      <c r="BE8" s="395">
        <v>27533</v>
      </c>
      <c r="BF8" s="395">
        <v>39135</v>
      </c>
      <c r="BG8" s="395">
        <v>35035</v>
      </c>
      <c r="BH8" s="395">
        <v>25751</v>
      </c>
      <c r="BI8" s="395">
        <v>29334</v>
      </c>
      <c r="BJ8" s="395">
        <v>27164</v>
      </c>
      <c r="BK8" s="395">
        <v>41600</v>
      </c>
      <c r="BL8" s="395">
        <v>33661</v>
      </c>
      <c r="BM8" s="395">
        <v>43032</v>
      </c>
      <c r="BN8" s="395">
        <v>55298</v>
      </c>
      <c r="BO8" s="395">
        <v>59835</v>
      </c>
      <c r="BP8" s="395">
        <v>48741</v>
      </c>
      <c r="BQ8" s="395">
        <v>48841</v>
      </c>
      <c r="BR8" s="395">
        <v>49471</v>
      </c>
      <c r="BS8" s="395">
        <v>74687</v>
      </c>
      <c r="BT8" s="395">
        <v>80083</v>
      </c>
      <c r="BU8" s="395">
        <v>50402</v>
      </c>
      <c r="BV8" s="395">
        <v>63640</v>
      </c>
      <c r="BW8" s="395">
        <v>73474</v>
      </c>
      <c r="BX8" s="395">
        <v>88164</v>
      </c>
      <c r="BY8" s="395">
        <v>58687</v>
      </c>
      <c r="BZ8" s="395">
        <v>57354</v>
      </c>
      <c r="CA8" s="395">
        <v>66961</v>
      </c>
      <c r="CB8" s="395">
        <v>90244</v>
      </c>
      <c r="CC8" s="395">
        <v>62849</v>
      </c>
      <c r="CD8" s="395">
        <v>58230</v>
      </c>
      <c r="CE8" s="395">
        <v>67469</v>
      </c>
      <c r="CF8" s="395">
        <v>55020</v>
      </c>
      <c r="CG8" s="395">
        <v>88091</v>
      </c>
      <c r="CH8" s="395">
        <v>68421</v>
      </c>
      <c r="CI8" s="395">
        <v>69479</v>
      </c>
      <c r="CJ8" s="666" t="s">
        <v>1934</v>
      </c>
      <c r="CK8" s="666"/>
      <c r="CL8" s="666"/>
      <c r="CM8" s="667"/>
      <c r="CN8" s="668"/>
      <c r="CO8" s="393" t="s">
        <v>51</v>
      </c>
      <c r="CP8" t="s">
        <v>1935</v>
      </c>
    </row>
    <row r="9" spans="1:94">
      <c r="A9" s="393" t="s">
        <v>1936</v>
      </c>
      <c r="B9" s="316">
        <v>2043</v>
      </c>
      <c r="C9" s="316">
        <v>1994</v>
      </c>
      <c r="D9" s="316">
        <v>1673</v>
      </c>
      <c r="E9" s="316">
        <v>1903</v>
      </c>
      <c r="F9" s="316">
        <v>2117</v>
      </c>
      <c r="G9" s="316">
        <v>2185</v>
      </c>
      <c r="H9" s="316">
        <v>2176</v>
      </c>
      <c r="I9" s="316">
        <v>2468</v>
      </c>
      <c r="J9" s="316">
        <v>1681</v>
      </c>
      <c r="K9" s="316">
        <v>2703</v>
      </c>
      <c r="L9" s="316">
        <v>4324</v>
      </c>
      <c r="M9" s="316">
        <v>4396</v>
      </c>
      <c r="N9" s="395">
        <v>3681</v>
      </c>
      <c r="O9" s="395">
        <v>4186</v>
      </c>
      <c r="P9" s="395">
        <v>5428</v>
      </c>
      <c r="Q9" s="395">
        <v>5358</v>
      </c>
      <c r="R9" s="395">
        <v>4852</v>
      </c>
      <c r="S9" s="395">
        <v>4839</v>
      </c>
      <c r="T9" s="395">
        <v>6036</v>
      </c>
      <c r="U9" s="395">
        <v>6238</v>
      </c>
      <c r="V9" s="395">
        <v>6521</v>
      </c>
      <c r="W9" s="395">
        <v>6971</v>
      </c>
      <c r="X9" s="395">
        <v>7103</v>
      </c>
      <c r="Y9" s="395">
        <v>8044</v>
      </c>
      <c r="Z9" s="395">
        <v>8293</v>
      </c>
      <c r="AA9" s="395">
        <v>9032</v>
      </c>
      <c r="AB9" s="395">
        <v>7938</v>
      </c>
      <c r="AC9" s="395">
        <v>8858</v>
      </c>
      <c r="AD9" s="395">
        <v>8861</v>
      </c>
      <c r="AE9" s="395">
        <v>9396</v>
      </c>
      <c r="AF9" s="395">
        <v>9249</v>
      </c>
      <c r="AG9" s="395">
        <v>9311</v>
      </c>
      <c r="AH9" s="395">
        <v>6729</v>
      </c>
      <c r="AI9" s="395">
        <v>7223</v>
      </c>
      <c r="AJ9" s="395">
        <v>8385</v>
      </c>
      <c r="AK9" s="395">
        <v>8164</v>
      </c>
      <c r="AL9" s="395">
        <v>8987</v>
      </c>
      <c r="AM9" s="395">
        <v>9260</v>
      </c>
      <c r="AN9" s="395">
        <v>9810</v>
      </c>
      <c r="AO9" s="395">
        <v>10004</v>
      </c>
      <c r="AP9" s="395">
        <v>9165</v>
      </c>
      <c r="AQ9" s="395">
        <v>10498</v>
      </c>
      <c r="AR9" s="395">
        <v>11604</v>
      </c>
      <c r="AS9" s="395">
        <v>11959</v>
      </c>
      <c r="AT9" s="395">
        <v>10272</v>
      </c>
      <c r="AU9" s="395">
        <v>11528</v>
      </c>
      <c r="AV9" s="395">
        <v>12337</v>
      </c>
      <c r="AW9" s="395">
        <v>8814</v>
      </c>
      <c r="AX9" s="395">
        <v>13511</v>
      </c>
      <c r="AY9" s="395">
        <v>11860</v>
      </c>
      <c r="AZ9" s="395">
        <v>13192</v>
      </c>
      <c r="BA9" s="395">
        <v>13735</v>
      </c>
      <c r="BB9" s="395">
        <v>14888</v>
      </c>
      <c r="BC9" s="395">
        <v>16760</v>
      </c>
      <c r="BD9" s="395">
        <v>14691</v>
      </c>
      <c r="BE9" s="395">
        <v>16504</v>
      </c>
      <c r="BF9" s="395">
        <v>16956</v>
      </c>
      <c r="BG9" s="395">
        <v>16325</v>
      </c>
      <c r="BH9" s="395">
        <v>15177</v>
      </c>
      <c r="BI9" s="395">
        <v>17716</v>
      </c>
      <c r="BJ9" s="395">
        <v>12809</v>
      </c>
      <c r="BK9" s="395">
        <v>18273</v>
      </c>
      <c r="BL9" s="395">
        <v>17450</v>
      </c>
      <c r="BM9" s="395">
        <v>24584</v>
      </c>
      <c r="BN9" s="395">
        <v>22544</v>
      </c>
      <c r="BO9" s="395">
        <v>20997</v>
      </c>
      <c r="BP9" s="395">
        <v>23823</v>
      </c>
      <c r="BQ9" s="395">
        <v>25638</v>
      </c>
      <c r="BR9" s="395">
        <v>24261</v>
      </c>
      <c r="BS9" s="395">
        <v>26156</v>
      </c>
      <c r="BT9" s="395">
        <v>25720</v>
      </c>
      <c r="BU9" s="395">
        <v>25823</v>
      </c>
      <c r="BV9" s="395">
        <v>31227</v>
      </c>
      <c r="BW9" s="395">
        <v>28999</v>
      </c>
      <c r="BX9" s="395">
        <v>32057</v>
      </c>
      <c r="BY9" s="395">
        <v>30820</v>
      </c>
      <c r="BZ9" s="395">
        <v>30320</v>
      </c>
      <c r="CA9" s="395">
        <v>31106</v>
      </c>
      <c r="CB9" s="395">
        <v>32738</v>
      </c>
      <c r="CC9" s="395">
        <v>28859</v>
      </c>
      <c r="CD9" s="395">
        <v>29340</v>
      </c>
      <c r="CE9" s="395">
        <v>30628</v>
      </c>
      <c r="CF9" s="395">
        <v>35636</v>
      </c>
      <c r="CG9" s="395">
        <v>33518</v>
      </c>
      <c r="CH9" s="395">
        <v>33523</v>
      </c>
      <c r="CI9" s="395">
        <v>33181</v>
      </c>
      <c r="CJ9" s="666" t="s">
        <v>1937</v>
      </c>
      <c r="CK9" s="666"/>
      <c r="CL9" s="666"/>
      <c r="CM9" s="667"/>
      <c r="CN9" s="668"/>
      <c r="CO9" s="393" t="s">
        <v>1936</v>
      </c>
      <c r="CP9" t="s">
        <v>1938</v>
      </c>
    </row>
    <row r="10" spans="1:94">
      <c r="A10" s="393" t="s">
        <v>501</v>
      </c>
      <c r="B10" s="316">
        <v>2977</v>
      </c>
      <c r="C10" s="316">
        <v>2956</v>
      </c>
      <c r="D10" s="316">
        <v>2183</v>
      </c>
      <c r="E10" s="316">
        <v>2165</v>
      </c>
      <c r="F10" s="316">
        <v>2206</v>
      </c>
      <c r="G10" s="316">
        <v>2313</v>
      </c>
      <c r="H10" s="316">
        <v>2453</v>
      </c>
      <c r="I10" s="316">
        <v>2137</v>
      </c>
      <c r="J10" s="316">
        <v>1444</v>
      </c>
      <c r="K10" s="316">
        <v>6315</v>
      </c>
      <c r="L10" s="316">
        <v>5804</v>
      </c>
      <c r="M10" s="316">
        <v>5862</v>
      </c>
      <c r="N10" s="395">
        <v>4171</v>
      </c>
      <c r="O10" s="395">
        <v>5615</v>
      </c>
      <c r="P10" s="395">
        <v>7741</v>
      </c>
      <c r="Q10" s="395">
        <v>7413</v>
      </c>
      <c r="R10" s="395">
        <v>6827</v>
      </c>
      <c r="S10" s="395">
        <v>7933</v>
      </c>
      <c r="T10" s="395">
        <v>12378</v>
      </c>
      <c r="U10" s="395">
        <v>11115</v>
      </c>
      <c r="V10" s="395">
        <v>10388</v>
      </c>
      <c r="W10" s="395">
        <v>11401</v>
      </c>
      <c r="X10" s="395">
        <v>11188</v>
      </c>
      <c r="Y10" s="395">
        <v>12786</v>
      </c>
      <c r="Z10" s="395">
        <v>12359</v>
      </c>
      <c r="AA10" s="395">
        <v>13646</v>
      </c>
      <c r="AB10" s="395">
        <v>11671</v>
      </c>
      <c r="AC10" s="395">
        <v>13475</v>
      </c>
      <c r="AD10" s="395">
        <v>12509</v>
      </c>
      <c r="AE10" s="395">
        <v>13433</v>
      </c>
      <c r="AF10" s="395">
        <v>14958</v>
      </c>
      <c r="AG10" s="395">
        <v>15046</v>
      </c>
      <c r="AH10" s="395">
        <v>9997</v>
      </c>
      <c r="AI10" s="395">
        <v>9927</v>
      </c>
      <c r="AJ10" s="395">
        <v>9329</v>
      </c>
      <c r="AK10" s="395">
        <v>9538</v>
      </c>
      <c r="AL10" s="395">
        <v>10416</v>
      </c>
      <c r="AM10" s="395">
        <v>10162</v>
      </c>
      <c r="AN10" s="395">
        <v>11055</v>
      </c>
      <c r="AO10" s="395">
        <v>11127</v>
      </c>
      <c r="AP10" s="395">
        <v>10314</v>
      </c>
      <c r="AQ10" s="395">
        <v>11910</v>
      </c>
      <c r="AR10" s="395">
        <v>11758</v>
      </c>
      <c r="AS10" s="395">
        <v>12345</v>
      </c>
      <c r="AT10" s="395">
        <v>12603</v>
      </c>
      <c r="AU10" s="395">
        <v>14063</v>
      </c>
      <c r="AV10" s="395">
        <v>13891</v>
      </c>
      <c r="AW10" s="395">
        <v>8568</v>
      </c>
      <c r="AX10" s="395">
        <v>14258</v>
      </c>
      <c r="AY10" s="395">
        <v>12395</v>
      </c>
      <c r="AZ10" s="395">
        <v>14921</v>
      </c>
      <c r="BA10" s="395">
        <v>13661</v>
      </c>
      <c r="BB10" s="395">
        <v>23274</v>
      </c>
      <c r="BC10" s="395">
        <v>28204</v>
      </c>
      <c r="BD10" s="395">
        <v>27573</v>
      </c>
      <c r="BE10" s="395">
        <v>30614</v>
      </c>
      <c r="BF10" s="395">
        <v>29305</v>
      </c>
      <c r="BG10" s="395">
        <v>27566</v>
      </c>
      <c r="BH10" s="395">
        <v>29280</v>
      </c>
      <c r="BI10" s="395">
        <v>33339</v>
      </c>
      <c r="BJ10" s="395">
        <v>22101</v>
      </c>
      <c r="BK10" s="395">
        <v>33582</v>
      </c>
      <c r="BL10" s="395">
        <v>38132</v>
      </c>
      <c r="BM10" s="395">
        <v>69780</v>
      </c>
      <c r="BN10" s="395">
        <v>40491</v>
      </c>
      <c r="BO10" s="395">
        <v>29441</v>
      </c>
      <c r="BP10" s="395">
        <v>42330</v>
      </c>
      <c r="BQ10" s="395">
        <v>44289</v>
      </c>
      <c r="BR10" s="395">
        <v>37412</v>
      </c>
      <c r="BS10" s="395">
        <v>39329</v>
      </c>
      <c r="BT10" s="395">
        <v>38079</v>
      </c>
      <c r="BU10" s="395">
        <v>37875</v>
      </c>
      <c r="BV10" s="395">
        <v>39295</v>
      </c>
      <c r="BW10" s="395">
        <v>30308</v>
      </c>
      <c r="BX10" s="395">
        <v>28972</v>
      </c>
      <c r="BY10" s="395">
        <v>32872</v>
      </c>
      <c r="BZ10" s="395">
        <v>35804</v>
      </c>
      <c r="CA10" s="395">
        <v>35962</v>
      </c>
      <c r="CB10" s="395">
        <v>37865</v>
      </c>
      <c r="CC10" s="395">
        <v>34777</v>
      </c>
      <c r="CD10" s="395">
        <v>33083</v>
      </c>
      <c r="CE10" s="395">
        <v>34684</v>
      </c>
      <c r="CF10" s="395">
        <v>38952</v>
      </c>
      <c r="CG10" s="395">
        <v>38563</v>
      </c>
      <c r="CH10" s="395">
        <v>38289</v>
      </c>
      <c r="CI10" s="395">
        <v>43247</v>
      </c>
      <c r="CJ10" s="666" t="s">
        <v>1939</v>
      </c>
      <c r="CK10" s="666"/>
      <c r="CL10" s="666"/>
      <c r="CM10" s="667"/>
      <c r="CN10" s="668"/>
      <c r="CO10" s="393" t="s">
        <v>501</v>
      </c>
      <c r="CP10" t="s">
        <v>1940</v>
      </c>
    </row>
    <row r="11" spans="1:94">
      <c r="A11" s="393" t="s">
        <v>1941</v>
      </c>
      <c r="B11" s="316">
        <v>1699</v>
      </c>
      <c r="C11" s="316">
        <v>1856</v>
      </c>
      <c r="D11" s="316">
        <v>1545</v>
      </c>
      <c r="E11" s="316">
        <v>1380</v>
      </c>
      <c r="F11" s="316">
        <v>1414</v>
      </c>
      <c r="G11" s="316">
        <v>1362</v>
      </c>
      <c r="H11" s="316">
        <v>1730</v>
      </c>
      <c r="I11" s="316">
        <v>3260</v>
      </c>
      <c r="J11" s="316">
        <v>2047</v>
      </c>
      <c r="K11" s="316">
        <v>6069</v>
      </c>
      <c r="L11" s="316">
        <v>5922</v>
      </c>
      <c r="M11" s="316">
        <v>3610</v>
      </c>
      <c r="N11" s="395">
        <v>1305</v>
      </c>
      <c r="O11" s="395">
        <v>1847</v>
      </c>
      <c r="P11" s="395">
        <v>2378</v>
      </c>
      <c r="Q11" s="395">
        <v>4630</v>
      </c>
      <c r="R11" s="395">
        <v>2270</v>
      </c>
      <c r="S11" s="395">
        <v>2880</v>
      </c>
      <c r="T11" s="395">
        <v>2986</v>
      </c>
      <c r="U11" s="395">
        <v>3154</v>
      </c>
      <c r="V11" s="395">
        <v>3095</v>
      </c>
      <c r="W11" s="395">
        <v>3421</v>
      </c>
      <c r="X11" s="395">
        <v>3407</v>
      </c>
      <c r="Y11" s="395">
        <v>3594</v>
      </c>
      <c r="Z11" s="395">
        <v>3508</v>
      </c>
      <c r="AA11" s="395">
        <v>3933</v>
      </c>
      <c r="AB11" s="395">
        <v>3182</v>
      </c>
      <c r="AC11" s="395">
        <v>6691</v>
      </c>
      <c r="AD11" s="395">
        <v>3480</v>
      </c>
      <c r="AE11" s="395">
        <v>3303</v>
      </c>
      <c r="AF11" s="395">
        <v>3678</v>
      </c>
      <c r="AG11" s="395">
        <v>3660</v>
      </c>
      <c r="AH11" s="395">
        <v>2722</v>
      </c>
      <c r="AI11" s="395">
        <v>2849</v>
      </c>
      <c r="AJ11" s="395">
        <v>2673</v>
      </c>
      <c r="AK11" s="395">
        <v>2639</v>
      </c>
      <c r="AL11" s="395">
        <v>2870</v>
      </c>
      <c r="AM11" s="395">
        <v>2812</v>
      </c>
      <c r="AN11" s="395">
        <v>2967</v>
      </c>
      <c r="AO11" s="395">
        <v>3107</v>
      </c>
      <c r="AP11" s="395">
        <v>2924</v>
      </c>
      <c r="AQ11" s="395">
        <v>3287</v>
      </c>
      <c r="AR11" s="395">
        <v>3295</v>
      </c>
      <c r="AS11" s="395">
        <v>3398</v>
      </c>
      <c r="AT11" s="395">
        <v>3299</v>
      </c>
      <c r="AU11" s="395">
        <v>3534</v>
      </c>
      <c r="AV11" s="395">
        <v>3620</v>
      </c>
      <c r="AW11" s="395">
        <v>2520</v>
      </c>
      <c r="AX11" s="395">
        <v>3608</v>
      </c>
      <c r="AY11" s="395">
        <v>3246</v>
      </c>
      <c r="AZ11" s="395">
        <v>3729</v>
      </c>
      <c r="BA11" s="395">
        <v>3619</v>
      </c>
      <c r="BB11" s="395">
        <v>3226</v>
      </c>
      <c r="BC11" s="395">
        <v>3194</v>
      </c>
      <c r="BD11" s="395">
        <v>3089</v>
      </c>
      <c r="BE11" s="395">
        <v>3300</v>
      </c>
      <c r="BF11" s="395">
        <v>3164</v>
      </c>
      <c r="BG11" s="395">
        <v>2552</v>
      </c>
      <c r="BH11" s="395">
        <v>1812</v>
      </c>
      <c r="BI11" s="395">
        <v>1966</v>
      </c>
      <c r="BJ11" s="395">
        <v>1191</v>
      </c>
      <c r="BK11" s="395">
        <v>2449</v>
      </c>
      <c r="BL11" s="395">
        <v>1710</v>
      </c>
      <c r="BM11" s="395">
        <v>3881</v>
      </c>
      <c r="BN11" s="395">
        <v>2333</v>
      </c>
      <c r="BO11" s="395">
        <v>4221</v>
      </c>
      <c r="BP11" s="395">
        <v>2823</v>
      </c>
      <c r="BQ11" s="395">
        <v>5397</v>
      </c>
      <c r="BR11" s="395">
        <v>5084</v>
      </c>
      <c r="BS11" s="395">
        <v>5146</v>
      </c>
      <c r="BT11" s="395">
        <v>4850</v>
      </c>
      <c r="BU11" s="395">
        <v>4822</v>
      </c>
      <c r="BV11" s="395">
        <v>3338</v>
      </c>
      <c r="BW11" s="395">
        <v>3124</v>
      </c>
      <c r="BX11" s="395">
        <v>1848</v>
      </c>
      <c r="BY11" s="395">
        <v>1723</v>
      </c>
      <c r="BZ11" s="395">
        <v>1834</v>
      </c>
      <c r="CA11" s="395">
        <v>1757</v>
      </c>
      <c r="CB11" s="395">
        <v>1952</v>
      </c>
      <c r="CC11" s="395">
        <v>1800</v>
      </c>
      <c r="CD11" s="395">
        <v>2565</v>
      </c>
      <c r="CE11" s="395">
        <v>2826</v>
      </c>
      <c r="CF11" s="395">
        <v>3265</v>
      </c>
      <c r="CG11" s="395">
        <v>3123</v>
      </c>
      <c r="CH11" s="395">
        <v>3010</v>
      </c>
      <c r="CI11" s="395">
        <v>3053</v>
      </c>
      <c r="CJ11" s="666" t="s">
        <v>1942</v>
      </c>
      <c r="CK11" s="666"/>
      <c r="CL11" s="666"/>
      <c r="CM11" s="667"/>
      <c r="CN11" s="668"/>
      <c r="CO11" s="393" t="s">
        <v>1941</v>
      </c>
      <c r="CP11" t="s">
        <v>1943</v>
      </c>
    </row>
    <row r="12" spans="1:94" s="47" customFormat="1">
      <c r="A12" s="393" t="s">
        <v>1048</v>
      </c>
      <c r="B12" s="397">
        <v>1143</v>
      </c>
      <c r="C12" s="397">
        <v>794</v>
      </c>
      <c r="D12" s="397">
        <v>755</v>
      </c>
      <c r="E12" s="397">
        <v>819</v>
      </c>
      <c r="F12" s="397">
        <v>986</v>
      </c>
      <c r="G12" s="397">
        <v>894</v>
      </c>
      <c r="H12" s="397">
        <v>859</v>
      </c>
      <c r="I12" s="397">
        <v>1079</v>
      </c>
      <c r="J12" s="397">
        <v>497</v>
      </c>
      <c r="K12" s="397">
        <v>1204</v>
      </c>
      <c r="L12" s="397">
        <v>1541</v>
      </c>
      <c r="M12" s="397">
        <v>1596</v>
      </c>
      <c r="N12" s="398">
        <v>1399</v>
      </c>
      <c r="O12" s="398">
        <v>2092</v>
      </c>
      <c r="P12" s="398">
        <v>2299</v>
      </c>
      <c r="Q12" s="398">
        <v>2237</v>
      </c>
      <c r="R12" s="398">
        <v>1811</v>
      </c>
      <c r="S12" s="398">
        <v>2267</v>
      </c>
      <c r="T12" s="398">
        <v>2705</v>
      </c>
      <c r="U12" s="398">
        <v>2836</v>
      </c>
      <c r="V12" s="398">
        <v>2351</v>
      </c>
      <c r="W12" s="398">
        <v>2646</v>
      </c>
      <c r="X12" s="398">
        <v>2724</v>
      </c>
      <c r="Y12" s="398">
        <v>2845</v>
      </c>
      <c r="Z12" s="398">
        <v>2608</v>
      </c>
      <c r="AA12" s="398">
        <v>2907</v>
      </c>
      <c r="AB12" s="398">
        <v>2899</v>
      </c>
      <c r="AC12" s="398">
        <v>2678</v>
      </c>
      <c r="AD12" s="398">
        <v>2892</v>
      </c>
      <c r="AE12" s="398">
        <v>2473</v>
      </c>
      <c r="AF12" s="398">
        <v>2949</v>
      </c>
      <c r="AG12" s="398">
        <v>2974</v>
      </c>
      <c r="AH12" s="398">
        <v>616</v>
      </c>
      <c r="AI12" s="398">
        <v>662</v>
      </c>
      <c r="AJ12" s="398">
        <v>824</v>
      </c>
      <c r="AK12" s="398">
        <v>836</v>
      </c>
      <c r="AL12" s="398">
        <v>897</v>
      </c>
      <c r="AM12" s="398">
        <v>996</v>
      </c>
      <c r="AN12" s="398">
        <v>976</v>
      </c>
      <c r="AO12" s="398">
        <v>1053</v>
      </c>
      <c r="AP12" s="398">
        <v>939</v>
      </c>
      <c r="AQ12" s="398">
        <v>1139</v>
      </c>
      <c r="AR12" s="398">
        <v>1066</v>
      </c>
      <c r="AS12" s="398">
        <v>1184</v>
      </c>
      <c r="AT12" s="398">
        <v>1046</v>
      </c>
      <c r="AU12" s="398">
        <v>1171</v>
      </c>
      <c r="AV12" s="398">
        <v>1347</v>
      </c>
      <c r="AW12" s="398">
        <v>725</v>
      </c>
      <c r="AX12" s="398">
        <v>1419</v>
      </c>
      <c r="AY12" s="398">
        <v>1215</v>
      </c>
      <c r="AZ12" s="398">
        <v>1374</v>
      </c>
      <c r="BA12" s="398">
        <v>1324</v>
      </c>
      <c r="BB12" s="398">
        <v>1099</v>
      </c>
      <c r="BC12" s="398">
        <v>3178</v>
      </c>
      <c r="BD12" s="398">
        <v>2718</v>
      </c>
      <c r="BE12" s="398">
        <v>2851</v>
      </c>
      <c r="BF12" s="398">
        <v>2896</v>
      </c>
      <c r="BG12" s="398">
        <v>4425</v>
      </c>
      <c r="BH12" s="398">
        <v>3989</v>
      </c>
      <c r="BI12" s="398">
        <v>4879</v>
      </c>
      <c r="BJ12" s="398">
        <v>3232</v>
      </c>
      <c r="BK12" s="398">
        <v>5795</v>
      </c>
      <c r="BL12" s="398">
        <v>5531</v>
      </c>
      <c r="BM12" s="398">
        <v>8389</v>
      </c>
      <c r="BN12" s="398">
        <v>7075</v>
      </c>
      <c r="BO12" s="398">
        <v>7200</v>
      </c>
      <c r="BP12" s="398">
        <v>10521</v>
      </c>
      <c r="BQ12" s="398">
        <v>10914</v>
      </c>
      <c r="BR12" s="398">
        <v>10064</v>
      </c>
      <c r="BS12" s="398">
        <v>9284</v>
      </c>
      <c r="BT12" s="398">
        <v>10402</v>
      </c>
      <c r="BU12" s="398">
        <v>8928</v>
      </c>
      <c r="BV12" s="398">
        <v>9137</v>
      </c>
      <c r="BW12" s="398">
        <v>8804</v>
      </c>
      <c r="BX12" s="398">
        <v>9855</v>
      </c>
      <c r="BY12" s="398">
        <v>8709</v>
      </c>
      <c r="BZ12" s="398">
        <v>7924</v>
      </c>
      <c r="CA12" s="398">
        <v>7819</v>
      </c>
      <c r="CB12" s="398">
        <v>8527</v>
      </c>
      <c r="CC12" s="398">
        <v>7902</v>
      </c>
      <c r="CD12" s="398">
        <v>7633</v>
      </c>
      <c r="CE12" s="398">
        <v>8500</v>
      </c>
      <c r="CF12" s="398">
        <v>9104</v>
      </c>
      <c r="CG12" s="398">
        <v>11009</v>
      </c>
      <c r="CH12" s="398">
        <v>9440</v>
      </c>
      <c r="CI12" s="398">
        <v>9148</v>
      </c>
      <c r="CJ12" s="666" t="s">
        <v>1944</v>
      </c>
      <c r="CK12" s="666"/>
      <c r="CL12" s="666"/>
      <c r="CM12" s="667"/>
      <c r="CN12" s="668"/>
      <c r="CO12" s="393" t="s">
        <v>1048</v>
      </c>
      <c r="CP12" s="47" t="s">
        <v>1945</v>
      </c>
    </row>
    <row r="13" spans="1:94" s="47" customFormat="1">
      <c r="A13" s="393" t="s">
        <v>1946</v>
      </c>
      <c r="B13" s="399">
        <v>1184</v>
      </c>
      <c r="C13" s="399">
        <v>1042</v>
      </c>
      <c r="D13" s="399">
        <v>694</v>
      </c>
      <c r="E13" s="399">
        <v>626</v>
      </c>
      <c r="F13" s="399">
        <v>597</v>
      </c>
      <c r="G13" s="399">
        <v>524</v>
      </c>
      <c r="H13" s="399">
        <v>615</v>
      </c>
      <c r="I13" s="397">
        <v>686</v>
      </c>
      <c r="J13" s="397">
        <v>356</v>
      </c>
      <c r="K13" s="397">
        <v>863</v>
      </c>
      <c r="L13" s="397">
        <v>1045</v>
      </c>
      <c r="M13" s="397">
        <v>729</v>
      </c>
      <c r="N13" s="397">
        <v>694</v>
      </c>
      <c r="O13" s="397">
        <v>990</v>
      </c>
      <c r="P13" s="398">
        <v>1786</v>
      </c>
      <c r="Q13" s="398">
        <v>1850</v>
      </c>
      <c r="R13" s="398">
        <v>1522</v>
      </c>
      <c r="S13" s="398">
        <v>2061</v>
      </c>
      <c r="T13" s="398">
        <v>1944</v>
      </c>
      <c r="U13" s="398">
        <v>2942</v>
      </c>
      <c r="V13" s="398">
        <v>1937</v>
      </c>
      <c r="W13" s="398">
        <v>1998</v>
      </c>
      <c r="X13" s="398">
        <v>2005</v>
      </c>
      <c r="Y13" s="398">
        <v>2315</v>
      </c>
      <c r="Z13" s="398">
        <v>2506</v>
      </c>
      <c r="AA13" s="398">
        <v>3479</v>
      </c>
      <c r="AB13" s="398">
        <v>2669</v>
      </c>
      <c r="AC13" s="398">
        <v>3308</v>
      </c>
      <c r="AD13" s="398">
        <v>3278</v>
      </c>
      <c r="AE13" s="398">
        <v>2572</v>
      </c>
      <c r="AF13" s="398">
        <v>2465</v>
      </c>
      <c r="AG13" s="398">
        <v>2787</v>
      </c>
      <c r="AH13" s="398">
        <v>1636</v>
      </c>
      <c r="AI13" s="398">
        <v>1638</v>
      </c>
      <c r="AJ13" s="398">
        <v>1787</v>
      </c>
      <c r="AK13" s="398">
        <v>1559</v>
      </c>
      <c r="AL13" s="398">
        <v>1727</v>
      </c>
      <c r="AM13" s="398">
        <v>1714</v>
      </c>
      <c r="AN13" s="398">
        <v>1933</v>
      </c>
      <c r="AO13" s="398">
        <v>1989</v>
      </c>
      <c r="AP13" s="398">
        <v>1783</v>
      </c>
      <c r="AQ13" s="398">
        <v>2200</v>
      </c>
      <c r="AR13" s="398">
        <v>2350</v>
      </c>
      <c r="AS13" s="398">
        <v>2269</v>
      </c>
      <c r="AT13" s="398">
        <v>2037</v>
      </c>
      <c r="AU13" s="398">
        <v>2421</v>
      </c>
      <c r="AV13" s="398">
        <v>2637</v>
      </c>
      <c r="AW13" s="398">
        <v>1562</v>
      </c>
      <c r="AX13" s="398">
        <v>2761</v>
      </c>
      <c r="AY13" s="398">
        <v>2428</v>
      </c>
      <c r="AZ13" s="398">
        <v>2779</v>
      </c>
      <c r="BA13" s="398">
        <v>2738</v>
      </c>
      <c r="BB13" s="398">
        <v>2329</v>
      </c>
      <c r="BC13" s="398">
        <v>5150</v>
      </c>
      <c r="BD13" s="398">
        <v>3997</v>
      </c>
      <c r="BE13" s="398">
        <v>4595</v>
      </c>
      <c r="BF13" s="398">
        <v>4336</v>
      </c>
      <c r="BG13" s="398">
        <v>4324</v>
      </c>
      <c r="BH13" s="398">
        <v>3940</v>
      </c>
      <c r="BI13" s="398">
        <v>4623</v>
      </c>
      <c r="BJ13" s="398">
        <v>2905</v>
      </c>
      <c r="BK13" s="398">
        <v>4605</v>
      </c>
      <c r="BL13" s="398">
        <v>5531</v>
      </c>
      <c r="BM13" s="398">
        <v>5720</v>
      </c>
      <c r="BN13" s="398">
        <v>5815</v>
      </c>
      <c r="BO13" s="398">
        <v>5741</v>
      </c>
      <c r="BP13" s="398">
        <v>4961</v>
      </c>
      <c r="BQ13" s="398">
        <v>4517</v>
      </c>
      <c r="BR13" s="398">
        <v>4646</v>
      </c>
      <c r="BS13" s="398">
        <v>6492</v>
      </c>
      <c r="BT13" s="398">
        <v>6809</v>
      </c>
      <c r="BU13" s="398">
        <v>7278</v>
      </c>
      <c r="BV13" s="398">
        <v>8452</v>
      </c>
      <c r="BW13" s="398">
        <v>7587</v>
      </c>
      <c r="BX13" s="398">
        <v>8963</v>
      </c>
      <c r="BY13" s="398">
        <v>7701</v>
      </c>
      <c r="BZ13" s="398">
        <v>6800</v>
      </c>
      <c r="CA13" s="398">
        <v>6731</v>
      </c>
      <c r="CB13" s="398">
        <v>7527</v>
      </c>
      <c r="CC13" s="398">
        <v>6824</v>
      </c>
      <c r="CD13" s="398">
        <v>7151</v>
      </c>
      <c r="CE13" s="398">
        <v>8340</v>
      </c>
      <c r="CF13" s="398">
        <v>9835</v>
      </c>
      <c r="CG13" s="398">
        <v>9505</v>
      </c>
      <c r="CH13" s="398">
        <v>9336</v>
      </c>
      <c r="CI13" s="398">
        <v>9010</v>
      </c>
      <c r="CJ13" s="666" t="s">
        <v>1947</v>
      </c>
      <c r="CK13" s="666"/>
      <c r="CL13" s="666"/>
      <c r="CM13" s="667"/>
      <c r="CN13" s="668"/>
      <c r="CO13" s="393" t="s">
        <v>1946</v>
      </c>
      <c r="CP13" s="47" t="s">
        <v>1948</v>
      </c>
    </row>
    <row r="14" spans="1:94" s="47" customFormat="1">
      <c r="A14" s="393" t="s">
        <v>1949</v>
      </c>
      <c r="B14" s="397">
        <v>734</v>
      </c>
      <c r="C14" s="397">
        <v>741</v>
      </c>
      <c r="D14" s="397">
        <v>609</v>
      </c>
      <c r="E14" s="397">
        <v>636</v>
      </c>
      <c r="F14" s="397">
        <v>686</v>
      </c>
      <c r="G14" s="397">
        <v>655</v>
      </c>
      <c r="H14" s="397">
        <v>685</v>
      </c>
      <c r="I14" s="397">
        <v>590</v>
      </c>
      <c r="J14" s="397">
        <v>332</v>
      </c>
      <c r="K14" s="397">
        <v>974</v>
      </c>
      <c r="L14" s="397">
        <v>900</v>
      </c>
      <c r="M14" s="397">
        <v>1021</v>
      </c>
      <c r="N14" s="397">
        <v>839</v>
      </c>
      <c r="O14" s="398">
        <v>1149</v>
      </c>
      <c r="P14" s="398">
        <v>1402</v>
      </c>
      <c r="Q14" s="398">
        <v>1438</v>
      </c>
      <c r="R14" s="398">
        <v>1327</v>
      </c>
      <c r="S14" s="398">
        <v>1448</v>
      </c>
      <c r="T14" s="398">
        <v>2338</v>
      </c>
      <c r="U14" s="398">
        <v>2323</v>
      </c>
      <c r="V14" s="398">
        <v>2200</v>
      </c>
      <c r="W14" s="398">
        <v>2501</v>
      </c>
      <c r="X14" s="398">
        <v>2692</v>
      </c>
      <c r="Y14" s="398">
        <v>2861</v>
      </c>
      <c r="Z14" s="398">
        <v>2601</v>
      </c>
      <c r="AA14" s="398">
        <v>2905</v>
      </c>
      <c r="AB14" s="398">
        <v>2245</v>
      </c>
      <c r="AC14" s="398">
        <v>2725</v>
      </c>
      <c r="AD14" s="398">
        <v>2619</v>
      </c>
      <c r="AE14" s="398">
        <v>2477</v>
      </c>
      <c r="AF14" s="398">
        <v>2685</v>
      </c>
      <c r="AG14" s="398">
        <v>2530</v>
      </c>
      <c r="AH14" s="398">
        <v>1488</v>
      </c>
      <c r="AI14" s="398">
        <v>1505</v>
      </c>
      <c r="AJ14" s="398">
        <v>1693</v>
      </c>
      <c r="AK14" s="398">
        <v>1678</v>
      </c>
      <c r="AL14" s="398">
        <v>1661</v>
      </c>
      <c r="AM14" s="398">
        <v>1748</v>
      </c>
      <c r="AN14" s="398">
        <v>1901</v>
      </c>
      <c r="AO14" s="398">
        <v>1952</v>
      </c>
      <c r="AP14" s="398">
        <v>1814</v>
      </c>
      <c r="AQ14" s="398">
        <v>2000</v>
      </c>
      <c r="AR14" s="398">
        <v>2059</v>
      </c>
      <c r="AS14" s="398">
        <v>2057</v>
      </c>
      <c r="AT14" s="398">
        <v>1092</v>
      </c>
      <c r="AU14" s="398">
        <v>2119</v>
      </c>
      <c r="AV14" s="398">
        <v>2206</v>
      </c>
      <c r="AW14" s="398">
        <v>1255</v>
      </c>
      <c r="AX14" s="398">
        <v>2367</v>
      </c>
      <c r="AY14" s="398">
        <v>2084</v>
      </c>
      <c r="AZ14" s="398">
        <v>2260</v>
      </c>
      <c r="BA14" s="398">
        <v>2209</v>
      </c>
      <c r="BB14" s="398">
        <v>1862</v>
      </c>
      <c r="BC14" s="398">
        <v>3419</v>
      </c>
      <c r="BD14" s="398">
        <v>2629</v>
      </c>
      <c r="BE14" s="398">
        <v>2742</v>
      </c>
      <c r="BF14" s="398">
        <v>2384</v>
      </c>
      <c r="BG14" s="398">
        <v>2255</v>
      </c>
      <c r="BH14" s="398">
        <v>2421</v>
      </c>
      <c r="BI14" s="398">
        <v>2788</v>
      </c>
      <c r="BJ14" s="398">
        <v>1471</v>
      </c>
      <c r="BK14" s="398">
        <v>2349</v>
      </c>
      <c r="BL14" s="398">
        <v>2196</v>
      </c>
      <c r="BM14" s="398">
        <v>2948</v>
      </c>
      <c r="BN14" s="398">
        <v>2591</v>
      </c>
      <c r="BO14" s="398">
        <v>2712</v>
      </c>
      <c r="BP14" s="398">
        <v>3100</v>
      </c>
      <c r="BQ14" s="398">
        <v>3076</v>
      </c>
      <c r="BR14" s="398">
        <v>3014</v>
      </c>
      <c r="BS14" s="398">
        <v>2797</v>
      </c>
      <c r="BT14" s="398">
        <v>2661</v>
      </c>
      <c r="BU14" s="398">
        <v>2673</v>
      </c>
      <c r="BV14" s="398">
        <v>3269</v>
      </c>
      <c r="BW14" s="398">
        <v>3035</v>
      </c>
      <c r="BX14" s="398">
        <v>3214</v>
      </c>
      <c r="BY14" s="398">
        <v>2850</v>
      </c>
      <c r="BZ14" s="398">
        <v>2600</v>
      </c>
      <c r="CA14" s="398">
        <v>2627</v>
      </c>
      <c r="CB14" s="398">
        <v>2697</v>
      </c>
      <c r="CC14" s="398">
        <v>2426</v>
      </c>
      <c r="CD14" s="398">
        <v>2532</v>
      </c>
      <c r="CE14" s="398">
        <v>2671</v>
      </c>
      <c r="CF14" s="398">
        <v>3264</v>
      </c>
      <c r="CG14" s="398">
        <v>3037</v>
      </c>
      <c r="CH14" s="398">
        <v>2803</v>
      </c>
      <c r="CI14" s="398">
        <v>2924</v>
      </c>
      <c r="CJ14" s="666" t="s">
        <v>1950</v>
      </c>
      <c r="CK14" s="666"/>
      <c r="CL14" s="666"/>
      <c r="CM14" s="667"/>
      <c r="CN14" s="668"/>
      <c r="CO14" s="393" t="s">
        <v>1949</v>
      </c>
      <c r="CP14" s="47" t="s">
        <v>1951</v>
      </c>
    </row>
    <row r="15" spans="1:94" s="47" customFormat="1">
      <c r="A15" s="393" t="s">
        <v>1952</v>
      </c>
      <c r="B15" s="400">
        <v>0</v>
      </c>
      <c r="C15" s="397">
        <v>0</v>
      </c>
      <c r="D15" s="397">
        <v>0</v>
      </c>
      <c r="E15" s="397">
        <v>0</v>
      </c>
      <c r="F15" s="401">
        <v>0</v>
      </c>
      <c r="G15" s="397">
        <v>0</v>
      </c>
      <c r="H15" s="397">
        <v>0</v>
      </c>
      <c r="I15" s="397">
        <v>0</v>
      </c>
      <c r="J15" s="397">
        <v>0</v>
      </c>
      <c r="K15" s="397">
        <v>0</v>
      </c>
      <c r="L15" s="397">
        <v>0</v>
      </c>
      <c r="M15" s="397">
        <v>0</v>
      </c>
      <c r="N15" s="397">
        <v>0</v>
      </c>
      <c r="O15" s="398">
        <v>0</v>
      </c>
      <c r="P15" s="398">
        <v>1351</v>
      </c>
      <c r="Q15" s="398">
        <v>1103</v>
      </c>
      <c r="R15" s="398">
        <v>982</v>
      </c>
      <c r="S15" s="398">
        <v>793</v>
      </c>
      <c r="T15" s="398">
        <v>1586</v>
      </c>
      <c r="U15" s="398">
        <v>1770</v>
      </c>
      <c r="V15" s="402">
        <v>2021</v>
      </c>
      <c r="W15" s="402">
        <v>2710</v>
      </c>
      <c r="X15" s="402">
        <v>2845</v>
      </c>
      <c r="Y15" s="402">
        <v>3137</v>
      </c>
      <c r="Z15" s="402">
        <v>3062</v>
      </c>
      <c r="AA15" s="402">
        <v>3240</v>
      </c>
      <c r="AB15" s="402">
        <v>2947</v>
      </c>
      <c r="AC15" s="402">
        <v>3539</v>
      </c>
      <c r="AD15" s="402">
        <v>3527</v>
      </c>
      <c r="AE15" s="402">
        <v>3364</v>
      </c>
      <c r="AF15" s="402">
        <v>3597</v>
      </c>
      <c r="AG15" s="402">
        <v>3803</v>
      </c>
      <c r="AH15" s="402">
        <v>2734</v>
      </c>
      <c r="AI15" s="402">
        <v>2904</v>
      </c>
      <c r="AJ15" s="402">
        <v>3489</v>
      </c>
      <c r="AK15" s="402">
        <v>3776</v>
      </c>
      <c r="AL15" s="402">
        <v>3680</v>
      </c>
      <c r="AM15" s="402">
        <v>3999</v>
      </c>
      <c r="AN15" s="402">
        <v>4279</v>
      </c>
      <c r="AO15" s="402">
        <v>4789</v>
      </c>
      <c r="AP15" s="402">
        <v>4305</v>
      </c>
      <c r="AQ15" s="402">
        <v>5031</v>
      </c>
      <c r="AR15" s="402">
        <v>5598</v>
      </c>
      <c r="AS15" s="402">
        <v>5731</v>
      </c>
      <c r="AT15" s="402">
        <v>4919</v>
      </c>
      <c r="AU15" s="402">
        <v>5129</v>
      </c>
      <c r="AV15" s="402">
        <v>5448</v>
      </c>
      <c r="AW15" s="402">
        <v>3956</v>
      </c>
      <c r="AX15" s="402">
        <v>5987</v>
      </c>
      <c r="AY15" s="402">
        <v>5117</v>
      </c>
      <c r="AZ15" s="402">
        <v>5687</v>
      </c>
      <c r="BA15" s="402">
        <v>6191</v>
      </c>
      <c r="BB15" s="402">
        <v>5400</v>
      </c>
      <c r="BC15" s="402">
        <v>13128</v>
      </c>
      <c r="BD15" s="402">
        <v>9654</v>
      </c>
      <c r="BE15" s="402">
        <v>10315</v>
      </c>
      <c r="BF15" s="402">
        <v>10449</v>
      </c>
      <c r="BG15" s="402">
        <v>9947</v>
      </c>
      <c r="BH15" s="398">
        <v>12086</v>
      </c>
      <c r="BI15" s="398">
        <v>15349</v>
      </c>
      <c r="BJ15" s="398">
        <v>10328</v>
      </c>
      <c r="BK15" s="398">
        <v>14618</v>
      </c>
      <c r="BL15" s="398">
        <v>14077</v>
      </c>
      <c r="BM15" s="398">
        <v>22743</v>
      </c>
      <c r="BN15" s="398">
        <v>16649</v>
      </c>
      <c r="BO15" s="398">
        <v>15100</v>
      </c>
      <c r="BP15" s="398">
        <v>17952</v>
      </c>
      <c r="BQ15" s="398">
        <v>18978</v>
      </c>
      <c r="BR15" s="398">
        <v>18199</v>
      </c>
      <c r="BS15" s="398">
        <v>20437</v>
      </c>
      <c r="BT15" s="398">
        <v>19023</v>
      </c>
      <c r="BU15" s="398">
        <v>19689</v>
      </c>
      <c r="BV15" s="398">
        <v>23854</v>
      </c>
      <c r="BW15" s="398">
        <v>22081</v>
      </c>
      <c r="BX15" s="398">
        <v>25206</v>
      </c>
      <c r="BY15" s="398">
        <v>23585</v>
      </c>
      <c r="BZ15" s="398">
        <v>23332</v>
      </c>
      <c r="CA15" s="398">
        <v>24554</v>
      </c>
      <c r="CB15" s="398">
        <v>26045</v>
      </c>
      <c r="CC15" s="398">
        <v>24001</v>
      </c>
      <c r="CD15" s="398">
        <v>24695</v>
      </c>
      <c r="CE15" s="398">
        <v>27391</v>
      </c>
      <c r="CF15" s="398">
        <v>30639</v>
      </c>
      <c r="CG15" s="398">
        <v>30943</v>
      </c>
      <c r="CH15" s="398">
        <v>29429</v>
      </c>
      <c r="CI15" s="398">
        <v>29053</v>
      </c>
      <c r="CJ15" s="666" t="s">
        <v>1953</v>
      </c>
      <c r="CK15" s="666"/>
      <c r="CL15" s="666"/>
      <c r="CM15" s="667"/>
      <c r="CN15" s="668"/>
      <c r="CO15" s="393" t="s">
        <v>1952</v>
      </c>
    </row>
    <row r="16" spans="1:94" s="47" customFormat="1">
      <c r="A16" s="393" t="s">
        <v>117</v>
      </c>
      <c r="B16" s="400">
        <v>0</v>
      </c>
      <c r="C16" s="397">
        <v>0</v>
      </c>
      <c r="D16" s="397">
        <v>0</v>
      </c>
      <c r="E16" s="397">
        <v>0</v>
      </c>
      <c r="F16" s="401">
        <v>0</v>
      </c>
      <c r="G16" s="397">
        <v>0</v>
      </c>
      <c r="H16" s="397">
        <v>0</v>
      </c>
      <c r="I16" s="397">
        <v>0</v>
      </c>
      <c r="J16" s="397">
        <v>0</v>
      </c>
      <c r="K16" s="397">
        <v>0</v>
      </c>
      <c r="L16" s="397">
        <v>0</v>
      </c>
      <c r="M16" s="397">
        <v>0</v>
      </c>
      <c r="N16" s="397">
        <v>0</v>
      </c>
      <c r="O16" s="398">
        <v>0</v>
      </c>
      <c r="P16" s="397">
        <v>0</v>
      </c>
      <c r="Q16" s="397">
        <v>0</v>
      </c>
      <c r="R16" s="397">
        <v>0</v>
      </c>
      <c r="S16" s="397">
        <v>8</v>
      </c>
      <c r="T16" s="397">
        <v>104627</v>
      </c>
      <c r="U16" s="397">
        <v>104094</v>
      </c>
      <c r="V16" s="397">
        <v>98262</v>
      </c>
      <c r="W16" s="400">
        <v>98581</v>
      </c>
      <c r="X16" s="400">
        <v>95373</v>
      </c>
      <c r="Y16" s="400">
        <v>102956</v>
      </c>
      <c r="Z16" s="400">
        <v>99134</v>
      </c>
      <c r="AA16" s="400">
        <v>104188</v>
      </c>
      <c r="AB16" s="400">
        <v>88854</v>
      </c>
      <c r="AC16" s="402">
        <v>102875</v>
      </c>
      <c r="AD16" s="402">
        <v>101846</v>
      </c>
      <c r="AE16" s="402">
        <v>97940</v>
      </c>
      <c r="AF16" s="402">
        <v>97562</v>
      </c>
      <c r="AG16" s="402">
        <v>98659</v>
      </c>
      <c r="AH16" s="402">
        <v>59901</v>
      </c>
      <c r="AI16" s="402">
        <v>61545</v>
      </c>
      <c r="AJ16" s="402">
        <v>58267</v>
      </c>
      <c r="AK16" s="402">
        <v>54263</v>
      </c>
      <c r="AL16" s="402">
        <v>60218</v>
      </c>
      <c r="AM16" s="402">
        <v>59838</v>
      </c>
      <c r="AN16" s="402">
        <v>63280</v>
      </c>
      <c r="AO16" s="402">
        <v>61936</v>
      </c>
      <c r="AP16" s="402">
        <v>57286</v>
      </c>
      <c r="AQ16" s="402">
        <v>70589</v>
      </c>
      <c r="AR16" s="402">
        <v>71517</v>
      </c>
      <c r="AS16" s="402">
        <v>74533</v>
      </c>
      <c r="AT16" s="402">
        <v>72784</v>
      </c>
      <c r="AU16" s="402">
        <v>77354</v>
      </c>
      <c r="AV16" s="402">
        <v>77538</v>
      </c>
      <c r="AW16" s="402">
        <v>49964</v>
      </c>
      <c r="AX16" s="402">
        <v>71639</v>
      </c>
      <c r="AY16" s="402">
        <v>58564</v>
      </c>
      <c r="AZ16" s="402">
        <v>67119</v>
      </c>
      <c r="BA16" s="402">
        <v>64994</v>
      </c>
      <c r="BB16" s="402">
        <v>53251</v>
      </c>
      <c r="BC16" s="402">
        <v>30926</v>
      </c>
      <c r="BD16" s="402">
        <v>29517</v>
      </c>
      <c r="BE16" s="402">
        <v>33254</v>
      </c>
      <c r="BF16" s="402">
        <v>32647</v>
      </c>
      <c r="BG16" s="402">
        <v>31915</v>
      </c>
      <c r="BH16" s="398">
        <v>33571</v>
      </c>
      <c r="BI16" s="398">
        <v>38874</v>
      </c>
      <c r="BJ16" s="398">
        <v>22101</v>
      </c>
      <c r="BK16" s="398">
        <v>39646</v>
      </c>
      <c r="BL16" s="398">
        <v>38132</v>
      </c>
      <c r="BM16" s="398">
        <v>55852</v>
      </c>
      <c r="BN16" s="398">
        <v>95008</v>
      </c>
      <c r="BO16" s="398">
        <v>101452</v>
      </c>
      <c r="BP16" s="398">
        <v>152142</v>
      </c>
      <c r="BQ16" s="398">
        <v>170111</v>
      </c>
      <c r="BR16" s="398">
        <v>137419</v>
      </c>
      <c r="BS16" s="398">
        <v>143464</v>
      </c>
      <c r="BT16" s="398">
        <v>138449</v>
      </c>
      <c r="BU16" s="398">
        <v>138792</v>
      </c>
      <c r="BV16" s="398">
        <v>126604</v>
      </c>
      <c r="BW16" s="398">
        <v>119963</v>
      </c>
      <c r="BX16" s="398">
        <v>133749</v>
      </c>
      <c r="BY16" s="398">
        <v>124781</v>
      </c>
      <c r="BZ16" s="398">
        <v>111602</v>
      </c>
      <c r="CA16" s="398">
        <v>110432</v>
      </c>
      <c r="CB16" s="398">
        <v>117666</v>
      </c>
      <c r="CC16" s="398">
        <v>118100</v>
      </c>
      <c r="CD16" s="398">
        <v>124949</v>
      </c>
      <c r="CE16" s="398">
        <v>130279</v>
      </c>
      <c r="CF16" s="398">
        <v>137135</v>
      </c>
      <c r="CG16" s="398">
        <v>138991</v>
      </c>
      <c r="CH16" s="398">
        <v>140253</v>
      </c>
      <c r="CI16" s="398">
        <v>181972</v>
      </c>
      <c r="CJ16" s="666" t="s">
        <v>1954</v>
      </c>
      <c r="CK16" s="666"/>
      <c r="CL16" s="666"/>
      <c r="CM16" s="667"/>
      <c r="CN16" s="668"/>
      <c r="CO16" s="393" t="s">
        <v>117</v>
      </c>
    </row>
    <row r="17" spans="1:93">
      <c r="A17" s="403" t="s">
        <v>1955</v>
      </c>
      <c r="B17" s="287"/>
      <c r="C17" s="287"/>
      <c r="D17" s="287"/>
      <c r="E17" s="287"/>
      <c r="F17" s="287"/>
      <c r="G17" s="287"/>
      <c r="H17" s="287"/>
      <c r="I17" s="287"/>
      <c r="J17" s="287"/>
      <c r="K17" s="287"/>
      <c r="L17" s="287"/>
      <c r="M17" s="287"/>
      <c r="N17" s="287"/>
      <c r="O17" s="287"/>
      <c r="P17" s="287"/>
      <c r="Q17" s="287"/>
      <c r="R17" s="287"/>
      <c r="S17" s="287"/>
      <c r="T17" s="287"/>
      <c r="U17" s="287"/>
      <c r="V17" s="287"/>
      <c r="W17" s="287"/>
      <c r="X17" s="287"/>
      <c r="Y17" s="287"/>
      <c r="Z17" s="287"/>
      <c r="AA17" s="287"/>
      <c r="AB17" s="287"/>
      <c r="AC17" s="287"/>
      <c r="AD17" s="287"/>
      <c r="AE17" s="287"/>
      <c r="AF17" s="287"/>
      <c r="AG17" s="287"/>
      <c r="AH17" s="287"/>
      <c r="AI17" s="287"/>
      <c r="AJ17" s="287"/>
      <c r="AK17" s="287"/>
      <c r="AL17" s="287"/>
      <c r="AM17" s="287"/>
      <c r="AN17" s="287"/>
      <c r="AO17" s="287"/>
      <c r="AP17" s="287"/>
      <c r="AQ17" s="287"/>
      <c r="AR17" s="287"/>
      <c r="AS17" s="287"/>
      <c r="AT17" s="287"/>
      <c r="AU17" s="287"/>
      <c r="AV17" s="287"/>
      <c r="AW17" s="287"/>
      <c r="AX17" s="287"/>
      <c r="AY17" s="287"/>
      <c r="AZ17" s="287"/>
      <c r="BA17" s="287"/>
      <c r="BB17" s="287"/>
      <c r="BC17" s="287"/>
      <c r="BD17" s="287"/>
      <c r="BE17" s="287"/>
      <c r="BF17" s="287"/>
      <c r="BG17" s="287"/>
      <c r="BH17" s="287"/>
      <c r="BI17" s="287"/>
      <c r="BJ17" s="287"/>
      <c r="BK17" s="287"/>
      <c r="BL17" s="287"/>
      <c r="BM17" s="398">
        <v>15035</v>
      </c>
      <c r="BN17" s="398">
        <v>15244</v>
      </c>
      <c r="BO17" s="398">
        <v>14748</v>
      </c>
      <c r="BP17" s="398">
        <v>16444</v>
      </c>
      <c r="BQ17" s="398">
        <v>18219</v>
      </c>
      <c r="BR17" s="398">
        <v>17431</v>
      </c>
      <c r="BS17" s="398">
        <v>26175</v>
      </c>
      <c r="BT17" s="398">
        <v>29101</v>
      </c>
      <c r="BU17" s="398">
        <v>27570</v>
      </c>
      <c r="BV17" s="398">
        <v>30799</v>
      </c>
      <c r="BW17" s="398">
        <v>28555</v>
      </c>
      <c r="BX17" s="398">
        <v>30148</v>
      </c>
      <c r="BY17" s="398">
        <v>26730</v>
      </c>
      <c r="BZ17" s="398">
        <v>24451</v>
      </c>
      <c r="CA17" s="398">
        <v>22987</v>
      </c>
      <c r="CB17" s="398">
        <v>27215</v>
      </c>
      <c r="CC17" s="398">
        <v>22667</v>
      </c>
      <c r="CD17" s="398">
        <v>25033</v>
      </c>
      <c r="CE17" s="398">
        <v>24518</v>
      </c>
      <c r="CF17" s="398">
        <v>28793</v>
      </c>
      <c r="CG17" s="398">
        <v>29737</v>
      </c>
      <c r="CH17" s="398">
        <v>29429</v>
      </c>
      <c r="CI17" s="398">
        <v>29906</v>
      </c>
      <c r="CJ17" s="666"/>
      <c r="CK17" s="666"/>
      <c r="CL17" s="666"/>
      <c r="CM17" s="667"/>
      <c r="CN17" s="668"/>
      <c r="CO17" s="403" t="s">
        <v>1955</v>
      </c>
    </row>
    <row r="18" spans="1:93" s="47" customFormat="1">
      <c r="A18" s="403" t="s">
        <v>1956</v>
      </c>
      <c r="B18" s="397"/>
      <c r="C18" s="397"/>
      <c r="D18" s="397"/>
      <c r="E18" s="397"/>
      <c r="F18" s="397"/>
      <c r="G18" s="397"/>
      <c r="H18" s="397"/>
      <c r="I18" s="397"/>
      <c r="J18" s="397"/>
      <c r="K18" s="397"/>
      <c r="L18" s="397"/>
      <c r="M18" s="397"/>
      <c r="N18" s="397"/>
      <c r="O18" s="398"/>
      <c r="P18" s="397"/>
      <c r="Q18" s="397"/>
      <c r="R18" s="397"/>
      <c r="S18" s="397"/>
      <c r="T18" s="397"/>
      <c r="U18" s="397"/>
      <c r="V18" s="397"/>
      <c r="W18" s="397"/>
      <c r="X18" s="397"/>
      <c r="Y18" s="397"/>
      <c r="Z18" s="397"/>
      <c r="AA18" s="397"/>
      <c r="AB18" s="397"/>
      <c r="AC18" s="398"/>
      <c r="AD18" s="398"/>
      <c r="AE18" s="398"/>
      <c r="AF18" s="398"/>
      <c r="AG18" s="398"/>
      <c r="AH18" s="398"/>
      <c r="AI18" s="398"/>
      <c r="AJ18" s="398"/>
      <c r="AK18" s="398"/>
      <c r="AL18" s="398"/>
      <c r="AM18" s="398"/>
      <c r="AN18" s="398"/>
      <c r="AO18" s="398"/>
      <c r="AP18" s="398"/>
      <c r="AQ18" s="398"/>
      <c r="AR18" s="398"/>
      <c r="AS18" s="398"/>
      <c r="AT18" s="398"/>
      <c r="AU18" s="398"/>
      <c r="AV18" s="398"/>
      <c r="AW18" s="398"/>
      <c r="AX18" s="398"/>
      <c r="AY18" s="398"/>
      <c r="AZ18" s="398"/>
      <c r="BA18" s="398"/>
      <c r="BB18" s="398"/>
      <c r="BC18" s="398"/>
      <c r="BD18" s="398"/>
      <c r="BE18" s="398"/>
      <c r="BF18" s="398"/>
      <c r="BG18" s="398"/>
      <c r="BH18" s="398"/>
      <c r="BI18" s="398"/>
      <c r="BJ18" s="398"/>
      <c r="BK18" s="398">
        <v>7896</v>
      </c>
      <c r="BL18" s="398">
        <v>6391</v>
      </c>
      <c r="BM18" s="398">
        <v>7498</v>
      </c>
      <c r="BN18" s="398">
        <v>6855</v>
      </c>
      <c r="BO18" s="398">
        <v>6442</v>
      </c>
      <c r="BP18" s="398">
        <v>7123</v>
      </c>
      <c r="BQ18" s="398">
        <v>7254</v>
      </c>
      <c r="BR18" s="398">
        <v>6534</v>
      </c>
      <c r="BS18" s="398">
        <v>7667</v>
      </c>
      <c r="BT18" s="398">
        <v>8037</v>
      </c>
      <c r="BU18" s="398">
        <v>7295</v>
      </c>
      <c r="BV18" s="398">
        <v>7644</v>
      </c>
      <c r="BW18" s="398">
        <v>7629</v>
      </c>
      <c r="BX18" s="398">
        <v>7964</v>
      </c>
      <c r="BY18" s="398">
        <v>6677</v>
      </c>
      <c r="BZ18" s="398">
        <v>6339</v>
      </c>
      <c r="CA18" s="398">
        <v>6604</v>
      </c>
      <c r="CB18" s="398">
        <v>7004</v>
      </c>
      <c r="CC18" s="398">
        <v>6231</v>
      </c>
      <c r="CD18" s="398">
        <v>6241</v>
      </c>
      <c r="CE18" s="398">
        <v>6952</v>
      </c>
      <c r="CF18" s="398">
        <v>8317</v>
      </c>
      <c r="CG18" s="398">
        <v>8150</v>
      </c>
      <c r="CH18" s="398">
        <v>7795</v>
      </c>
      <c r="CI18" s="398">
        <v>8004</v>
      </c>
      <c r="CJ18" s="666" t="s">
        <v>1957</v>
      </c>
      <c r="CK18" s="666"/>
      <c r="CL18" s="666"/>
      <c r="CM18" s="667"/>
      <c r="CN18" s="668"/>
      <c r="CO18" s="403" t="s">
        <v>1958</v>
      </c>
    </row>
    <row r="19" spans="1:93">
      <c r="BQ19" s="666" t="s">
        <v>1959</v>
      </c>
      <c r="BR19" s="666"/>
      <c r="BS19" s="666"/>
      <c r="BT19" s="667"/>
      <c r="BU19" s="668"/>
    </row>
    <row r="20" spans="1:93" ht="15">
      <c r="L20" s="404" t="s">
        <v>1960</v>
      </c>
      <c r="S20" s="404" t="s">
        <v>1960</v>
      </c>
      <c r="AG20" s="187" t="s">
        <v>1961</v>
      </c>
      <c r="AI20" t="s">
        <v>1962</v>
      </c>
    </row>
    <row r="85" spans="1:1">
      <c r="A85" s="405" t="s">
        <v>1963</v>
      </c>
    </row>
  </sheetData>
  <mergeCells count="19">
    <mergeCell ref="BQ19:BU19"/>
    <mergeCell ref="CJ13:CN13"/>
    <mergeCell ref="CJ14:CN14"/>
    <mergeCell ref="CJ15:CN15"/>
    <mergeCell ref="CJ16:CN16"/>
    <mergeCell ref="CJ17:CN17"/>
    <mergeCell ref="CJ18:CN18"/>
    <mergeCell ref="CJ12:CN12"/>
    <mergeCell ref="A1:CN1"/>
    <mergeCell ref="A3:A4"/>
    <mergeCell ref="T3:AS3"/>
    <mergeCell ref="CJ3:CN4"/>
    <mergeCell ref="CJ5:CN5"/>
    <mergeCell ref="CJ6:CN6"/>
    <mergeCell ref="CJ7:CN7"/>
    <mergeCell ref="CJ8:CN8"/>
    <mergeCell ref="CJ9:CN9"/>
    <mergeCell ref="CJ10:CN10"/>
    <mergeCell ref="CJ11:CN11"/>
  </mergeCells>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42"/>
  <sheetViews>
    <sheetView topLeftCell="A14" zoomScale="125" zoomScaleNormal="125" zoomScalePageLayoutView="125" workbookViewId="0">
      <selection activeCell="E9" sqref="E9"/>
    </sheetView>
  </sheetViews>
  <sheetFormatPr baseColWidth="10" defaultColWidth="8.83203125" defaultRowHeight="14" x14ac:dyDescent="0"/>
  <cols>
    <col min="1" max="1" width="4.6640625" customWidth="1"/>
    <col min="2" max="2" width="19.33203125" bestFit="1" customWidth="1"/>
    <col min="3" max="3" width="6.33203125" bestFit="1" customWidth="1"/>
    <col min="4" max="4" width="8.5" bestFit="1" customWidth="1"/>
    <col min="5" max="5" width="8.83203125" bestFit="1" customWidth="1"/>
    <col min="6" max="6" width="4.6640625" customWidth="1"/>
    <col min="7" max="7" width="19.1640625" bestFit="1" customWidth="1"/>
    <col min="8" max="8" width="6.33203125" bestFit="1" customWidth="1"/>
    <col min="9" max="9" width="8.1640625" bestFit="1" customWidth="1"/>
    <col min="10" max="10" width="7.5" bestFit="1" customWidth="1"/>
    <col min="11" max="11" width="4.6640625" customWidth="1"/>
    <col min="12" max="12" width="19.1640625" bestFit="1" customWidth="1"/>
    <col min="13" max="13" width="6.33203125" bestFit="1" customWidth="1"/>
    <col min="14" max="14" width="8" bestFit="1" customWidth="1"/>
    <col min="15" max="15" width="8.1640625" bestFit="1" customWidth="1"/>
    <col min="16" max="16" width="4.6640625" customWidth="1"/>
    <col min="17" max="17" width="19.1640625" bestFit="1" customWidth="1"/>
    <col min="18" max="18" width="7.5" bestFit="1" customWidth="1"/>
    <col min="19" max="19" width="7.1640625" bestFit="1" customWidth="1"/>
    <col min="20" max="20" width="8.6640625" bestFit="1" customWidth="1"/>
    <col min="21" max="21" width="4.6640625" customWidth="1"/>
    <col min="22" max="22" width="19.1640625" bestFit="1" customWidth="1"/>
    <col min="23" max="23" width="7.5" bestFit="1" customWidth="1"/>
    <col min="24" max="24" width="7.1640625" bestFit="1" customWidth="1"/>
    <col min="25" max="25" width="7.5" bestFit="1" customWidth="1"/>
    <col min="26" max="26" width="4.6640625" customWidth="1"/>
    <col min="27" max="27" width="19.1640625" bestFit="1" customWidth="1"/>
    <col min="28" max="28" width="6.1640625" bestFit="1" customWidth="1"/>
    <col min="29" max="29" width="7" bestFit="1" customWidth="1"/>
    <col min="30" max="30" width="7.5" bestFit="1" customWidth="1"/>
    <col min="31" max="31" width="4.6640625" customWidth="1"/>
    <col min="32" max="32" width="22.1640625" bestFit="1" customWidth="1"/>
    <col min="33" max="33" width="6.5" customWidth="1"/>
    <col min="34" max="34" width="8.1640625" customWidth="1"/>
    <col min="36" max="36" width="7.83203125" customWidth="1"/>
    <col min="37" max="37" width="21.33203125" customWidth="1"/>
    <col min="38" max="38" width="7.33203125" customWidth="1"/>
    <col min="40" max="40" width="8.5" customWidth="1"/>
    <col min="42" max="42" width="20.5" customWidth="1"/>
    <col min="44" max="44" width="10.1640625" customWidth="1"/>
    <col min="46" max="46" width="20.1640625" customWidth="1"/>
    <col min="47" max="47" width="10.1640625" bestFit="1" customWidth="1"/>
    <col min="49" max="49" width="23.1640625" customWidth="1"/>
    <col min="53" max="53" width="19.5" customWidth="1"/>
    <col min="54" max="54" width="17.5" customWidth="1"/>
    <col min="55" max="55" width="13.33203125" customWidth="1"/>
    <col min="58" max="58" width="23.83203125" bestFit="1" customWidth="1"/>
    <col min="62" max="62" width="21.6640625" customWidth="1"/>
    <col min="63" max="63" width="10.1640625" bestFit="1" customWidth="1"/>
    <col min="64" max="64" width="8.6640625" customWidth="1"/>
    <col min="66" max="66" width="23.83203125" bestFit="1" customWidth="1"/>
    <col min="70" max="70" width="21.6640625" customWidth="1"/>
    <col min="71" max="71" width="10.1640625" bestFit="1" customWidth="1"/>
    <col min="72" max="72" width="8.6640625" customWidth="1"/>
    <col min="74" max="74" width="23.83203125" bestFit="1" customWidth="1"/>
    <col min="78" max="78" width="21.6640625" customWidth="1"/>
    <col min="79" max="79" width="10.1640625" bestFit="1" customWidth="1"/>
    <col min="80" max="80" width="8.6640625" customWidth="1"/>
    <col min="82" max="82" width="26.5" customWidth="1"/>
    <col min="86" max="86" width="21.6640625" customWidth="1"/>
    <col min="87" max="87" width="10.1640625" bestFit="1" customWidth="1"/>
    <col min="88" max="88" width="8.6640625" customWidth="1"/>
    <col min="257" max="257" width="4.6640625" customWidth="1"/>
    <col min="258" max="258" width="19.33203125" bestFit="1" customWidth="1"/>
    <col min="259" max="259" width="6.33203125" bestFit="1" customWidth="1"/>
    <col min="260" max="260" width="8.5" bestFit="1" customWidth="1"/>
    <col min="261" max="261" width="8.83203125" bestFit="1" customWidth="1"/>
    <col min="262" max="262" width="4.6640625" customWidth="1"/>
    <col min="263" max="263" width="19.1640625" bestFit="1" customWidth="1"/>
    <col min="264" max="264" width="6.33203125" bestFit="1" customWidth="1"/>
    <col min="265" max="265" width="8.1640625" bestFit="1" customWidth="1"/>
    <col min="266" max="266" width="7.5" bestFit="1" customWidth="1"/>
    <col min="267" max="267" width="4.6640625" customWidth="1"/>
    <col min="268" max="268" width="19.1640625" bestFit="1" customWidth="1"/>
    <col min="269" max="269" width="6.33203125" bestFit="1" customWidth="1"/>
    <col min="270" max="270" width="8" bestFit="1" customWidth="1"/>
    <col min="271" max="271" width="8.1640625" bestFit="1" customWidth="1"/>
    <col min="272" max="272" width="4.6640625" customWidth="1"/>
    <col min="273" max="273" width="19.1640625" bestFit="1" customWidth="1"/>
    <col min="274" max="274" width="7.5" bestFit="1" customWidth="1"/>
    <col min="275" max="275" width="7.1640625" bestFit="1" customWidth="1"/>
    <col min="276" max="276" width="8.6640625" bestFit="1" customWidth="1"/>
    <col min="277" max="277" width="4.6640625" customWidth="1"/>
    <col min="278" max="278" width="19.1640625" bestFit="1" customWidth="1"/>
    <col min="279" max="279" width="7.5" bestFit="1" customWidth="1"/>
    <col min="280" max="280" width="7.1640625" bestFit="1" customWidth="1"/>
    <col min="281" max="281" width="7.5" bestFit="1" customWidth="1"/>
    <col min="282" max="282" width="4.6640625" customWidth="1"/>
    <col min="283" max="283" width="19.1640625" bestFit="1" customWidth="1"/>
    <col min="284" max="284" width="6.1640625" bestFit="1" customWidth="1"/>
    <col min="285" max="285" width="7" bestFit="1" customWidth="1"/>
    <col min="286" max="286" width="7.5" bestFit="1" customWidth="1"/>
    <col min="287" max="287" width="4.6640625" customWidth="1"/>
    <col min="288" max="288" width="22.1640625" bestFit="1" customWidth="1"/>
    <col min="289" max="289" width="6.5" customWidth="1"/>
    <col min="290" max="290" width="8.1640625" customWidth="1"/>
    <col min="292" max="292" width="7.83203125" customWidth="1"/>
    <col min="293" max="293" width="21.33203125" customWidth="1"/>
    <col min="294" max="294" width="7.33203125" customWidth="1"/>
    <col min="296" max="296" width="8.5" customWidth="1"/>
    <col min="298" max="298" width="20.5" customWidth="1"/>
    <col min="300" max="300" width="10.1640625" customWidth="1"/>
    <col min="302" max="302" width="20.1640625" customWidth="1"/>
    <col min="303" max="303" width="10.1640625" bestFit="1" customWidth="1"/>
    <col min="305" max="305" width="23.1640625" customWidth="1"/>
    <col min="309" max="309" width="19.5" customWidth="1"/>
    <col min="310" max="310" width="17.5" customWidth="1"/>
    <col min="311" max="311" width="13.33203125" customWidth="1"/>
    <col min="314" max="314" width="23.83203125" bestFit="1" customWidth="1"/>
    <col min="318" max="318" width="21.6640625" customWidth="1"/>
    <col min="319" max="319" width="10.1640625" bestFit="1" customWidth="1"/>
    <col min="320" max="320" width="8.6640625" customWidth="1"/>
    <col min="322" max="322" width="23.83203125" bestFit="1" customWidth="1"/>
    <col min="326" max="326" width="21.6640625" customWidth="1"/>
    <col min="327" max="327" width="10.1640625" bestFit="1" customWidth="1"/>
    <col min="328" max="328" width="8.6640625" customWidth="1"/>
    <col min="330" max="330" width="23.83203125" bestFit="1" customWidth="1"/>
    <col min="334" max="334" width="21.6640625" customWidth="1"/>
    <col min="335" max="335" width="10.1640625" bestFit="1" customWidth="1"/>
    <col min="336" max="336" width="8.6640625" customWidth="1"/>
    <col min="338" max="338" width="26.5" customWidth="1"/>
    <col min="342" max="342" width="21.6640625" customWidth="1"/>
    <col min="343" max="343" width="10.1640625" bestFit="1" customWidth="1"/>
    <col min="344" max="344" width="8.6640625" customWidth="1"/>
    <col min="513" max="513" width="4.6640625" customWidth="1"/>
    <col min="514" max="514" width="19.33203125" bestFit="1" customWidth="1"/>
    <col min="515" max="515" width="6.33203125" bestFit="1" customWidth="1"/>
    <col min="516" max="516" width="8.5" bestFit="1" customWidth="1"/>
    <col min="517" max="517" width="8.83203125" bestFit="1" customWidth="1"/>
    <col min="518" max="518" width="4.6640625" customWidth="1"/>
    <col min="519" max="519" width="19.1640625" bestFit="1" customWidth="1"/>
    <col min="520" max="520" width="6.33203125" bestFit="1" customWidth="1"/>
    <col min="521" max="521" width="8.1640625" bestFit="1" customWidth="1"/>
    <col min="522" max="522" width="7.5" bestFit="1" customWidth="1"/>
    <col min="523" max="523" width="4.6640625" customWidth="1"/>
    <col min="524" max="524" width="19.1640625" bestFit="1" customWidth="1"/>
    <col min="525" max="525" width="6.33203125" bestFit="1" customWidth="1"/>
    <col min="526" max="526" width="8" bestFit="1" customWidth="1"/>
    <col min="527" max="527" width="8.1640625" bestFit="1" customWidth="1"/>
    <col min="528" max="528" width="4.6640625" customWidth="1"/>
    <col min="529" max="529" width="19.1640625" bestFit="1" customWidth="1"/>
    <col min="530" max="530" width="7.5" bestFit="1" customWidth="1"/>
    <col min="531" max="531" width="7.1640625" bestFit="1" customWidth="1"/>
    <col min="532" max="532" width="8.6640625" bestFit="1" customWidth="1"/>
    <col min="533" max="533" width="4.6640625" customWidth="1"/>
    <col min="534" max="534" width="19.1640625" bestFit="1" customWidth="1"/>
    <col min="535" max="535" width="7.5" bestFit="1" customWidth="1"/>
    <col min="536" max="536" width="7.1640625" bestFit="1" customWidth="1"/>
    <col min="537" max="537" width="7.5" bestFit="1" customWidth="1"/>
    <col min="538" max="538" width="4.6640625" customWidth="1"/>
    <col min="539" max="539" width="19.1640625" bestFit="1" customWidth="1"/>
    <col min="540" max="540" width="6.1640625" bestFit="1" customWidth="1"/>
    <col min="541" max="541" width="7" bestFit="1" customWidth="1"/>
    <col min="542" max="542" width="7.5" bestFit="1" customWidth="1"/>
    <col min="543" max="543" width="4.6640625" customWidth="1"/>
    <col min="544" max="544" width="22.1640625" bestFit="1" customWidth="1"/>
    <col min="545" max="545" width="6.5" customWidth="1"/>
    <col min="546" max="546" width="8.1640625" customWidth="1"/>
    <col min="548" max="548" width="7.83203125" customWidth="1"/>
    <col min="549" max="549" width="21.33203125" customWidth="1"/>
    <col min="550" max="550" width="7.33203125" customWidth="1"/>
    <col min="552" max="552" width="8.5" customWidth="1"/>
    <col min="554" max="554" width="20.5" customWidth="1"/>
    <col min="556" max="556" width="10.1640625" customWidth="1"/>
    <col min="558" max="558" width="20.1640625" customWidth="1"/>
    <col min="559" max="559" width="10.1640625" bestFit="1" customWidth="1"/>
    <col min="561" max="561" width="23.1640625" customWidth="1"/>
    <col min="565" max="565" width="19.5" customWidth="1"/>
    <col min="566" max="566" width="17.5" customWidth="1"/>
    <col min="567" max="567" width="13.33203125" customWidth="1"/>
    <col min="570" max="570" width="23.83203125" bestFit="1" customWidth="1"/>
    <col min="574" max="574" width="21.6640625" customWidth="1"/>
    <col min="575" max="575" width="10.1640625" bestFit="1" customWidth="1"/>
    <col min="576" max="576" width="8.6640625" customWidth="1"/>
    <col min="578" max="578" width="23.83203125" bestFit="1" customWidth="1"/>
    <col min="582" max="582" width="21.6640625" customWidth="1"/>
    <col min="583" max="583" width="10.1640625" bestFit="1" customWidth="1"/>
    <col min="584" max="584" width="8.6640625" customWidth="1"/>
    <col min="586" max="586" width="23.83203125" bestFit="1" customWidth="1"/>
    <col min="590" max="590" width="21.6640625" customWidth="1"/>
    <col min="591" max="591" width="10.1640625" bestFit="1" customWidth="1"/>
    <col min="592" max="592" width="8.6640625" customWidth="1"/>
    <col min="594" max="594" width="26.5" customWidth="1"/>
    <col min="598" max="598" width="21.6640625" customWidth="1"/>
    <col min="599" max="599" width="10.1640625" bestFit="1" customWidth="1"/>
    <col min="600" max="600" width="8.6640625" customWidth="1"/>
    <col min="769" max="769" width="4.6640625" customWidth="1"/>
    <col min="770" max="770" width="19.33203125" bestFit="1" customWidth="1"/>
    <col min="771" max="771" width="6.33203125" bestFit="1" customWidth="1"/>
    <col min="772" max="772" width="8.5" bestFit="1" customWidth="1"/>
    <col min="773" max="773" width="8.83203125" bestFit="1" customWidth="1"/>
    <col min="774" max="774" width="4.6640625" customWidth="1"/>
    <col min="775" max="775" width="19.1640625" bestFit="1" customWidth="1"/>
    <col min="776" max="776" width="6.33203125" bestFit="1" customWidth="1"/>
    <col min="777" max="777" width="8.1640625" bestFit="1" customWidth="1"/>
    <col min="778" max="778" width="7.5" bestFit="1" customWidth="1"/>
    <col min="779" max="779" width="4.6640625" customWidth="1"/>
    <col min="780" max="780" width="19.1640625" bestFit="1" customWidth="1"/>
    <col min="781" max="781" width="6.33203125" bestFit="1" customWidth="1"/>
    <col min="782" max="782" width="8" bestFit="1" customWidth="1"/>
    <col min="783" max="783" width="8.1640625" bestFit="1" customWidth="1"/>
    <col min="784" max="784" width="4.6640625" customWidth="1"/>
    <col min="785" max="785" width="19.1640625" bestFit="1" customWidth="1"/>
    <col min="786" max="786" width="7.5" bestFit="1" customWidth="1"/>
    <col min="787" max="787" width="7.1640625" bestFit="1" customWidth="1"/>
    <col min="788" max="788" width="8.6640625" bestFit="1" customWidth="1"/>
    <col min="789" max="789" width="4.6640625" customWidth="1"/>
    <col min="790" max="790" width="19.1640625" bestFit="1" customWidth="1"/>
    <col min="791" max="791" width="7.5" bestFit="1" customWidth="1"/>
    <col min="792" max="792" width="7.1640625" bestFit="1" customWidth="1"/>
    <col min="793" max="793" width="7.5" bestFit="1" customWidth="1"/>
    <col min="794" max="794" width="4.6640625" customWidth="1"/>
    <col min="795" max="795" width="19.1640625" bestFit="1" customWidth="1"/>
    <col min="796" max="796" width="6.1640625" bestFit="1" customWidth="1"/>
    <col min="797" max="797" width="7" bestFit="1" customWidth="1"/>
    <col min="798" max="798" width="7.5" bestFit="1" customWidth="1"/>
    <col min="799" max="799" width="4.6640625" customWidth="1"/>
    <col min="800" max="800" width="22.1640625" bestFit="1" customWidth="1"/>
    <col min="801" max="801" width="6.5" customWidth="1"/>
    <col min="802" max="802" width="8.1640625" customWidth="1"/>
    <col min="804" max="804" width="7.83203125" customWidth="1"/>
    <col min="805" max="805" width="21.33203125" customWidth="1"/>
    <col min="806" max="806" width="7.33203125" customWidth="1"/>
    <col min="808" max="808" width="8.5" customWidth="1"/>
    <col min="810" max="810" width="20.5" customWidth="1"/>
    <col min="812" max="812" width="10.1640625" customWidth="1"/>
    <col min="814" max="814" width="20.1640625" customWidth="1"/>
    <col min="815" max="815" width="10.1640625" bestFit="1" customWidth="1"/>
    <col min="817" max="817" width="23.1640625" customWidth="1"/>
    <col min="821" max="821" width="19.5" customWidth="1"/>
    <col min="822" max="822" width="17.5" customWidth="1"/>
    <col min="823" max="823" width="13.33203125" customWidth="1"/>
    <col min="826" max="826" width="23.83203125" bestFit="1" customWidth="1"/>
    <col min="830" max="830" width="21.6640625" customWidth="1"/>
    <col min="831" max="831" width="10.1640625" bestFit="1" customWidth="1"/>
    <col min="832" max="832" width="8.6640625" customWidth="1"/>
    <col min="834" max="834" width="23.83203125" bestFit="1" customWidth="1"/>
    <col min="838" max="838" width="21.6640625" customWidth="1"/>
    <col min="839" max="839" width="10.1640625" bestFit="1" customWidth="1"/>
    <col min="840" max="840" width="8.6640625" customWidth="1"/>
    <col min="842" max="842" width="23.83203125" bestFit="1" customWidth="1"/>
    <col min="846" max="846" width="21.6640625" customWidth="1"/>
    <col min="847" max="847" width="10.1640625" bestFit="1" customWidth="1"/>
    <col min="848" max="848" width="8.6640625" customWidth="1"/>
    <col min="850" max="850" width="26.5" customWidth="1"/>
    <col min="854" max="854" width="21.6640625" customWidth="1"/>
    <col min="855" max="855" width="10.1640625" bestFit="1" customWidth="1"/>
    <col min="856" max="856" width="8.6640625" customWidth="1"/>
    <col min="1025" max="1025" width="4.6640625" customWidth="1"/>
    <col min="1026" max="1026" width="19.33203125" bestFit="1" customWidth="1"/>
    <col min="1027" max="1027" width="6.33203125" bestFit="1" customWidth="1"/>
    <col min="1028" max="1028" width="8.5" bestFit="1" customWidth="1"/>
    <col min="1029" max="1029" width="8.83203125" bestFit="1" customWidth="1"/>
    <col min="1030" max="1030" width="4.6640625" customWidth="1"/>
    <col min="1031" max="1031" width="19.1640625" bestFit="1" customWidth="1"/>
    <col min="1032" max="1032" width="6.33203125" bestFit="1" customWidth="1"/>
    <col min="1033" max="1033" width="8.1640625" bestFit="1" customWidth="1"/>
    <col min="1034" max="1034" width="7.5" bestFit="1" customWidth="1"/>
    <col min="1035" max="1035" width="4.6640625" customWidth="1"/>
    <col min="1036" max="1036" width="19.1640625" bestFit="1" customWidth="1"/>
    <col min="1037" max="1037" width="6.33203125" bestFit="1" customWidth="1"/>
    <col min="1038" max="1038" width="8" bestFit="1" customWidth="1"/>
    <col min="1039" max="1039" width="8.1640625" bestFit="1" customWidth="1"/>
    <col min="1040" max="1040" width="4.6640625" customWidth="1"/>
    <col min="1041" max="1041" width="19.1640625" bestFit="1" customWidth="1"/>
    <col min="1042" max="1042" width="7.5" bestFit="1" customWidth="1"/>
    <col min="1043" max="1043" width="7.1640625" bestFit="1" customWidth="1"/>
    <col min="1044" max="1044" width="8.6640625" bestFit="1" customWidth="1"/>
    <col min="1045" max="1045" width="4.6640625" customWidth="1"/>
    <col min="1046" max="1046" width="19.1640625" bestFit="1" customWidth="1"/>
    <col min="1047" max="1047" width="7.5" bestFit="1" customWidth="1"/>
    <col min="1048" max="1048" width="7.1640625" bestFit="1" customWidth="1"/>
    <col min="1049" max="1049" width="7.5" bestFit="1" customWidth="1"/>
    <col min="1050" max="1050" width="4.6640625" customWidth="1"/>
    <col min="1051" max="1051" width="19.1640625" bestFit="1" customWidth="1"/>
    <col min="1052" max="1052" width="6.1640625" bestFit="1" customWidth="1"/>
    <col min="1053" max="1053" width="7" bestFit="1" customWidth="1"/>
    <col min="1054" max="1054" width="7.5" bestFit="1" customWidth="1"/>
    <col min="1055" max="1055" width="4.6640625" customWidth="1"/>
    <col min="1056" max="1056" width="22.1640625" bestFit="1" customWidth="1"/>
    <col min="1057" max="1057" width="6.5" customWidth="1"/>
    <col min="1058" max="1058" width="8.1640625" customWidth="1"/>
    <col min="1060" max="1060" width="7.83203125" customWidth="1"/>
    <col min="1061" max="1061" width="21.33203125" customWidth="1"/>
    <col min="1062" max="1062" width="7.33203125" customWidth="1"/>
    <col min="1064" max="1064" width="8.5" customWidth="1"/>
    <col min="1066" max="1066" width="20.5" customWidth="1"/>
    <col min="1068" max="1068" width="10.1640625" customWidth="1"/>
    <col min="1070" max="1070" width="20.1640625" customWidth="1"/>
    <col min="1071" max="1071" width="10.1640625" bestFit="1" customWidth="1"/>
    <col min="1073" max="1073" width="23.1640625" customWidth="1"/>
    <col min="1077" max="1077" width="19.5" customWidth="1"/>
    <col min="1078" max="1078" width="17.5" customWidth="1"/>
    <col min="1079" max="1079" width="13.33203125" customWidth="1"/>
    <col min="1082" max="1082" width="23.83203125" bestFit="1" customWidth="1"/>
    <col min="1086" max="1086" width="21.6640625" customWidth="1"/>
    <col min="1087" max="1087" width="10.1640625" bestFit="1" customWidth="1"/>
    <col min="1088" max="1088" width="8.6640625" customWidth="1"/>
    <col min="1090" max="1090" width="23.83203125" bestFit="1" customWidth="1"/>
    <col min="1094" max="1094" width="21.6640625" customWidth="1"/>
    <col min="1095" max="1095" width="10.1640625" bestFit="1" customWidth="1"/>
    <col min="1096" max="1096" width="8.6640625" customWidth="1"/>
    <col min="1098" max="1098" width="23.83203125" bestFit="1" customWidth="1"/>
    <col min="1102" max="1102" width="21.6640625" customWidth="1"/>
    <col min="1103" max="1103" width="10.1640625" bestFit="1" customWidth="1"/>
    <col min="1104" max="1104" width="8.6640625" customWidth="1"/>
    <col min="1106" max="1106" width="26.5" customWidth="1"/>
    <col min="1110" max="1110" width="21.6640625" customWidth="1"/>
    <col min="1111" max="1111" width="10.1640625" bestFit="1" customWidth="1"/>
    <col min="1112" max="1112" width="8.6640625" customWidth="1"/>
    <col min="1281" max="1281" width="4.6640625" customWidth="1"/>
    <col min="1282" max="1282" width="19.33203125" bestFit="1" customWidth="1"/>
    <col min="1283" max="1283" width="6.33203125" bestFit="1" customWidth="1"/>
    <col min="1284" max="1284" width="8.5" bestFit="1" customWidth="1"/>
    <col min="1285" max="1285" width="8.83203125" bestFit="1" customWidth="1"/>
    <col min="1286" max="1286" width="4.6640625" customWidth="1"/>
    <col min="1287" max="1287" width="19.1640625" bestFit="1" customWidth="1"/>
    <col min="1288" max="1288" width="6.33203125" bestFit="1" customWidth="1"/>
    <col min="1289" max="1289" width="8.1640625" bestFit="1" customWidth="1"/>
    <col min="1290" max="1290" width="7.5" bestFit="1" customWidth="1"/>
    <col min="1291" max="1291" width="4.6640625" customWidth="1"/>
    <col min="1292" max="1292" width="19.1640625" bestFit="1" customWidth="1"/>
    <col min="1293" max="1293" width="6.33203125" bestFit="1" customWidth="1"/>
    <col min="1294" max="1294" width="8" bestFit="1" customWidth="1"/>
    <col min="1295" max="1295" width="8.1640625" bestFit="1" customWidth="1"/>
    <col min="1296" max="1296" width="4.6640625" customWidth="1"/>
    <col min="1297" max="1297" width="19.1640625" bestFit="1" customWidth="1"/>
    <col min="1298" max="1298" width="7.5" bestFit="1" customWidth="1"/>
    <col min="1299" max="1299" width="7.1640625" bestFit="1" customWidth="1"/>
    <col min="1300" max="1300" width="8.6640625" bestFit="1" customWidth="1"/>
    <col min="1301" max="1301" width="4.6640625" customWidth="1"/>
    <col min="1302" max="1302" width="19.1640625" bestFit="1" customWidth="1"/>
    <col min="1303" max="1303" width="7.5" bestFit="1" customWidth="1"/>
    <col min="1304" max="1304" width="7.1640625" bestFit="1" customWidth="1"/>
    <col min="1305" max="1305" width="7.5" bestFit="1" customWidth="1"/>
    <col min="1306" max="1306" width="4.6640625" customWidth="1"/>
    <col min="1307" max="1307" width="19.1640625" bestFit="1" customWidth="1"/>
    <col min="1308" max="1308" width="6.1640625" bestFit="1" customWidth="1"/>
    <col min="1309" max="1309" width="7" bestFit="1" customWidth="1"/>
    <col min="1310" max="1310" width="7.5" bestFit="1" customWidth="1"/>
    <col min="1311" max="1311" width="4.6640625" customWidth="1"/>
    <col min="1312" max="1312" width="22.1640625" bestFit="1" customWidth="1"/>
    <col min="1313" max="1313" width="6.5" customWidth="1"/>
    <col min="1314" max="1314" width="8.1640625" customWidth="1"/>
    <col min="1316" max="1316" width="7.83203125" customWidth="1"/>
    <col min="1317" max="1317" width="21.33203125" customWidth="1"/>
    <col min="1318" max="1318" width="7.33203125" customWidth="1"/>
    <col min="1320" max="1320" width="8.5" customWidth="1"/>
    <col min="1322" max="1322" width="20.5" customWidth="1"/>
    <col min="1324" max="1324" width="10.1640625" customWidth="1"/>
    <col min="1326" max="1326" width="20.1640625" customWidth="1"/>
    <col min="1327" max="1327" width="10.1640625" bestFit="1" customWidth="1"/>
    <col min="1329" max="1329" width="23.1640625" customWidth="1"/>
    <col min="1333" max="1333" width="19.5" customWidth="1"/>
    <col min="1334" max="1334" width="17.5" customWidth="1"/>
    <col min="1335" max="1335" width="13.33203125" customWidth="1"/>
    <col min="1338" max="1338" width="23.83203125" bestFit="1" customWidth="1"/>
    <col min="1342" max="1342" width="21.6640625" customWidth="1"/>
    <col min="1343" max="1343" width="10.1640625" bestFit="1" customWidth="1"/>
    <col min="1344" max="1344" width="8.6640625" customWidth="1"/>
    <col min="1346" max="1346" width="23.83203125" bestFit="1" customWidth="1"/>
    <col min="1350" max="1350" width="21.6640625" customWidth="1"/>
    <col min="1351" max="1351" width="10.1640625" bestFit="1" customWidth="1"/>
    <col min="1352" max="1352" width="8.6640625" customWidth="1"/>
    <col min="1354" max="1354" width="23.83203125" bestFit="1" customWidth="1"/>
    <col min="1358" max="1358" width="21.6640625" customWidth="1"/>
    <col min="1359" max="1359" width="10.1640625" bestFit="1" customWidth="1"/>
    <col min="1360" max="1360" width="8.6640625" customWidth="1"/>
    <col min="1362" max="1362" width="26.5" customWidth="1"/>
    <col min="1366" max="1366" width="21.6640625" customWidth="1"/>
    <col min="1367" max="1367" width="10.1640625" bestFit="1" customWidth="1"/>
    <col min="1368" max="1368" width="8.6640625" customWidth="1"/>
    <col min="1537" max="1537" width="4.6640625" customWidth="1"/>
    <col min="1538" max="1538" width="19.33203125" bestFit="1" customWidth="1"/>
    <col min="1539" max="1539" width="6.33203125" bestFit="1" customWidth="1"/>
    <col min="1540" max="1540" width="8.5" bestFit="1" customWidth="1"/>
    <col min="1541" max="1541" width="8.83203125" bestFit="1" customWidth="1"/>
    <col min="1542" max="1542" width="4.6640625" customWidth="1"/>
    <col min="1543" max="1543" width="19.1640625" bestFit="1" customWidth="1"/>
    <col min="1544" max="1544" width="6.33203125" bestFit="1" customWidth="1"/>
    <col min="1545" max="1545" width="8.1640625" bestFit="1" customWidth="1"/>
    <col min="1546" max="1546" width="7.5" bestFit="1" customWidth="1"/>
    <col min="1547" max="1547" width="4.6640625" customWidth="1"/>
    <col min="1548" max="1548" width="19.1640625" bestFit="1" customWidth="1"/>
    <col min="1549" max="1549" width="6.33203125" bestFit="1" customWidth="1"/>
    <col min="1550" max="1550" width="8" bestFit="1" customWidth="1"/>
    <col min="1551" max="1551" width="8.1640625" bestFit="1" customWidth="1"/>
    <col min="1552" max="1552" width="4.6640625" customWidth="1"/>
    <col min="1553" max="1553" width="19.1640625" bestFit="1" customWidth="1"/>
    <col min="1554" max="1554" width="7.5" bestFit="1" customWidth="1"/>
    <col min="1555" max="1555" width="7.1640625" bestFit="1" customWidth="1"/>
    <col min="1556" max="1556" width="8.6640625" bestFit="1" customWidth="1"/>
    <col min="1557" max="1557" width="4.6640625" customWidth="1"/>
    <col min="1558" max="1558" width="19.1640625" bestFit="1" customWidth="1"/>
    <col min="1559" max="1559" width="7.5" bestFit="1" customWidth="1"/>
    <col min="1560" max="1560" width="7.1640625" bestFit="1" customWidth="1"/>
    <col min="1561" max="1561" width="7.5" bestFit="1" customWidth="1"/>
    <col min="1562" max="1562" width="4.6640625" customWidth="1"/>
    <col min="1563" max="1563" width="19.1640625" bestFit="1" customWidth="1"/>
    <col min="1564" max="1564" width="6.1640625" bestFit="1" customWidth="1"/>
    <col min="1565" max="1565" width="7" bestFit="1" customWidth="1"/>
    <col min="1566" max="1566" width="7.5" bestFit="1" customWidth="1"/>
    <col min="1567" max="1567" width="4.6640625" customWidth="1"/>
    <col min="1568" max="1568" width="22.1640625" bestFit="1" customWidth="1"/>
    <col min="1569" max="1569" width="6.5" customWidth="1"/>
    <col min="1570" max="1570" width="8.1640625" customWidth="1"/>
    <col min="1572" max="1572" width="7.83203125" customWidth="1"/>
    <col min="1573" max="1573" width="21.33203125" customWidth="1"/>
    <col min="1574" max="1574" width="7.33203125" customWidth="1"/>
    <col min="1576" max="1576" width="8.5" customWidth="1"/>
    <col min="1578" max="1578" width="20.5" customWidth="1"/>
    <col min="1580" max="1580" width="10.1640625" customWidth="1"/>
    <col min="1582" max="1582" width="20.1640625" customWidth="1"/>
    <col min="1583" max="1583" width="10.1640625" bestFit="1" customWidth="1"/>
    <col min="1585" max="1585" width="23.1640625" customWidth="1"/>
    <col min="1589" max="1589" width="19.5" customWidth="1"/>
    <col min="1590" max="1590" width="17.5" customWidth="1"/>
    <col min="1591" max="1591" width="13.33203125" customWidth="1"/>
    <col min="1594" max="1594" width="23.83203125" bestFit="1" customWidth="1"/>
    <col min="1598" max="1598" width="21.6640625" customWidth="1"/>
    <col min="1599" max="1599" width="10.1640625" bestFit="1" customWidth="1"/>
    <col min="1600" max="1600" width="8.6640625" customWidth="1"/>
    <col min="1602" max="1602" width="23.83203125" bestFit="1" customWidth="1"/>
    <col min="1606" max="1606" width="21.6640625" customWidth="1"/>
    <col min="1607" max="1607" width="10.1640625" bestFit="1" customWidth="1"/>
    <col min="1608" max="1608" width="8.6640625" customWidth="1"/>
    <col min="1610" max="1610" width="23.83203125" bestFit="1" customWidth="1"/>
    <col min="1614" max="1614" width="21.6640625" customWidth="1"/>
    <col min="1615" max="1615" width="10.1640625" bestFit="1" customWidth="1"/>
    <col min="1616" max="1616" width="8.6640625" customWidth="1"/>
    <col min="1618" max="1618" width="26.5" customWidth="1"/>
    <col min="1622" max="1622" width="21.6640625" customWidth="1"/>
    <col min="1623" max="1623" width="10.1640625" bestFit="1" customWidth="1"/>
    <col min="1624" max="1624" width="8.6640625" customWidth="1"/>
    <col min="1793" max="1793" width="4.6640625" customWidth="1"/>
    <col min="1794" max="1794" width="19.33203125" bestFit="1" customWidth="1"/>
    <col min="1795" max="1795" width="6.33203125" bestFit="1" customWidth="1"/>
    <col min="1796" max="1796" width="8.5" bestFit="1" customWidth="1"/>
    <col min="1797" max="1797" width="8.83203125" bestFit="1" customWidth="1"/>
    <col min="1798" max="1798" width="4.6640625" customWidth="1"/>
    <col min="1799" max="1799" width="19.1640625" bestFit="1" customWidth="1"/>
    <col min="1800" max="1800" width="6.33203125" bestFit="1" customWidth="1"/>
    <col min="1801" max="1801" width="8.1640625" bestFit="1" customWidth="1"/>
    <col min="1802" max="1802" width="7.5" bestFit="1" customWidth="1"/>
    <col min="1803" max="1803" width="4.6640625" customWidth="1"/>
    <col min="1804" max="1804" width="19.1640625" bestFit="1" customWidth="1"/>
    <col min="1805" max="1805" width="6.33203125" bestFit="1" customWidth="1"/>
    <col min="1806" max="1806" width="8" bestFit="1" customWidth="1"/>
    <col min="1807" max="1807" width="8.1640625" bestFit="1" customWidth="1"/>
    <col min="1808" max="1808" width="4.6640625" customWidth="1"/>
    <col min="1809" max="1809" width="19.1640625" bestFit="1" customWidth="1"/>
    <col min="1810" max="1810" width="7.5" bestFit="1" customWidth="1"/>
    <col min="1811" max="1811" width="7.1640625" bestFit="1" customWidth="1"/>
    <col min="1812" max="1812" width="8.6640625" bestFit="1" customWidth="1"/>
    <col min="1813" max="1813" width="4.6640625" customWidth="1"/>
    <col min="1814" max="1814" width="19.1640625" bestFit="1" customWidth="1"/>
    <col min="1815" max="1815" width="7.5" bestFit="1" customWidth="1"/>
    <col min="1816" max="1816" width="7.1640625" bestFit="1" customWidth="1"/>
    <col min="1817" max="1817" width="7.5" bestFit="1" customWidth="1"/>
    <col min="1818" max="1818" width="4.6640625" customWidth="1"/>
    <col min="1819" max="1819" width="19.1640625" bestFit="1" customWidth="1"/>
    <col min="1820" max="1820" width="6.1640625" bestFit="1" customWidth="1"/>
    <col min="1821" max="1821" width="7" bestFit="1" customWidth="1"/>
    <col min="1822" max="1822" width="7.5" bestFit="1" customWidth="1"/>
    <col min="1823" max="1823" width="4.6640625" customWidth="1"/>
    <col min="1824" max="1824" width="22.1640625" bestFit="1" customWidth="1"/>
    <col min="1825" max="1825" width="6.5" customWidth="1"/>
    <col min="1826" max="1826" width="8.1640625" customWidth="1"/>
    <col min="1828" max="1828" width="7.83203125" customWidth="1"/>
    <col min="1829" max="1829" width="21.33203125" customWidth="1"/>
    <col min="1830" max="1830" width="7.33203125" customWidth="1"/>
    <col min="1832" max="1832" width="8.5" customWidth="1"/>
    <col min="1834" max="1834" width="20.5" customWidth="1"/>
    <col min="1836" max="1836" width="10.1640625" customWidth="1"/>
    <col min="1838" max="1838" width="20.1640625" customWidth="1"/>
    <col min="1839" max="1839" width="10.1640625" bestFit="1" customWidth="1"/>
    <col min="1841" max="1841" width="23.1640625" customWidth="1"/>
    <col min="1845" max="1845" width="19.5" customWidth="1"/>
    <col min="1846" max="1846" width="17.5" customWidth="1"/>
    <col min="1847" max="1847" width="13.33203125" customWidth="1"/>
    <col min="1850" max="1850" width="23.83203125" bestFit="1" customWidth="1"/>
    <col min="1854" max="1854" width="21.6640625" customWidth="1"/>
    <col min="1855" max="1855" width="10.1640625" bestFit="1" customWidth="1"/>
    <col min="1856" max="1856" width="8.6640625" customWidth="1"/>
    <col min="1858" max="1858" width="23.83203125" bestFit="1" customWidth="1"/>
    <col min="1862" max="1862" width="21.6640625" customWidth="1"/>
    <col min="1863" max="1863" width="10.1640625" bestFit="1" customWidth="1"/>
    <col min="1864" max="1864" width="8.6640625" customWidth="1"/>
    <col min="1866" max="1866" width="23.83203125" bestFit="1" customWidth="1"/>
    <col min="1870" max="1870" width="21.6640625" customWidth="1"/>
    <col min="1871" max="1871" width="10.1640625" bestFit="1" customWidth="1"/>
    <col min="1872" max="1872" width="8.6640625" customWidth="1"/>
    <col min="1874" max="1874" width="26.5" customWidth="1"/>
    <col min="1878" max="1878" width="21.6640625" customWidth="1"/>
    <col min="1879" max="1879" width="10.1640625" bestFit="1" customWidth="1"/>
    <col min="1880" max="1880" width="8.6640625" customWidth="1"/>
    <col min="2049" max="2049" width="4.6640625" customWidth="1"/>
    <col min="2050" max="2050" width="19.33203125" bestFit="1" customWidth="1"/>
    <col min="2051" max="2051" width="6.33203125" bestFit="1" customWidth="1"/>
    <col min="2052" max="2052" width="8.5" bestFit="1" customWidth="1"/>
    <col min="2053" max="2053" width="8.83203125" bestFit="1" customWidth="1"/>
    <col min="2054" max="2054" width="4.6640625" customWidth="1"/>
    <col min="2055" max="2055" width="19.1640625" bestFit="1" customWidth="1"/>
    <col min="2056" max="2056" width="6.33203125" bestFit="1" customWidth="1"/>
    <col min="2057" max="2057" width="8.1640625" bestFit="1" customWidth="1"/>
    <col min="2058" max="2058" width="7.5" bestFit="1" customWidth="1"/>
    <col min="2059" max="2059" width="4.6640625" customWidth="1"/>
    <col min="2060" max="2060" width="19.1640625" bestFit="1" customWidth="1"/>
    <col min="2061" max="2061" width="6.33203125" bestFit="1" customWidth="1"/>
    <col min="2062" max="2062" width="8" bestFit="1" customWidth="1"/>
    <col min="2063" max="2063" width="8.1640625" bestFit="1" customWidth="1"/>
    <col min="2064" max="2064" width="4.6640625" customWidth="1"/>
    <col min="2065" max="2065" width="19.1640625" bestFit="1" customWidth="1"/>
    <col min="2066" max="2066" width="7.5" bestFit="1" customWidth="1"/>
    <col min="2067" max="2067" width="7.1640625" bestFit="1" customWidth="1"/>
    <col min="2068" max="2068" width="8.6640625" bestFit="1" customWidth="1"/>
    <col min="2069" max="2069" width="4.6640625" customWidth="1"/>
    <col min="2070" max="2070" width="19.1640625" bestFit="1" customWidth="1"/>
    <col min="2071" max="2071" width="7.5" bestFit="1" customWidth="1"/>
    <col min="2072" max="2072" width="7.1640625" bestFit="1" customWidth="1"/>
    <col min="2073" max="2073" width="7.5" bestFit="1" customWidth="1"/>
    <col min="2074" max="2074" width="4.6640625" customWidth="1"/>
    <col min="2075" max="2075" width="19.1640625" bestFit="1" customWidth="1"/>
    <col min="2076" max="2076" width="6.1640625" bestFit="1" customWidth="1"/>
    <col min="2077" max="2077" width="7" bestFit="1" customWidth="1"/>
    <col min="2078" max="2078" width="7.5" bestFit="1" customWidth="1"/>
    <col min="2079" max="2079" width="4.6640625" customWidth="1"/>
    <col min="2080" max="2080" width="22.1640625" bestFit="1" customWidth="1"/>
    <col min="2081" max="2081" width="6.5" customWidth="1"/>
    <col min="2082" max="2082" width="8.1640625" customWidth="1"/>
    <col min="2084" max="2084" width="7.83203125" customWidth="1"/>
    <col min="2085" max="2085" width="21.33203125" customWidth="1"/>
    <col min="2086" max="2086" width="7.33203125" customWidth="1"/>
    <col min="2088" max="2088" width="8.5" customWidth="1"/>
    <col min="2090" max="2090" width="20.5" customWidth="1"/>
    <col min="2092" max="2092" width="10.1640625" customWidth="1"/>
    <col min="2094" max="2094" width="20.1640625" customWidth="1"/>
    <col min="2095" max="2095" width="10.1640625" bestFit="1" customWidth="1"/>
    <col min="2097" max="2097" width="23.1640625" customWidth="1"/>
    <col min="2101" max="2101" width="19.5" customWidth="1"/>
    <col min="2102" max="2102" width="17.5" customWidth="1"/>
    <col min="2103" max="2103" width="13.33203125" customWidth="1"/>
    <col min="2106" max="2106" width="23.83203125" bestFit="1" customWidth="1"/>
    <col min="2110" max="2110" width="21.6640625" customWidth="1"/>
    <col min="2111" max="2111" width="10.1640625" bestFit="1" customWidth="1"/>
    <col min="2112" max="2112" width="8.6640625" customWidth="1"/>
    <col min="2114" max="2114" width="23.83203125" bestFit="1" customWidth="1"/>
    <col min="2118" max="2118" width="21.6640625" customWidth="1"/>
    <col min="2119" max="2119" width="10.1640625" bestFit="1" customWidth="1"/>
    <col min="2120" max="2120" width="8.6640625" customWidth="1"/>
    <col min="2122" max="2122" width="23.83203125" bestFit="1" customWidth="1"/>
    <col min="2126" max="2126" width="21.6640625" customWidth="1"/>
    <col min="2127" max="2127" width="10.1640625" bestFit="1" customWidth="1"/>
    <col min="2128" max="2128" width="8.6640625" customWidth="1"/>
    <col min="2130" max="2130" width="26.5" customWidth="1"/>
    <col min="2134" max="2134" width="21.6640625" customWidth="1"/>
    <col min="2135" max="2135" width="10.1640625" bestFit="1" customWidth="1"/>
    <col min="2136" max="2136" width="8.6640625" customWidth="1"/>
    <col min="2305" max="2305" width="4.6640625" customWidth="1"/>
    <col min="2306" max="2306" width="19.33203125" bestFit="1" customWidth="1"/>
    <col min="2307" max="2307" width="6.33203125" bestFit="1" customWidth="1"/>
    <col min="2308" max="2308" width="8.5" bestFit="1" customWidth="1"/>
    <col min="2309" max="2309" width="8.83203125" bestFit="1" customWidth="1"/>
    <col min="2310" max="2310" width="4.6640625" customWidth="1"/>
    <col min="2311" max="2311" width="19.1640625" bestFit="1" customWidth="1"/>
    <col min="2312" max="2312" width="6.33203125" bestFit="1" customWidth="1"/>
    <col min="2313" max="2313" width="8.1640625" bestFit="1" customWidth="1"/>
    <col min="2314" max="2314" width="7.5" bestFit="1" customWidth="1"/>
    <col min="2315" max="2315" width="4.6640625" customWidth="1"/>
    <col min="2316" max="2316" width="19.1640625" bestFit="1" customWidth="1"/>
    <col min="2317" max="2317" width="6.33203125" bestFit="1" customWidth="1"/>
    <col min="2318" max="2318" width="8" bestFit="1" customWidth="1"/>
    <col min="2319" max="2319" width="8.1640625" bestFit="1" customWidth="1"/>
    <col min="2320" max="2320" width="4.6640625" customWidth="1"/>
    <col min="2321" max="2321" width="19.1640625" bestFit="1" customWidth="1"/>
    <col min="2322" max="2322" width="7.5" bestFit="1" customWidth="1"/>
    <col min="2323" max="2323" width="7.1640625" bestFit="1" customWidth="1"/>
    <col min="2324" max="2324" width="8.6640625" bestFit="1" customWidth="1"/>
    <col min="2325" max="2325" width="4.6640625" customWidth="1"/>
    <col min="2326" max="2326" width="19.1640625" bestFit="1" customWidth="1"/>
    <col min="2327" max="2327" width="7.5" bestFit="1" customWidth="1"/>
    <col min="2328" max="2328" width="7.1640625" bestFit="1" customWidth="1"/>
    <col min="2329" max="2329" width="7.5" bestFit="1" customWidth="1"/>
    <col min="2330" max="2330" width="4.6640625" customWidth="1"/>
    <col min="2331" max="2331" width="19.1640625" bestFit="1" customWidth="1"/>
    <col min="2332" max="2332" width="6.1640625" bestFit="1" customWidth="1"/>
    <col min="2333" max="2333" width="7" bestFit="1" customWidth="1"/>
    <col min="2334" max="2334" width="7.5" bestFit="1" customWidth="1"/>
    <col min="2335" max="2335" width="4.6640625" customWidth="1"/>
    <col min="2336" max="2336" width="22.1640625" bestFit="1" customWidth="1"/>
    <col min="2337" max="2337" width="6.5" customWidth="1"/>
    <col min="2338" max="2338" width="8.1640625" customWidth="1"/>
    <col min="2340" max="2340" width="7.83203125" customWidth="1"/>
    <col min="2341" max="2341" width="21.33203125" customWidth="1"/>
    <col min="2342" max="2342" width="7.33203125" customWidth="1"/>
    <col min="2344" max="2344" width="8.5" customWidth="1"/>
    <col min="2346" max="2346" width="20.5" customWidth="1"/>
    <col min="2348" max="2348" width="10.1640625" customWidth="1"/>
    <col min="2350" max="2350" width="20.1640625" customWidth="1"/>
    <col min="2351" max="2351" width="10.1640625" bestFit="1" customWidth="1"/>
    <col min="2353" max="2353" width="23.1640625" customWidth="1"/>
    <col min="2357" max="2357" width="19.5" customWidth="1"/>
    <col min="2358" max="2358" width="17.5" customWidth="1"/>
    <col min="2359" max="2359" width="13.33203125" customWidth="1"/>
    <col min="2362" max="2362" width="23.83203125" bestFit="1" customWidth="1"/>
    <col min="2366" max="2366" width="21.6640625" customWidth="1"/>
    <col min="2367" max="2367" width="10.1640625" bestFit="1" customWidth="1"/>
    <col min="2368" max="2368" width="8.6640625" customWidth="1"/>
    <col min="2370" max="2370" width="23.83203125" bestFit="1" customWidth="1"/>
    <col min="2374" max="2374" width="21.6640625" customWidth="1"/>
    <col min="2375" max="2375" width="10.1640625" bestFit="1" customWidth="1"/>
    <col min="2376" max="2376" width="8.6640625" customWidth="1"/>
    <col min="2378" max="2378" width="23.83203125" bestFit="1" customWidth="1"/>
    <col min="2382" max="2382" width="21.6640625" customWidth="1"/>
    <col min="2383" max="2383" width="10.1640625" bestFit="1" customWidth="1"/>
    <col min="2384" max="2384" width="8.6640625" customWidth="1"/>
    <col min="2386" max="2386" width="26.5" customWidth="1"/>
    <col min="2390" max="2390" width="21.6640625" customWidth="1"/>
    <col min="2391" max="2391" width="10.1640625" bestFit="1" customWidth="1"/>
    <col min="2392" max="2392" width="8.6640625" customWidth="1"/>
    <col min="2561" max="2561" width="4.6640625" customWidth="1"/>
    <col min="2562" max="2562" width="19.33203125" bestFit="1" customWidth="1"/>
    <col min="2563" max="2563" width="6.33203125" bestFit="1" customWidth="1"/>
    <col min="2564" max="2564" width="8.5" bestFit="1" customWidth="1"/>
    <col min="2565" max="2565" width="8.83203125" bestFit="1" customWidth="1"/>
    <col min="2566" max="2566" width="4.6640625" customWidth="1"/>
    <col min="2567" max="2567" width="19.1640625" bestFit="1" customWidth="1"/>
    <col min="2568" max="2568" width="6.33203125" bestFit="1" customWidth="1"/>
    <col min="2569" max="2569" width="8.1640625" bestFit="1" customWidth="1"/>
    <col min="2570" max="2570" width="7.5" bestFit="1" customWidth="1"/>
    <col min="2571" max="2571" width="4.6640625" customWidth="1"/>
    <col min="2572" max="2572" width="19.1640625" bestFit="1" customWidth="1"/>
    <col min="2573" max="2573" width="6.33203125" bestFit="1" customWidth="1"/>
    <col min="2574" max="2574" width="8" bestFit="1" customWidth="1"/>
    <col min="2575" max="2575" width="8.1640625" bestFit="1" customWidth="1"/>
    <col min="2576" max="2576" width="4.6640625" customWidth="1"/>
    <col min="2577" max="2577" width="19.1640625" bestFit="1" customWidth="1"/>
    <col min="2578" max="2578" width="7.5" bestFit="1" customWidth="1"/>
    <col min="2579" max="2579" width="7.1640625" bestFit="1" customWidth="1"/>
    <col min="2580" max="2580" width="8.6640625" bestFit="1" customWidth="1"/>
    <col min="2581" max="2581" width="4.6640625" customWidth="1"/>
    <col min="2582" max="2582" width="19.1640625" bestFit="1" customWidth="1"/>
    <col min="2583" max="2583" width="7.5" bestFit="1" customWidth="1"/>
    <col min="2584" max="2584" width="7.1640625" bestFit="1" customWidth="1"/>
    <col min="2585" max="2585" width="7.5" bestFit="1" customWidth="1"/>
    <col min="2586" max="2586" width="4.6640625" customWidth="1"/>
    <col min="2587" max="2587" width="19.1640625" bestFit="1" customWidth="1"/>
    <col min="2588" max="2588" width="6.1640625" bestFit="1" customWidth="1"/>
    <col min="2589" max="2589" width="7" bestFit="1" customWidth="1"/>
    <col min="2590" max="2590" width="7.5" bestFit="1" customWidth="1"/>
    <col min="2591" max="2591" width="4.6640625" customWidth="1"/>
    <col min="2592" max="2592" width="22.1640625" bestFit="1" customWidth="1"/>
    <col min="2593" max="2593" width="6.5" customWidth="1"/>
    <col min="2594" max="2594" width="8.1640625" customWidth="1"/>
    <col min="2596" max="2596" width="7.83203125" customWidth="1"/>
    <col min="2597" max="2597" width="21.33203125" customWidth="1"/>
    <col min="2598" max="2598" width="7.33203125" customWidth="1"/>
    <col min="2600" max="2600" width="8.5" customWidth="1"/>
    <col min="2602" max="2602" width="20.5" customWidth="1"/>
    <col min="2604" max="2604" width="10.1640625" customWidth="1"/>
    <col min="2606" max="2606" width="20.1640625" customWidth="1"/>
    <col min="2607" max="2607" width="10.1640625" bestFit="1" customWidth="1"/>
    <col min="2609" max="2609" width="23.1640625" customWidth="1"/>
    <col min="2613" max="2613" width="19.5" customWidth="1"/>
    <col min="2614" max="2614" width="17.5" customWidth="1"/>
    <col min="2615" max="2615" width="13.33203125" customWidth="1"/>
    <col min="2618" max="2618" width="23.83203125" bestFit="1" customWidth="1"/>
    <col min="2622" max="2622" width="21.6640625" customWidth="1"/>
    <col min="2623" max="2623" width="10.1640625" bestFit="1" customWidth="1"/>
    <col min="2624" max="2624" width="8.6640625" customWidth="1"/>
    <col min="2626" max="2626" width="23.83203125" bestFit="1" customWidth="1"/>
    <col min="2630" max="2630" width="21.6640625" customWidth="1"/>
    <col min="2631" max="2631" width="10.1640625" bestFit="1" customWidth="1"/>
    <col min="2632" max="2632" width="8.6640625" customWidth="1"/>
    <col min="2634" max="2634" width="23.83203125" bestFit="1" customWidth="1"/>
    <col min="2638" max="2638" width="21.6640625" customWidth="1"/>
    <col min="2639" max="2639" width="10.1640625" bestFit="1" customWidth="1"/>
    <col min="2640" max="2640" width="8.6640625" customWidth="1"/>
    <col min="2642" max="2642" width="26.5" customWidth="1"/>
    <col min="2646" max="2646" width="21.6640625" customWidth="1"/>
    <col min="2647" max="2647" width="10.1640625" bestFit="1" customWidth="1"/>
    <col min="2648" max="2648" width="8.6640625" customWidth="1"/>
    <col min="2817" max="2817" width="4.6640625" customWidth="1"/>
    <col min="2818" max="2818" width="19.33203125" bestFit="1" customWidth="1"/>
    <col min="2819" max="2819" width="6.33203125" bestFit="1" customWidth="1"/>
    <col min="2820" max="2820" width="8.5" bestFit="1" customWidth="1"/>
    <col min="2821" max="2821" width="8.83203125" bestFit="1" customWidth="1"/>
    <col min="2822" max="2822" width="4.6640625" customWidth="1"/>
    <col min="2823" max="2823" width="19.1640625" bestFit="1" customWidth="1"/>
    <col min="2824" max="2824" width="6.33203125" bestFit="1" customWidth="1"/>
    <col min="2825" max="2825" width="8.1640625" bestFit="1" customWidth="1"/>
    <col min="2826" max="2826" width="7.5" bestFit="1" customWidth="1"/>
    <col min="2827" max="2827" width="4.6640625" customWidth="1"/>
    <col min="2828" max="2828" width="19.1640625" bestFit="1" customWidth="1"/>
    <col min="2829" max="2829" width="6.33203125" bestFit="1" customWidth="1"/>
    <col min="2830" max="2830" width="8" bestFit="1" customWidth="1"/>
    <col min="2831" max="2831" width="8.1640625" bestFit="1" customWidth="1"/>
    <col min="2832" max="2832" width="4.6640625" customWidth="1"/>
    <col min="2833" max="2833" width="19.1640625" bestFit="1" customWidth="1"/>
    <col min="2834" max="2834" width="7.5" bestFit="1" customWidth="1"/>
    <col min="2835" max="2835" width="7.1640625" bestFit="1" customWidth="1"/>
    <col min="2836" max="2836" width="8.6640625" bestFit="1" customWidth="1"/>
    <col min="2837" max="2837" width="4.6640625" customWidth="1"/>
    <col min="2838" max="2838" width="19.1640625" bestFit="1" customWidth="1"/>
    <col min="2839" max="2839" width="7.5" bestFit="1" customWidth="1"/>
    <col min="2840" max="2840" width="7.1640625" bestFit="1" customWidth="1"/>
    <col min="2841" max="2841" width="7.5" bestFit="1" customWidth="1"/>
    <col min="2842" max="2842" width="4.6640625" customWidth="1"/>
    <col min="2843" max="2843" width="19.1640625" bestFit="1" customWidth="1"/>
    <col min="2844" max="2844" width="6.1640625" bestFit="1" customWidth="1"/>
    <col min="2845" max="2845" width="7" bestFit="1" customWidth="1"/>
    <col min="2846" max="2846" width="7.5" bestFit="1" customWidth="1"/>
    <col min="2847" max="2847" width="4.6640625" customWidth="1"/>
    <col min="2848" max="2848" width="22.1640625" bestFit="1" customWidth="1"/>
    <col min="2849" max="2849" width="6.5" customWidth="1"/>
    <col min="2850" max="2850" width="8.1640625" customWidth="1"/>
    <col min="2852" max="2852" width="7.83203125" customWidth="1"/>
    <col min="2853" max="2853" width="21.33203125" customWidth="1"/>
    <col min="2854" max="2854" width="7.33203125" customWidth="1"/>
    <col min="2856" max="2856" width="8.5" customWidth="1"/>
    <col min="2858" max="2858" width="20.5" customWidth="1"/>
    <col min="2860" max="2860" width="10.1640625" customWidth="1"/>
    <col min="2862" max="2862" width="20.1640625" customWidth="1"/>
    <col min="2863" max="2863" width="10.1640625" bestFit="1" customWidth="1"/>
    <col min="2865" max="2865" width="23.1640625" customWidth="1"/>
    <col min="2869" max="2869" width="19.5" customWidth="1"/>
    <col min="2870" max="2870" width="17.5" customWidth="1"/>
    <col min="2871" max="2871" width="13.33203125" customWidth="1"/>
    <col min="2874" max="2874" width="23.83203125" bestFit="1" customWidth="1"/>
    <col min="2878" max="2878" width="21.6640625" customWidth="1"/>
    <col min="2879" max="2879" width="10.1640625" bestFit="1" customWidth="1"/>
    <col min="2880" max="2880" width="8.6640625" customWidth="1"/>
    <col min="2882" max="2882" width="23.83203125" bestFit="1" customWidth="1"/>
    <col min="2886" max="2886" width="21.6640625" customWidth="1"/>
    <col min="2887" max="2887" width="10.1640625" bestFit="1" customWidth="1"/>
    <col min="2888" max="2888" width="8.6640625" customWidth="1"/>
    <col min="2890" max="2890" width="23.83203125" bestFit="1" customWidth="1"/>
    <col min="2894" max="2894" width="21.6640625" customWidth="1"/>
    <col min="2895" max="2895" width="10.1640625" bestFit="1" customWidth="1"/>
    <col min="2896" max="2896" width="8.6640625" customWidth="1"/>
    <col min="2898" max="2898" width="26.5" customWidth="1"/>
    <col min="2902" max="2902" width="21.6640625" customWidth="1"/>
    <col min="2903" max="2903" width="10.1640625" bestFit="1" customWidth="1"/>
    <col min="2904" max="2904" width="8.6640625" customWidth="1"/>
    <col min="3073" max="3073" width="4.6640625" customWidth="1"/>
    <col min="3074" max="3074" width="19.33203125" bestFit="1" customWidth="1"/>
    <col min="3075" max="3075" width="6.33203125" bestFit="1" customWidth="1"/>
    <col min="3076" max="3076" width="8.5" bestFit="1" customWidth="1"/>
    <col min="3077" max="3077" width="8.83203125" bestFit="1" customWidth="1"/>
    <col min="3078" max="3078" width="4.6640625" customWidth="1"/>
    <col min="3079" max="3079" width="19.1640625" bestFit="1" customWidth="1"/>
    <col min="3080" max="3080" width="6.33203125" bestFit="1" customWidth="1"/>
    <col min="3081" max="3081" width="8.1640625" bestFit="1" customWidth="1"/>
    <col min="3082" max="3082" width="7.5" bestFit="1" customWidth="1"/>
    <col min="3083" max="3083" width="4.6640625" customWidth="1"/>
    <col min="3084" max="3084" width="19.1640625" bestFit="1" customWidth="1"/>
    <col min="3085" max="3085" width="6.33203125" bestFit="1" customWidth="1"/>
    <col min="3086" max="3086" width="8" bestFit="1" customWidth="1"/>
    <col min="3087" max="3087" width="8.1640625" bestFit="1" customWidth="1"/>
    <col min="3088" max="3088" width="4.6640625" customWidth="1"/>
    <col min="3089" max="3089" width="19.1640625" bestFit="1" customWidth="1"/>
    <col min="3090" max="3090" width="7.5" bestFit="1" customWidth="1"/>
    <col min="3091" max="3091" width="7.1640625" bestFit="1" customWidth="1"/>
    <col min="3092" max="3092" width="8.6640625" bestFit="1" customWidth="1"/>
    <col min="3093" max="3093" width="4.6640625" customWidth="1"/>
    <col min="3094" max="3094" width="19.1640625" bestFit="1" customWidth="1"/>
    <col min="3095" max="3095" width="7.5" bestFit="1" customWidth="1"/>
    <col min="3096" max="3096" width="7.1640625" bestFit="1" customWidth="1"/>
    <col min="3097" max="3097" width="7.5" bestFit="1" customWidth="1"/>
    <col min="3098" max="3098" width="4.6640625" customWidth="1"/>
    <col min="3099" max="3099" width="19.1640625" bestFit="1" customWidth="1"/>
    <col min="3100" max="3100" width="6.1640625" bestFit="1" customWidth="1"/>
    <col min="3101" max="3101" width="7" bestFit="1" customWidth="1"/>
    <col min="3102" max="3102" width="7.5" bestFit="1" customWidth="1"/>
    <col min="3103" max="3103" width="4.6640625" customWidth="1"/>
    <col min="3104" max="3104" width="22.1640625" bestFit="1" customWidth="1"/>
    <col min="3105" max="3105" width="6.5" customWidth="1"/>
    <col min="3106" max="3106" width="8.1640625" customWidth="1"/>
    <col min="3108" max="3108" width="7.83203125" customWidth="1"/>
    <col min="3109" max="3109" width="21.33203125" customWidth="1"/>
    <col min="3110" max="3110" width="7.33203125" customWidth="1"/>
    <col min="3112" max="3112" width="8.5" customWidth="1"/>
    <col min="3114" max="3114" width="20.5" customWidth="1"/>
    <col min="3116" max="3116" width="10.1640625" customWidth="1"/>
    <col min="3118" max="3118" width="20.1640625" customWidth="1"/>
    <col min="3119" max="3119" width="10.1640625" bestFit="1" customWidth="1"/>
    <col min="3121" max="3121" width="23.1640625" customWidth="1"/>
    <col min="3125" max="3125" width="19.5" customWidth="1"/>
    <col min="3126" max="3126" width="17.5" customWidth="1"/>
    <col min="3127" max="3127" width="13.33203125" customWidth="1"/>
    <col min="3130" max="3130" width="23.83203125" bestFit="1" customWidth="1"/>
    <col min="3134" max="3134" width="21.6640625" customWidth="1"/>
    <col min="3135" max="3135" width="10.1640625" bestFit="1" customWidth="1"/>
    <col min="3136" max="3136" width="8.6640625" customWidth="1"/>
    <col min="3138" max="3138" width="23.83203125" bestFit="1" customWidth="1"/>
    <col min="3142" max="3142" width="21.6640625" customWidth="1"/>
    <col min="3143" max="3143" width="10.1640625" bestFit="1" customWidth="1"/>
    <col min="3144" max="3144" width="8.6640625" customWidth="1"/>
    <col min="3146" max="3146" width="23.83203125" bestFit="1" customWidth="1"/>
    <col min="3150" max="3150" width="21.6640625" customWidth="1"/>
    <col min="3151" max="3151" width="10.1640625" bestFit="1" customWidth="1"/>
    <col min="3152" max="3152" width="8.6640625" customWidth="1"/>
    <col min="3154" max="3154" width="26.5" customWidth="1"/>
    <col min="3158" max="3158" width="21.6640625" customWidth="1"/>
    <col min="3159" max="3159" width="10.1640625" bestFit="1" customWidth="1"/>
    <col min="3160" max="3160" width="8.6640625" customWidth="1"/>
    <col min="3329" max="3329" width="4.6640625" customWidth="1"/>
    <col min="3330" max="3330" width="19.33203125" bestFit="1" customWidth="1"/>
    <col min="3331" max="3331" width="6.33203125" bestFit="1" customWidth="1"/>
    <col min="3332" max="3332" width="8.5" bestFit="1" customWidth="1"/>
    <col min="3333" max="3333" width="8.83203125" bestFit="1" customWidth="1"/>
    <col min="3334" max="3334" width="4.6640625" customWidth="1"/>
    <col min="3335" max="3335" width="19.1640625" bestFit="1" customWidth="1"/>
    <col min="3336" max="3336" width="6.33203125" bestFit="1" customWidth="1"/>
    <col min="3337" max="3337" width="8.1640625" bestFit="1" customWidth="1"/>
    <col min="3338" max="3338" width="7.5" bestFit="1" customWidth="1"/>
    <col min="3339" max="3339" width="4.6640625" customWidth="1"/>
    <col min="3340" max="3340" width="19.1640625" bestFit="1" customWidth="1"/>
    <col min="3341" max="3341" width="6.33203125" bestFit="1" customWidth="1"/>
    <col min="3342" max="3342" width="8" bestFit="1" customWidth="1"/>
    <col min="3343" max="3343" width="8.1640625" bestFit="1" customWidth="1"/>
    <col min="3344" max="3344" width="4.6640625" customWidth="1"/>
    <col min="3345" max="3345" width="19.1640625" bestFit="1" customWidth="1"/>
    <col min="3346" max="3346" width="7.5" bestFit="1" customWidth="1"/>
    <col min="3347" max="3347" width="7.1640625" bestFit="1" customWidth="1"/>
    <col min="3348" max="3348" width="8.6640625" bestFit="1" customWidth="1"/>
    <col min="3349" max="3349" width="4.6640625" customWidth="1"/>
    <col min="3350" max="3350" width="19.1640625" bestFit="1" customWidth="1"/>
    <col min="3351" max="3351" width="7.5" bestFit="1" customWidth="1"/>
    <col min="3352" max="3352" width="7.1640625" bestFit="1" customWidth="1"/>
    <col min="3353" max="3353" width="7.5" bestFit="1" customWidth="1"/>
    <col min="3354" max="3354" width="4.6640625" customWidth="1"/>
    <col min="3355" max="3355" width="19.1640625" bestFit="1" customWidth="1"/>
    <col min="3356" max="3356" width="6.1640625" bestFit="1" customWidth="1"/>
    <col min="3357" max="3357" width="7" bestFit="1" customWidth="1"/>
    <col min="3358" max="3358" width="7.5" bestFit="1" customWidth="1"/>
    <col min="3359" max="3359" width="4.6640625" customWidth="1"/>
    <col min="3360" max="3360" width="22.1640625" bestFit="1" customWidth="1"/>
    <col min="3361" max="3361" width="6.5" customWidth="1"/>
    <col min="3362" max="3362" width="8.1640625" customWidth="1"/>
    <col min="3364" max="3364" width="7.83203125" customWidth="1"/>
    <col min="3365" max="3365" width="21.33203125" customWidth="1"/>
    <col min="3366" max="3366" width="7.33203125" customWidth="1"/>
    <col min="3368" max="3368" width="8.5" customWidth="1"/>
    <col min="3370" max="3370" width="20.5" customWidth="1"/>
    <col min="3372" max="3372" width="10.1640625" customWidth="1"/>
    <col min="3374" max="3374" width="20.1640625" customWidth="1"/>
    <col min="3375" max="3375" width="10.1640625" bestFit="1" customWidth="1"/>
    <col min="3377" max="3377" width="23.1640625" customWidth="1"/>
    <col min="3381" max="3381" width="19.5" customWidth="1"/>
    <col min="3382" max="3382" width="17.5" customWidth="1"/>
    <col min="3383" max="3383" width="13.33203125" customWidth="1"/>
    <col min="3386" max="3386" width="23.83203125" bestFit="1" customWidth="1"/>
    <col min="3390" max="3390" width="21.6640625" customWidth="1"/>
    <col min="3391" max="3391" width="10.1640625" bestFit="1" customWidth="1"/>
    <col min="3392" max="3392" width="8.6640625" customWidth="1"/>
    <col min="3394" max="3394" width="23.83203125" bestFit="1" customWidth="1"/>
    <col min="3398" max="3398" width="21.6640625" customWidth="1"/>
    <col min="3399" max="3399" width="10.1640625" bestFit="1" customWidth="1"/>
    <col min="3400" max="3400" width="8.6640625" customWidth="1"/>
    <col min="3402" max="3402" width="23.83203125" bestFit="1" customWidth="1"/>
    <col min="3406" max="3406" width="21.6640625" customWidth="1"/>
    <col min="3407" max="3407" width="10.1640625" bestFit="1" customWidth="1"/>
    <col min="3408" max="3408" width="8.6640625" customWidth="1"/>
    <col min="3410" max="3410" width="26.5" customWidth="1"/>
    <col min="3414" max="3414" width="21.6640625" customWidth="1"/>
    <col min="3415" max="3415" width="10.1640625" bestFit="1" customWidth="1"/>
    <col min="3416" max="3416" width="8.6640625" customWidth="1"/>
    <col min="3585" max="3585" width="4.6640625" customWidth="1"/>
    <col min="3586" max="3586" width="19.33203125" bestFit="1" customWidth="1"/>
    <col min="3587" max="3587" width="6.33203125" bestFit="1" customWidth="1"/>
    <col min="3588" max="3588" width="8.5" bestFit="1" customWidth="1"/>
    <col min="3589" max="3589" width="8.83203125" bestFit="1" customWidth="1"/>
    <col min="3590" max="3590" width="4.6640625" customWidth="1"/>
    <col min="3591" max="3591" width="19.1640625" bestFit="1" customWidth="1"/>
    <col min="3592" max="3592" width="6.33203125" bestFit="1" customWidth="1"/>
    <col min="3593" max="3593" width="8.1640625" bestFit="1" customWidth="1"/>
    <col min="3594" max="3594" width="7.5" bestFit="1" customWidth="1"/>
    <col min="3595" max="3595" width="4.6640625" customWidth="1"/>
    <col min="3596" max="3596" width="19.1640625" bestFit="1" customWidth="1"/>
    <col min="3597" max="3597" width="6.33203125" bestFit="1" customWidth="1"/>
    <col min="3598" max="3598" width="8" bestFit="1" customWidth="1"/>
    <col min="3599" max="3599" width="8.1640625" bestFit="1" customWidth="1"/>
    <col min="3600" max="3600" width="4.6640625" customWidth="1"/>
    <col min="3601" max="3601" width="19.1640625" bestFit="1" customWidth="1"/>
    <col min="3602" max="3602" width="7.5" bestFit="1" customWidth="1"/>
    <col min="3603" max="3603" width="7.1640625" bestFit="1" customWidth="1"/>
    <col min="3604" max="3604" width="8.6640625" bestFit="1" customWidth="1"/>
    <col min="3605" max="3605" width="4.6640625" customWidth="1"/>
    <col min="3606" max="3606" width="19.1640625" bestFit="1" customWidth="1"/>
    <col min="3607" max="3607" width="7.5" bestFit="1" customWidth="1"/>
    <col min="3608" max="3608" width="7.1640625" bestFit="1" customWidth="1"/>
    <col min="3609" max="3609" width="7.5" bestFit="1" customWidth="1"/>
    <col min="3610" max="3610" width="4.6640625" customWidth="1"/>
    <col min="3611" max="3611" width="19.1640625" bestFit="1" customWidth="1"/>
    <col min="3612" max="3612" width="6.1640625" bestFit="1" customWidth="1"/>
    <col min="3613" max="3613" width="7" bestFit="1" customWidth="1"/>
    <col min="3614" max="3614" width="7.5" bestFit="1" customWidth="1"/>
    <col min="3615" max="3615" width="4.6640625" customWidth="1"/>
    <col min="3616" max="3616" width="22.1640625" bestFit="1" customWidth="1"/>
    <col min="3617" max="3617" width="6.5" customWidth="1"/>
    <col min="3618" max="3618" width="8.1640625" customWidth="1"/>
    <col min="3620" max="3620" width="7.83203125" customWidth="1"/>
    <col min="3621" max="3621" width="21.33203125" customWidth="1"/>
    <col min="3622" max="3622" width="7.33203125" customWidth="1"/>
    <col min="3624" max="3624" width="8.5" customWidth="1"/>
    <col min="3626" max="3626" width="20.5" customWidth="1"/>
    <col min="3628" max="3628" width="10.1640625" customWidth="1"/>
    <col min="3630" max="3630" width="20.1640625" customWidth="1"/>
    <col min="3631" max="3631" width="10.1640625" bestFit="1" customWidth="1"/>
    <col min="3633" max="3633" width="23.1640625" customWidth="1"/>
    <col min="3637" max="3637" width="19.5" customWidth="1"/>
    <col min="3638" max="3638" width="17.5" customWidth="1"/>
    <col min="3639" max="3639" width="13.33203125" customWidth="1"/>
    <col min="3642" max="3642" width="23.83203125" bestFit="1" customWidth="1"/>
    <col min="3646" max="3646" width="21.6640625" customWidth="1"/>
    <col min="3647" max="3647" width="10.1640625" bestFit="1" customWidth="1"/>
    <col min="3648" max="3648" width="8.6640625" customWidth="1"/>
    <col min="3650" max="3650" width="23.83203125" bestFit="1" customWidth="1"/>
    <col min="3654" max="3654" width="21.6640625" customWidth="1"/>
    <col min="3655" max="3655" width="10.1640625" bestFit="1" customWidth="1"/>
    <col min="3656" max="3656" width="8.6640625" customWidth="1"/>
    <col min="3658" max="3658" width="23.83203125" bestFit="1" customWidth="1"/>
    <col min="3662" max="3662" width="21.6640625" customWidth="1"/>
    <col min="3663" max="3663" width="10.1640625" bestFit="1" customWidth="1"/>
    <col min="3664" max="3664" width="8.6640625" customWidth="1"/>
    <col min="3666" max="3666" width="26.5" customWidth="1"/>
    <col min="3670" max="3670" width="21.6640625" customWidth="1"/>
    <col min="3671" max="3671" width="10.1640625" bestFit="1" customWidth="1"/>
    <col min="3672" max="3672" width="8.6640625" customWidth="1"/>
    <col min="3841" max="3841" width="4.6640625" customWidth="1"/>
    <col min="3842" max="3842" width="19.33203125" bestFit="1" customWidth="1"/>
    <col min="3843" max="3843" width="6.33203125" bestFit="1" customWidth="1"/>
    <col min="3844" max="3844" width="8.5" bestFit="1" customWidth="1"/>
    <col min="3845" max="3845" width="8.83203125" bestFit="1" customWidth="1"/>
    <col min="3846" max="3846" width="4.6640625" customWidth="1"/>
    <col min="3847" max="3847" width="19.1640625" bestFit="1" customWidth="1"/>
    <col min="3848" max="3848" width="6.33203125" bestFit="1" customWidth="1"/>
    <col min="3849" max="3849" width="8.1640625" bestFit="1" customWidth="1"/>
    <col min="3850" max="3850" width="7.5" bestFit="1" customWidth="1"/>
    <col min="3851" max="3851" width="4.6640625" customWidth="1"/>
    <col min="3852" max="3852" width="19.1640625" bestFit="1" customWidth="1"/>
    <col min="3853" max="3853" width="6.33203125" bestFit="1" customWidth="1"/>
    <col min="3854" max="3854" width="8" bestFit="1" customWidth="1"/>
    <col min="3855" max="3855" width="8.1640625" bestFit="1" customWidth="1"/>
    <col min="3856" max="3856" width="4.6640625" customWidth="1"/>
    <col min="3857" max="3857" width="19.1640625" bestFit="1" customWidth="1"/>
    <col min="3858" max="3858" width="7.5" bestFit="1" customWidth="1"/>
    <col min="3859" max="3859" width="7.1640625" bestFit="1" customWidth="1"/>
    <col min="3860" max="3860" width="8.6640625" bestFit="1" customWidth="1"/>
    <col min="3861" max="3861" width="4.6640625" customWidth="1"/>
    <col min="3862" max="3862" width="19.1640625" bestFit="1" customWidth="1"/>
    <col min="3863" max="3863" width="7.5" bestFit="1" customWidth="1"/>
    <col min="3864" max="3864" width="7.1640625" bestFit="1" customWidth="1"/>
    <col min="3865" max="3865" width="7.5" bestFit="1" customWidth="1"/>
    <col min="3866" max="3866" width="4.6640625" customWidth="1"/>
    <col min="3867" max="3867" width="19.1640625" bestFit="1" customWidth="1"/>
    <col min="3868" max="3868" width="6.1640625" bestFit="1" customWidth="1"/>
    <col min="3869" max="3869" width="7" bestFit="1" customWidth="1"/>
    <col min="3870" max="3870" width="7.5" bestFit="1" customWidth="1"/>
    <col min="3871" max="3871" width="4.6640625" customWidth="1"/>
    <col min="3872" max="3872" width="22.1640625" bestFit="1" customWidth="1"/>
    <col min="3873" max="3873" width="6.5" customWidth="1"/>
    <col min="3874" max="3874" width="8.1640625" customWidth="1"/>
    <col min="3876" max="3876" width="7.83203125" customWidth="1"/>
    <col min="3877" max="3877" width="21.33203125" customWidth="1"/>
    <col min="3878" max="3878" width="7.33203125" customWidth="1"/>
    <col min="3880" max="3880" width="8.5" customWidth="1"/>
    <col min="3882" max="3882" width="20.5" customWidth="1"/>
    <col min="3884" max="3884" width="10.1640625" customWidth="1"/>
    <col min="3886" max="3886" width="20.1640625" customWidth="1"/>
    <col min="3887" max="3887" width="10.1640625" bestFit="1" customWidth="1"/>
    <col min="3889" max="3889" width="23.1640625" customWidth="1"/>
    <col min="3893" max="3893" width="19.5" customWidth="1"/>
    <col min="3894" max="3894" width="17.5" customWidth="1"/>
    <col min="3895" max="3895" width="13.33203125" customWidth="1"/>
    <col min="3898" max="3898" width="23.83203125" bestFit="1" customWidth="1"/>
    <col min="3902" max="3902" width="21.6640625" customWidth="1"/>
    <col min="3903" max="3903" width="10.1640625" bestFit="1" customWidth="1"/>
    <col min="3904" max="3904" width="8.6640625" customWidth="1"/>
    <col min="3906" max="3906" width="23.83203125" bestFit="1" customWidth="1"/>
    <col min="3910" max="3910" width="21.6640625" customWidth="1"/>
    <col min="3911" max="3911" width="10.1640625" bestFit="1" customWidth="1"/>
    <col min="3912" max="3912" width="8.6640625" customWidth="1"/>
    <col min="3914" max="3914" width="23.83203125" bestFit="1" customWidth="1"/>
    <col min="3918" max="3918" width="21.6640625" customWidth="1"/>
    <col min="3919" max="3919" width="10.1640625" bestFit="1" customWidth="1"/>
    <col min="3920" max="3920" width="8.6640625" customWidth="1"/>
    <col min="3922" max="3922" width="26.5" customWidth="1"/>
    <col min="3926" max="3926" width="21.6640625" customWidth="1"/>
    <col min="3927" max="3927" width="10.1640625" bestFit="1" customWidth="1"/>
    <col min="3928" max="3928" width="8.6640625" customWidth="1"/>
    <col min="4097" max="4097" width="4.6640625" customWidth="1"/>
    <col min="4098" max="4098" width="19.33203125" bestFit="1" customWidth="1"/>
    <col min="4099" max="4099" width="6.33203125" bestFit="1" customWidth="1"/>
    <col min="4100" max="4100" width="8.5" bestFit="1" customWidth="1"/>
    <col min="4101" max="4101" width="8.83203125" bestFit="1" customWidth="1"/>
    <col min="4102" max="4102" width="4.6640625" customWidth="1"/>
    <col min="4103" max="4103" width="19.1640625" bestFit="1" customWidth="1"/>
    <col min="4104" max="4104" width="6.33203125" bestFit="1" customWidth="1"/>
    <col min="4105" max="4105" width="8.1640625" bestFit="1" customWidth="1"/>
    <col min="4106" max="4106" width="7.5" bestFit="1" customWidth="1"/>
    <col min="4107" max="4107" width="4.6640625" customWidth="1"/>
    <col min="4108" max="4108" width="19.1640625" bestFit="1" customWidth="1"/>
    <col min="4109" max="4109" width="6.33203125" bestFit="1" customWidth="1"/>
    <col min="4110" max="4110" width="8" bestFit="1" customWidth="1"/>
    <col min="4111" max="4111" width="8.1640625" bestFit="1" customWidth="1"/>
    <col min="4112" max="4112" width="4.6640625" customWidth="1"/>
    <col min="4113" max="4113" width="19.1640625" bestFit="1" customWidth="1"/>
    <col min="4114" max="4114" width="7.5" bestFit="1" customWidth="1"/>
    <col min="4115" max="4115" width="7.1640625" bestFit="1" customWidth="1"/>
    <col min="4116" max="4116" width="8.6640625" bestFit="1" customWidth="1"/>
    <col min="4117" max="4117" width="4.6640625" customWidth="1"/>
    <col min="4118" max="4118" width="19.1640625" bestFit="1" customWidth="1"/>
    <col min="4119" max="4119" width="7.5" bestFit="1" customWidth="1"/>
    <col min="4120" max="4120" width="7.1640625" bestFit="1" customWidth="1"/>
    <col min="4121" max="4121" width="7.5" bestFit="1" customWidth="1"/>
    <col min="4122" max="4122" width="4.6640625" customWidth="1"/>
    <col min="4123" max="4123" width="19.1640625" bestFit="1" customWidth="1"/>
    <col min="4124" max="4124" width="6.1640625" bestFit="1" customWidth="1"/>
    <col min="4125" max="4125" width="7" bestFit="1" customWidth="1"/>
    <col min="4126" max="4126" width="7.5" bestFit="1" customWidth="1"/>
    <col min="4127" max="4127" width="4.6640625" customWidth="1"/>
    <col min="4128" max="4128" width="22.1640625" bestFit="1" customWidth="1"/>
    <col min="4129" max="4129" width="6.5" customWidth="1"/>
    <col min="4130" max="4130" width="8.1640625" customWidth="1"/>
    <col min="4132" max="4132" width="7.83203125" customWidth="1"/>
    <col min="4133" max="4133" width="21.33203125" customWidth="1"/>
    <col min="4134" max="4134" width="7.33203125" customWidth="1"/>
    <col min="4136" max="4136" width="8.5" customWidth="1"/>
    <col min="4138" max="4138" width="20.5" customWidth="1"/>
    <col min="4140" max="4140" width="10.1640625" customWidth="1"/>
    <col min="4142" max="4142" width="20.1640625" customWidth="1"/>
    <col min="4143" max="4143" width="10.1640625" bestFit="1" customWidth="1"/>
    <col min="4145" max="4145" width="23.1640625" customWidth="1"/>
    <col min="4149" max="4149" width="19.5" customWidth="1"/>
    <col min="4150" max="4150" width="17.5" customWidth="1"/>
    <col min="4151" max="4151" width="13.33203125" customWidth="1"/>
    <col min="4154" max="4154" width="23.83203125" bestFit="1" customWidth="1"/>
    <col min="4158" max="4158" width="21.6640625" customWidth="1"/>
    <col min="4159" max="4159" width="10.1640625" bestFit="1" customWidth="1"/>
    <col min="4160" max="4160" width="8.6640625" customWidth="1"/>
    <col min="4162" max="4162" width="23.83203125" bestFit="1" customWidth="1"/>
    <col min="4166" max="4166" width="21.6640625" customWidth="1"/>
    <col min="4167" max="4167" width="10.1640625" bestFit="1" customWidth="1"/>
    <col min="4168" max="4168" width="8.6640625" customWidth="1"/>
    <col min="4170" max="4170" width="23.83203125" bestFit="1" customWidth="1"/>
    <col min="4174" max="4174" width="21.6640625" customWidth="1"/>
    <col min="4175" max="4175" width="10.1640625" bestFit="1" customWidth="1"/>
    <col min="4176" max="4176" width="8.6640625" customWidth="1"/>
    <col min="4178" max="4178" width="26.5" customWidth="1"/>
    <col min="4182" max="4182" width="21.6640625" customWidth="1"/>
    <col min="4183" max="4183" width="10.1640625" bestFit="1" customWidth="1"/>
    <col min="4184" max="4184" width="8.6640625" customWidth="1"/>
    <col min="4353" max="4353" width="4.6640625" customWidth="1"/>
    <col min="4354" max="4354" width="19.33203125" bestFit="1" customWidth="1"/>
    <col min="4355" max="4355" width="6.33203125" bestFit="1" customWidth="1"/>
    <col min="4356" max="4356" width="8.5" bestFit="1" customWidth="1"/>
    <col min="4357" max="4357" width="8.83203125" bestFit="1" customWidth="1"/>
    <col min="4358" max="4358" width="4.6640625" customWidth="1"/>
    <col min="4359" max="4359" width="19.1640625" bestFit="1" customWidth="1"/>
    <col min="4360" max="4360" width="6.33203125" bestFit="1" customWidth="1"/>
    <col min="4361" max="4361" width="8.1640625" bestFit="1" customWidth="1"/>
    <col min="4362" max="4362" width="7.5" bestFit="1" customWidth="1"/>
    <col min="4363" max="4363" width="4.6640625" customWidth="1"/>
    <col min="4364" max="4364" width="19.1640625" bestFit="1" customWidth="1"/>
    <col min="4365" max="4365" width="6.33203125" bestFit="1" customWidth="1"/>
    <col min="4366" max="4366" width="8" bestFit="1" customWidth="1"/>
    <col min="4367" max="4367" width="8.1640625" bestFit="1" customWidth="1"/>
    <col min="4368" max="4368" width="4.6640625" customWidth="1"/>
    <col min="4369" max="4369" width="19.1640625" bestFit="1" customWidth="1"/>
    <col min="4370" max="4370" width="7.5" bestFit="1" customWidth="1"/>
    <col min="4371" max="4371" width="7.1640625" bestFit="1" customWidth="1"/>
    <col min="4372" max="4372" width="8.6640625" bestFit="1" customWidth="1"/>
    <col min="4373" max="4373" width="4.6640625" customWidth="1"/>
    <col min="4374" max="4374" width="19.1640625" bestFit="1" customWidth="1"/>
    <col min="4375" max="4375" width="7.5" bestFit="1" customWidth="1"/>
    <col min="4376" max="4376" width="7.1640625" bestFit="1" customWidth="1"/>
    <col min="4377" max="4377" width="7.5" bestFit="1" customWidth="1"/>
    <col min="4378" max="4378" width="4.6640625" customWidth="1"/>
    <col min="4379" max="4379" width="19.1640625" bestFit="1" customWidth="1"/>
    <col min="4380" max="4380" width="6.1640625" bestFit="1" customWidth="1"/>
    <col min="4381" max="4381" width="7" bestFit="1" customWidth="1"/>
    <col min="4382" max="4382" width="7.5" bestFit="1" customWidth="1"/>
    <col min="4383" max="4383" width="4.6640625" customWidth="1"/>
    <col min="4384" max="4384" width="22.1640625" bestFit="1" customWidth="1"/>
    <col min="4385" max="4385" width="6.5" customWidth="1"/>
    <col min="4386" max="4386" width="8.1640625" customWidth="1"/>
    <col min="4388" max="4388" width="7.83203125" customWidth="1"/>
    <col min="4389" max="4389" width="21.33203125" customWidth="1"/>
    <col min="4390" max="4390" width="7.33203125" customWidth="1"/>
    <col min="4392" max="4392" width="8.5" customWidth="1"/>
    <col min="4394" max="4394" width="20.5" customWidth="1"/>
    <col min="4396" max="4396" width="10.1640625" customWidth="1"/>
    <col min="4398" max="4398" width="20.1640625" customWidth="1"/>
    <col min="4399" max="4399" width="10.1640625" bestFit="1" customWidth="1"/>
    <col min="4401" max="4401" width="23.1640625" customWidth="1"/>
    <col min="4405" max="4405" width="19.5" customWidth="1"/>
    <col min="4406" max="4406" width="17.5" customWidth="1"/>
    <col min="4407" max="4407" width="13.33203125" customWidth="1"/>
    <col min="4410" max="4410" width="23.83203125" bestFit="1" customWidth="1"/>
    <col min="4414" max="4414" width="21.6640625" customWidth="1"/>
    <col min="4415" max="4415" width="10.1640625" bestFit="1" customWidth="1"/>
    <col min="4416" max="4416" width="8.6640625" customWidth="1"/>
    <col min="4418" max="4418" width="23.83203125" bestFit="1" customWidth="1"/>
    <col min="4422" max="4422" width="21.6640625" customWidth="1"/>
    <col min="4423" max="4423" width="10.1640625" bestFit="1" customWidth="1"/>
    <col min="4424" max="4424" width="8.6640625" customWidth="1"/>
    <col min="4426" max="4426" width="23.83203125" bestFit="1" customWidth="1"/>
    <col min="4430" max="4430" width="21.6640625" customWidth="1"/>
    <col min="4431" max="4431" width="10.1640625" bestFit="1" customWidth="1"/>
    <col min="4432" max="4432" width="8.6640625" customWidth="1"/>
    <col min="4434" max="4434" width="26.5" customWidth="1"/>
    <col min="4438" max="4438" width="21.6640625" customWidth="1"/>
    <col min="4439" max="4439" width="10.1640625" bestFit="1" customWidth="1"/>
    <col min="4440" max="4440" width="8.6640625" customWidth="1"/>
    <col min="4609" max="4609" width="4.6640625" customWidth="1"/>
    <col min="4610" max="4610" width="19.33203125" bestFit="1" customWidth="1"/>
    <col min="4611" max="4611" width="6.33203125" bestFit="1" customWidth="1"/>
    <col min="4612" max="4612" width="8.5" bestFit="1" customWidth="1"/>
    <col min="4613" max="4613" width="8.83203125" bestFit="1" customWidth="1"/>
    <col min="4614" max="4614" width="4.6640625" customWidth="1"/>
    <col min="4615" max="4615" width="19.1640625" bestFit="1" customWidth="1"/>
    <col min="4616" max="4616" width="6.33203125" bestFit="1" customWidth="1"/>
    <col min="4617" max="4617" width="8.1640625" bestFit="1" customWidth="1"/>
    <col min="4618" max="4618" width="7.5" bestFit="1" customWidth="1"/>
    <col min="4619" max="4619" width="4.6640625" customWidth="1"/>
    <col min="4620" max="4620" width="19.1640625" bestFit="1" customWidth="1"/>
    <col min="4621" max="4621" width="6.33203125" bestFit="1" customWidth="1"/>
    <col min="4622" max="4622" width="8" bestFit="1" customWidth="1"/>
    <col min="4623" max="4623" width="8.1640625" bestFit="1" customWidth="1"/>
    <col min="4624" max="4624" width="4.6640625" customWidth="1"/>
    <col min="4625" max="4625" width="19.1640625" bestFit="1" customWidth="1"/>
    <col min="4626" max="4626" width="7.5" bestFit="1" customWidth="1"/>
    <col min="4627" max="4627" width="7.1640625" bestFit="1" customWidth="1"/>
    <col min="4628" max="4628" width="8.6640625" bestFit="1" customWidth="1"/>
    <col min="4629" max="4629" width="4.6640625" customWidth="1"/>
    <col min="4630" max="4630" width="19.1640625" bestFit="1" customWidth="1"/>
    <col min="4631" max="4631" width="7.5" bestFit="1" customWidth="1"/>
    <col min="4632" max="4632" width="7.1640625" bestFit="1" customWidth="1"/>
    <col min="4633" max="4633" width="7.5" bestFit="1" customWidth="1"/>
    <col min="4634" max="4634" width="4.6640625" customWidth="1"/>
    <col min="4635" max="4635" width="19.1640625" bestFit="1" customWidth="1"/>
    <col min="4636" max="4636" width="6.1640625" bestFit="1" customWidth="1"/>
    <col min="4637" max="4637" width="7" bestFit="1" customWidth="1"/>
    <col min="4638" max="4638" width="7.5" bestFit="1" customWidth="1"/>
    <col min="4639" max="4639" width="4.6640625" customWidth="1"/>
    <col min="4640" max="4640" width="22.1640625" bestFit="1" customWidth="1"/>
    <col min="4641" max="4641" width="6.5" customWidth="1"/>
    <col min="4642" max="4642" width="8.1640625" customWidth="1"/>
    <col min="4644" max="4644" width="7.83203125" customWidth="1"/>
    <col min="4645" max="4645" width="21.33203125" customWidth="1"/>
    <col min="4646" max="4646" width="7.33203125" customWidth="1"/>
    <col min="4648" max="4648" width="8.5" customWidth="1"/>
    <col min="4650" max="4650" width="20.5" customWidth="1"/>
    <col min="4652" max="4652" width="10.1640625" customWidth="1"/>
    <col min="4654" max="4654" width="20.1640625" customWidth="1"/>
    <col min="4655" max="4655" width="10.1640625" bestFit="1" customWidth="1"/>
    <col min="4657" max="4657" width="23.1640625" customWidth="1"/>
    <col min="4661" max="4661" width="19.5" customWidth="1"/>
    <col min="4662" max="4662" width="17.5" customWidth="1"/>
    <col min="4663" max="4663" width="13.33203125" customWidth="1"/>
    <col min="4666" max="4666" width="23.83203125" bestFit="1" customWidth="1"/>
    <col min="4670" max="4670" width="21.6640625" customWidth="1"/>
    <col min="4671" max="4671" width="10.1640625" bestFit="1" customWidth="1"/>
    <col min="4672" max="4672" width="8.6640625" customWidth="1"/>
    <col min="4674" max="4674" width="23.83203125" bestFit="1" customWidth="1"/>
    <col min="4678" max="4678" width="21.6640625" customWidth="1"/>
    <col min="4679" max="4679" width="10.1640625" bestFit="1" customWidth="1"/>
    <col min="4680" max="4680" width="8.6640625" customWidth="1"/>
    <col min="4682" max="4682" width="23.83203125" bestFit="1" customWidth="1"/>
    <col min="4686" max="4686" width="21.6640625" customWidth="1"/>
    <col min="4687" max="4687" width="10.1640625" bestFit="1" customWidth="1"/>
    <col min="4688" max="4688" width="8.6640625" customWidth="1"/>
    <col min="4690" max="4690" width="26.5" customWidth="1"/>
    <col min="4694" max="4694" width="21.6640625" customWidth="1"/>
    <col min="4695" max="4695" width="10.1640625" bestFit="1" customWidth="1"/>
    <col min="4696" max="4696" width="8.6640625" customWidth="1"/>
    <col min="4865" max="4865" width="4.6640625" customWidth="1"/>
    <col min="4866" max="4866" width="19.33203125" bestFit="1" customWidth="1"/>
    <col min="4867" max="4867" width="6.33203125" bestFit="1" customWidth="1"/>
    <col min="4868" max="4868" width="8.5" bestFit="1" customWidth="1"/>
    <col min="4869" max="4869" width="8.83203125" bestFit="1" customWidth="1"/>
    <col min="4870" max="4870" width="4.6640625" customWidth="1"/>
    <col min="4871" max="4871" width="19.1640625" bestFit="1" customWidth="1"/>
    <col min="4872" max="4872" width="6.33203125" bestFit="1" customWidth="1"/>
    <col min="4873" max="4873" width="8.1640625" bestFit="1" customWidth="1"/>
    <col min="4874" max="4874" width="7.5" bestFit="1" customWidth="1"/>
    <col min="4875" max="4875" width="4.6640625" customWidth="1"/>
    <col min="4876" max="4876" width="19.1640625" bestFit="1" customWidth="1"/>
    <col min="4877" max="4877" width="6.33203125" bestFit="1" customWidth="1"/>
    <col min="4878" max="4878" width="8" bestFit="1" customWidth="1"/>
    <col min="4879" max="4879" width="8.1640625" bestFit="1" customWidth="1"/>
    <col min="4880" max="4880" width="4.6640625" customWidth="1"/>
    <col min="4881" max="4881" width="19.1640625" bestFit="1" customWidth="1"/>
    <col min="4882" max="4882" width="7.5" bestFit="1" customWidth="1"/>
    <col min="4883" max="4883" width="7.1640625" bestFit="1" customWidth="1"/>
    <col min="4884" max="4884" width="8.6640625" bestFit="1" customWidth="1"/>
    <col min="4885" max="4885" width="4.6640625" customWidth="1"/>
    <col min="4886" max="4886" width="19.1640625" bestFit="1" customWidth="1"/>
    <col min="4887" max="4887" width="7.5" bestFit="1" customWidth="1"/>
    <col min="4888" max="4888" width="7.1640625" bestFit="1" customWidth="1"/>
    <col min="4889" max="4889" width="7.5" bestFit="1" customWidth="1"/>
    <col min="4890" max="4890" width="4.6640625" customWidth="1"/>
    <col min="4891" max="4891" width="19.1640625" bestFit="1" customWidth="1"/>
    <col min="4892" max="4892" width="6.1640625" bestFit="1" customWidth="1"/>
    <col min="4893" max="4893" width="7" bestFit="1" customWidth="1"/>
    <col min="4894" max="4894" width="7.5" bestFit="1" customWidth="1"/>
    <col min="4895" max="4895" width="4.6640625" customWidth="1"/>
    <col min="4896" max="4896" width="22.1640625" bestFit="1" customWidth="1"/>
    <col min="4897" max="4897" width="6.5" customWidth="1"/>
    <col min="4898" max="4898" width="8.1640625" customWidth="1"/>
    <col min="4900" max="4900" width="7.83203125" customWidth="1"/>
    <col min="4901" max="4901" width="21.33203125" customWidth="1"/>
    <col min="4902" max="4902" width="7.33203125" customWidth="1"/>
    <col min="4904" max="4904" width="8.5" customWidth="1"/>
    <col min="4906" max="4906" width="20.5" customWidth="1"/>
    <col min="4908" max="4908" width="10.1640625" customWidth="1"/>
    <col min="4910" max="4910" width="20.1640625" customWidth="1"/>
    <col min="4911" max="4911" width="10.1640625" bestFit="1" customWidth="1"/>
    <col min="4913" max="4913" width="23.1640625" customWidth="1"/>
    <col min="4917" max="4917" width="19.5" customWidth="1"/>
    <col min="4918" max="4918" width="17.5" customWidth="1"/>
    <col min="4919" max="4919" width="13.33203125" customWidth="1"/>
    <col min="4922" max="4922" width="23.83203125" bestFit="1" customWidth="1"/>
    <col min="4926" max="4926" width="21.6640625" customWidth="1"/>
    <col min="4927" max="4927" width="10.1640625" bestFit="1" customWidth="1"/>
    <col min="4928" max="4928" width="8.6640625" customWidth="1"/>
    <col min="4930" max="4930" width="23.83203125" bestFit="1" customWidth="1"/>
    <col min="4934" max="4934" width="21.6640625" customWidth="1"/>
    <col min="4935" max="4935" width="10.1640625" bestFit="1" customWidth="1"/>
    <col min="4936" max="4936" width="8.6640625" customWidth="1"/>
    <col min="4938" max="4938" width="23.83203125" bestFit="1" customWidth="1"/>
    <col min="4942" max="4942" width="21.6640625" customWidth="1"/>
    <col min="4943" max="4943" width="10.1640625" bestFit="1" customWidth="1"/>
    <col min="4944" max="4944" width="8.6640625" customWidth="1"/>
    <col min="4946" max="4946" width="26.5" customWidth="1"/>
    <col min="4950" max="4950" width="21.6640625" customWidth="1"/>
    <col min="4951" max="4951" width="10.1640625" bestFit="1" customWidth="1"/>
    <col min="4952" max="4952" width="8.6640625" customWidth="1"/>
    <col min="5121" max="5121" width="4.6640625" customWidth="1"/>
    <col min="5122" max="5122" width="19.33203125" bestFit="1" customWidth="1"/>
    <col min="5123" max="5123" width="6.33203125" bestFit="1" customWidth="1"/>
    <col min="5124" max="5124" width="8.5" bestFit="1" customWidth="1"/>
    <col min="5125" max="5125" width="8.83203125" bestFit="1" customWidth="1"/>
    <col min="5126" max="5126" width="4.6640625" customWidth="1"/>
    <col min="5127" max="5127" width="19.1640625" bestFit="1" customWidth="1"/>
    <col min="5128" max="5128" width="6.33203125" bestFit="1" customWidth="1"/>
    <col min="5129" max="5129" width="8.1640625" bestFit="1" customWidth="1"/>
    <col min="5130" max="5130" width="7.5" bestFit="1" customWidth="1"/>
    <col min="5131" max="5131" width="4.6640625" customWidth="1"/>
    <col min="5132" max="5132" width="19.1640625" bestFit="1" customWidth="1"/>
    <col min="5133" max="5133" width="6.33203125" bestFit="1" customWidth="1"/>
    <col min="5134" max="5134" width="8" bestFit="1" customWidth="1"/>
    <col min="5135" max="5135" width="8.1640625" bestFit="1" customWidth="1"/>
    <col min="5136" max="5136" width="4.6640625" customWidth="1"/>
    <col min="5137" max="5137" width="19.1640625" bestFit="1" customWidth="1"/>
    <col min="5138" max="5138" width="7.5" bestFit="1" customWidth="1"/>
    <col min="5139" max="5139" width="7.1640625" bestFit="1" customWidth="1"/>
    <col min="5140" max="5140" width="8.6640625" bestFit="1" customWidth="1"/>
    <col min="5141" max="5141" width="4.6640625" customWidth="1"/>
    <col min="5142" max="5142" width="19.1640625" bestFit="1" customWidth="1"/>
    <col min="5143" max="5143" width="7.5" bestFit="1" customWidth="1"/>
    <col min="5144" max="5144" width="7.1640625" bestFit="1" customWidth="1"/>
    <col min="5145" max="5145" width="7.5" bestFit="1" customWidth="1"/>
    <col min="5146" max="5146" width="4.6640625" customWidth="1"/>
    <col min="5147" max="5147" width="19.1640625" bestFit="1" customWidth="1"/>
    <col min="5148" max="5148" width="6.1640625" bestFit="1" customWidth="1"/>
    <col min="5149" max="5149" width="7" bestFit="1" customWidth="1"/>
    <col min="5150" max="5150" width="7.5" bestFit="1" customWidth="1"/>
    <col min="5151" max="5151" width="4.6640625" customWidth="1"/>
    <col min="5152" max="5152" width="22.1640625" bestFit="1" customWidth="1"/>
    <col min="5153" max="5153" width="6.5" customWidth="1"/>
    <col min="5154" max="5154" width="8.1640625" customWidth="1"/>
    <col min="5156" max="5156" width="7.83203125" customWidth="1"/>
    <col min="5157" max="5157" width="21.33203125" customWidth="1"/>
    <col min="5158" max="5158" width="7.33203125" customWidth="1"/>
    <col min="5160" max="5160" width="8.5" customWidth="1"/>
    <col min="5162" max="5162" width="20.5" customWidth="1"/>
    <col min="5164" max="5164" width="10.1640625" customWidth="1"/>
    <col min="5166" max="5166" width="20.1640625" customWidth="1"/>
    <col min="5167" max="5167" width="10.1640625" bestFit="1" customWidth="1"/>
    <col min="5169" max="5169" width="23.1640625" customWidth="1"/>
    <col min="5173" max="5173" width="19.5" customWidth="1"/>
    <col min="5174" max="5174" width="17.5" customWidth="1"/>
    <col min="5175" max="5175" width="13.33203125" customWidth="1"/>
    <col min="5178" max="5178" width="23.83203125" bestFit="1" customWidth="1"/>
    <col min="5182" max="5182" width="21.6640625" customWidth="1"/>
    <col min="5183" max="5183" width="10.1640625" bestFit="1" customWidth="1"/>
    <col min="5184" max="5184" width="8.6640625" customWidth="1"/>
    <col min="5186" max="5186" width="23.83203125" bestFit="1" customWidth="1"/>
    <col min="5190" max="5190" width="21.6640625" customWidth="1"/>
    <col min="5191" max="5191" width="10.1640625" bestFit="1" customWidth="1"/>
    <col min="5192" max="5192" width="8.6640625" customWidth="1"/>
    <col min="5194" max="5194" width="23.83203125" bestFit="1" customWidth="1"/>
    <col min="5198" max="5198" width="21.6640625" customWidth="1"/>
    <col min="5199" max="5199" width="10.1640625" bestFit="1" customWidth="1"/>
    <col min="5200" max="5200" width="8.6640625" customWidth="1"/>
    <col min="5202" max="5202" width="26.5" customWidth="1"/>
    <col min="5206" max="5206" width="21.6640625" customWidth="1"/>
    <col min="5207" max="5207" width="10.1640625" bestFit="1" customWidth="1"/>
    <col min="5208" max="5208" width="8.6640625" customWidth="1"/>
    <col min="5377" max="5377" width="4.6640625" customWidth="1"/>
    <col min="5378" max="5378" width="19.33203125" bestFit="1" customWidth="1"/>
    <col min="5379" max="5379" width="6.33203125" bestFit="1" customWidth="1"/>
    <col min="5380" max="5380" width="8.5" bestFit="1" customWidth="1"/>
    <col min="5381" max="5381" width="8.83203125" bestFit="1" customWidth="1"/>
    <col min="5382" max="5382" width="4.6640625" customWidth="1"/>
    <col min="5383" max="5383" width="19.1640625" bestFit="1" customWidth="1"/>
    <col min="5384" max="5384" width="6.33203125" bestFit="1" customWidth="1"/>
    <col min="5385" max="5385" width="8.1640625" bestFit="1" customWidth="1"/>
    <col min="5386" max="5386" width="7.5" bestFit="1" customWidth="1"/>
    <col min="5387" max="5387" width="4.6640625" customWidth="1"/>
    <col min="5388" max="5388" width="19.1640625" bestFit="1" customWidth="1"/>
    <col min="5389" max="5389" width="6.33203125" bestFit="1" customWidth="1"/>
    <col min="5390" max="5390" width="8" bestFit="1" customWidth="1"/>
    <col min="5391" max="5391" width="8.1640625" bestFit="1" customWidth="1"/>
    <col min="5392" max="5392" width="4.6640625" customWidth="1"/>
    <col min="5393" max="5393" width="19.1640625" bestFit="1" customWidth="1"/>
    <col min="5394" max="5394" width="7.5" bestFit="1" customWidth="1"/>
    <col min="5395" max="5395" width="7.1640625" bestFit="1" customWidth="1"/>
    <col min="5396" max="5396" width="8.6640625" bestFit="1" customWidth="1"/>
    <col min="5397" max="5397" width="4.6640625" customWidth="1"/>
    <col min="5398" max="5398" width="19.1640625" bestFit="1" customWidth="1"/>
    <col min="5399" max="5399" width="7.5" bestFit="1" customWidth="1"/>
    <col min="5400" max="5400" width="7.1640625" bestFit="1" customWidth="1"/>
    <col min="5401" max="5401" width="7.5" bestFit="1" customWidth="1"/>
    <col min="5402" max="5402" width="4.6640625" customWidth="1"/>
    <col min="5403" max="5403" width="19.1640625" bestFit="1" customWidth="1"/>
    <col min="5404" max="5404" width="6.1640625" bestFit="1" customWidth="1"/>
    <col min="5405" max="5405" width="7" bestFit="1" customWidth="1"/>
    <col min="5406" max="5406" width="7.5" bestFit="1" customWidth="1"/>
    <col min="5407" max="5407" width="4.6640625" customWidth="1"/>
    <col min="5408" max="5408" width="22.1640625" bestFit="1" customWidth="1"/>
    <col min="5409" max="5409" width="6.5" customWidth="1"/>
    <col min="5410" max="5410" width="8.1640625" customWidth="1"/>
    <col min="5412" max="5412" width="7.83203125" customWidth="1"/>
    <col min="5413" max="5413" width="21.33203125" customWidth="1"/>
    <col min="5414" max="5414" width="7.33203125" customWidth="1"/>
    <col min="5416" max="5416" width="8.5" customWidth="1"/>
    <col min="5418" max="5418" width="20.5" customWidth="1"/>
    <col min="5420" max="5420" width="10.1640625" customWidth="1"/>
    <col min="5422" max="5422" width="20.1640625" customWidth="1"/>
    <col min="5423" max="5423" width="10.1640625" bestFit="1" customWidth="1"/>
    <col min="5425" max="5425" width="23.1640625" customWidth="1"/>
    <col min="5429" max="5429" width="19.5" customWidth="1"/>
    <col min="5430" max="5430" width="17.5" customWidth="1"/>
    <col min="5431" max="5431" width="13.33203125" customWidth="1"/>
    <col min="5434" max="5434" width="23.83203125" bestFit="1" customWidth="1"/>
    <col min="5438" max="5438" width="21.6640625" customWidth="1"/>
    <col min="5439" max="5439" width="10.1640625" bestFit="1" customWidth="1"/>
    <col min="5440" max="5440" width="8.6640625" customWidth="1"/>
    <col min="5442" max="5442" width="23.83203125" bestFit="1" customWidth="1"/>
    <col min="5446" max="5446" width="21.6640625" customWidth="1"/>
    <col min="5447" max="5447" width="10.1640625" bestFit="1" customWidth="1"/>
    <col min="5448" max="5448" width="8.6640625" customWidth="1"/>
    <col min="5450" max="5450" width="23.83203125" bestFit="1" customWidth="1"/>
    <col min="5454" max="5454" width="21.6640625" customWidth="1"/>
    <col min="5455" max="5455" width="10.1640625" bestFit="1" customWidth="1"/>
    <col min="5456" max="5456" width="8.6640625" customWidth="1"/>
    <col min="5458" max="5458" width="26.5" customWidth="1"/>
    <col min="5462" max="5462" width="21.6640625" customWidth="1"/>
    <col min="5463" max="5463" width="10.1640625" bestFit="1" customWidth="1"/>
    <col min="5464" max="5464" width="8.6640625" customWidth="1"/>
    <col min="5633" max="5633" width="4.6640625" customWidth="1"/>
    <col min="5634" max="5634" width="19.33203125" bestFit="1" customWidth="1"/>
    <col min="5635" max="5635" width="6.33203125" bestFit="1" customWidth="1"/>
    <col min="5636" max="5636" width="8.5" bestFit="1" customWidth="1"/>
    <col min="5637" max="5637" width="8.83203125" bestFit="1" customWidth="1"/>
    <col min="5638" max="5638" width="4.6640625" customWidth="1"/>
    <col min="5639" max="5639" width="19.1640625" bestFit="1" customWidth="1"/>
    <col min="5640" max="5640" width="6.33203125" bestFit="1" customWidth="1"/>
    <col min="5641" max="5641" width="8.1640625" bestFit="1" customWidth="1"/>
    <col min="5642" max="5642" width="7.5" bestFit="1" customWidth="1"/>
    <col min="5643" max="5643" width="4.6640625" customWidth="1"/>
    <col min="5644" max="5644" width="19.1640625" bestFit="1" customWidth="1"/>
    <col min="5645" max="5645" width="6.33203125" bestFit="1" customWidth="1"/>
    <col min="5646" max="5646" width="8" bestFit="1" customWidth="1"/>
    <col min="5647" max="5647" width="8.1640625" bestFit="1" customWidth="1"/>
    <col min="5648" max="5648" width="4.6640625" customWidth="1"/>
    <col min="5649" max="5649" width="19.1640625" bestFit="1" customWidth="1"/>
    <col min="5650" max="5650" width="7.5" bestFit="1" customWidth="1"/>
    <col min="5651" max="5651" width="7.1640625" bestFit="1" customWidth="1"/>
    <col min="5652" max="5652" width="8.6640625" bestFit="1" customWidth="1"/>
    <col min="5653" max="5653" width="4.6640625" customWidth="1"/>
    <col min="5654" max="5654" width="19.1640625" bestFit="1" customWidth="1"/>
    <col min="5655" max="5655" width="7.5" bestFit="1" customWidth="1"/>
    <col min="5656" max="5656" width="7.1640625" bestFit="1" customWidth="1"/>
    <col min="5657" max="5657" width="7.5" bestFit="1" customWidth="1"/>
    <col min="5658" max="5658" width="4.6640625" customWidth="1"/>
    <col min="5659" max="5659" width="19.1640625" bestFit="1" customWidth="1"/>
    <col min="5660" max="5660" width="6.1640625" bestFit="1" customWidth="1"/>
    <col min="5661" max="5661" width="7" bestFit="1" customWidth="1"/>
    <col min="5662" max="5662" width="7.5" bestFit="1" customWidth="1"/>
    <col min="5663" max="5663" width="4.6640625" customWidth="1"/>
    <col min="5664" max="5664" width="22.1640625" bestFit="1" customWidth="1"/>
    <col min="5665" max="5665" width="6.5" customWidth="1"/>
    <col min="5666" max="5666" width="8.1640625" customWidth="1"/>
    <col min="5668" max="5668" width="7.83203125" customWidth="1"/>
    <col min="5669" max="5669" width="21.33203125" customWidth="1"/>
    <col min="5670" max="5670" width="7.33203125" customWidth="1"/>
    <col min="5672" max="5672" width="8.5" customWidth="1"/>
    <col min="5674" max="5674" width="20.5" customWidth="1"/>
    <col min="5676" max="5676" width="10.1640625" customWidth="1"/>
    <col min="5678" max="5678" width="20.1640625" customWidth="1"/>
    <col min="5679" max="5679" width="10.1640625" bestFit="1" customWidth="1"/>
    <col min="5681" max="5681" width="23.1640625" customWidth="1"/>
    <col min="5685" max="5685" width="19.5" customWidth="1"/>
    <col min="5686" max="5686" width="17.5" customWidth="1"/>
    <col min="5687" max="5687" width="13.33203125" customWidth="1"/>
    <col min="5690" max="5690" width="23.83203125" bestFit="1" customWidth="1"/>
    <col min="5694" max="5694" width="21.6640625" customWidth="1"/>
    <col min="5695" max="5695" width="10.1640625" bestFit="1" customWidth="1"/>
    <col min="5696" max="5696" width="8.6640625" customWidth="1"/>
    <col min="5698" max="5698" width="23.83203125" bestFit="1" customWidth="1"/>
    <col min="5702" max="5702" width="21.6640625" customWidth="1"/>
    <col min="5703" max="5703" width="10.1640625" bestFit="1" customWidth="1"/>
    <col min="5704" max="5704" width="8.6640625" customWidth="1"/>
    <col min="5706" max="5706" width="23.83203125" bestFit="1" customWidth="1"/>
    <col min="5710" max="5710" width="21.6640625" customWidth="1"/>
    <col min="5711" max="5711" width="10.1640625" bestFit="1" customWidth="1"/>
    <col min="5712" max="5712" width="8.6640625" customWidth="1"/>
    <col min="5714" max="5714" width="26.5" customWidth="1"/>
    <col min="5718" max="5718" width="21.6640625" customWidth="1"/>
    <col min="5719" max="5719" width="10.1640625" bestFit="1" customWidth="1"/>
    <col min="5720" max="5720" width="8.6640625" customWidth="1"/>
    <col min="5889" max="5889" width="4.6640625" customWidth="1"/>
    <col min="5890" max="5890" width="19.33203125" bestFit="1" customWidth="1"/>
    <col min="5891" max="5891" width="6.33203125" bestFit="1" customWidth="1"/>
    <col min="5892" max="5892" width="8.5" bestFit="1" customWidth="1"/>
    <col min="5893" max="5893" width="8.83203125" bestFit="1" customWidth="1"/>
    <col min="5894" max="5894" width="4.6640625" customWidth="1"/>
    <col min="5895" max="5895" width="19.1640625" bestFit="1" customWidth="1"/>
    <col min="5896" max="5896" width="6.33203125" bestFit="1" customWidth="1"/>
    <col min="5897" max="5897" width="8.1640625" bestFit="1" customWidth="1"/>
    <col min="5898" max="5898" width="7.5" bestFit="1" customWidth="1"/>
    <col min="5899" max="5899" width="4.6640625" customWidth="1"/>
    <col min="5900" max="5900" width="19.1640625" bestFit="1" customWidth="1"/>
    <col min="5901" max="5901" width="6.33203125" bestFit="1" customWidth="1"/>
    <col min="5902" max="5902" width="8" bestFit="1" customWidth="1"/>
    <col min="5903" max="5903" width="8.1640625" bestFit="1" customWidth="1"/>
    <col min="5904" max="5904" width="4.6640625" customWidth="1"/>
    <col min="5905" max="5905" width="19.1640625" bestFit="1" customWidth="1"/>
    <col min="5906" max="5906" width="7.5" bestFit="1" customWidth="1"/>
    <col min="5907" max="5907" width="7.1640625" bestFit="1" customWidth="1"/>
    <col min="5908" max="5908" width="8.6640625" bestFit="1" customWidth="1"/>
    <col min="5909" max="5909" width="4.6640625" customWidth="1"/>
    <col min="5910" max="5910" width="19.1640625" bestFit="1" customWidth="1"/>
    <col min="5911" max="5911" width="7.5" bestFit="1" customWidth="1"/>
    <col min="5912" max="5912" width="7.1640625" bestFit="1" customWidth="1"/>
    <col min="5913" max="5913" width="7.5" bestFit="1" customWidth="1"/>
    <col min="5914" max="5914" width="4.6640625" customWidth="1"/>
    <col min="5915" max="5915" width="19.1640625" bestFit="1" customWidth="1"/>
    <col min="5916" max="5916" width="6.1640625" bestFit="1" customWidth="1"/>
    <col min="5917" max="5917" width="7" bestFit="1" customWidth="1"/>
    <col min="5918" max="5918" width="7.5" bestFit="1" customWidth="1"/>
    <col min="5919" max="5919" width="4.6640625" customWidth="1"/>
    <col min="5920" max="5920" width="22.1640625" bestFit="1" customWidth="1"/>
    <col min="5921" max="5921" width="6.5" customWidth="1"/>
    <col min="5922" max="5922" width="8.1640625" customWidth="1"/>
    <col min="5924" max="5924" width="7.83203125" customWidth="1"/>
    <col min="5925" max="5925" width="21.33203125" customWidth="1"/>
    <col min="5926" max="5926" width="7.33203125" customWidth="1"/>
    <col min="5928" max="5928" width="8.5" customWidth="1"/>
    <col min="5930" max="5930" width="20.5" customWidth="1"/>
    <col min="5932" max="5932" width="10.1640625" customWidth="1"/>
    <col min="5934" max="5934" width="20.1640625" customWidth="1"/>
    <col min="5935" max="5935" width="10.1640625" bestFit="1" customWidth="1"/>
    <col min="5937" max="5937" width="23.1640625" customWidth="1"/>
    <col min="5941" max="5941" width="19.5" customWidth="1"/>
    <col min="5942" max="5942" width="17.5" customWidth="1"/>
    <col min="5943" max="5943" width="13.33203125" customWidth="1"/>
    <col min="5946" max="5946" width="23.83203125" bestFit="1" customWidth="1"/>
    <col min="5950" max="5950" width="21.6640625" customWidth="1"/>
    <col min="5951" max="5951" width="10.1640625" bestFit="1" customWidth="1"/>
    <col min="5952" max="5952" width="8.6640625" customWidth="1"/>
    <col min="5954" max="5954" width="23.83203125" bestFit="1" customWidth="1"/>
    <col min="5958" max="5958" width="21.6640625" customWidth="1"/>
    <col min="5959" max="5959" width="10.1640625" bestFit="1" customWidth="1"/>
    <col min="5960" max="5960" width="8.6640625" customWidth="1"/>
    <col min="5962" max="5962" width="23.83203125" bestFit="1" customWidth="1"/>
    <col min="5966" max="5966" width="21.6640625" customWidth="1"/>
    <col min="5967" max="5967" width="10.1640625" bestFit="1" customWidth="1"/>
    <col min="5968" max="5968" width="8.6640625" customWidth="1"/>
    <col min="5970" max="5970" width="26.5" customWidth="1"/>
    <col min="5974" max="5974" width="21.6640625" customWidth="1"/>
    <col min="5975" max="5975" width="10.1640625" bestFit="1" customWidth="1"/>
    <col min="5976" max="5976" width="8.6640625" customWidth="1"/>
    <col min="6145" max="6145" width="4.6640625" customWidth="1"/>
    <col min="6146" max="6146" width="19.33203125" bestFit="1" customWidth="1"/>
    <col min="6147" max="6147" width="6.33203125" bestFit="1" customWidth="1"/>
    <col min="6148" max="6148" width="8.5" bestFit="1" customWidth="1"/>
    <col min="6149" max="6149" width="8.83203125" bestFit="1" customWidth="1"/>
    <col min="6150" max="6150" width="4.6640625" customWidth="1"/>
    <col min="6151" max="6151" width="19.1640625" bestFit="1" customWidth="1"/>
    <col min="6152" max="6152" width="6.33203125" bestFit="1" customWidth="1"/>
    <col min="6153" max="6153" width="8.1640625" bestFit="1" customWidth="1"/>
    <col min="6154" max="6154" width="7.5" bestFit="1" customWidth="1"/>
    <col min="6155" max="6155" width="4.6640625" customWidth="1"/>
    <col min="6156" max="6156" width="19.1640625" bestFit="1" customWidth="1"/>
    <col min="6157" max="6157" width="6.33203125" bestFit="1" customWidth="1"/>
    <col min="6158" max="6158" width="8" bestFit="1" customWidth="1"/>
    <col min="6159" max="6159" width="8.1640625" bestFit="1" customWidth="1"/>
    <col min="6160" max="6160" width="4.6640625" customWidth="1"/>
    <col min="6161" max="6161" width="19.1640625" bestFit="1" customWidth="1"/>
    <col min="6162" max="6162" width="7.5" bestFit="1" customWidth="1"/>
    <col min="6163" max="6163" width="7.1640625" bestFit="1" customWidth="1"/>
    <col min="6164" max="6164" width="8.6640625" bestFit="1" customWidth="1"/>
    <col min="6165" max="6165" width="4.6640625" customWidth="1"/>
    <col min="6166" max="6166" width="19.1640625" bestFit="1" customWidth="1"/>
    <col min="6167" max="6167" width="7.5" bestFit="1" customWidth="1"/>
    <col min="6168" max="6168" width="7.1640625" bestFit="1" customWidth="1"/>
    <col min="6169" max="6169" width="7.5" bestFit="1" customWidth="1"/>
    <col min="6170" max="6170" width="4.6640625" customWidth="1"/>
    <col min="6171" max="6171" width="19.1640625" bestFit="1" customWidth="1"/>
    <col min="6172" max="6172" width="6.1640625" bestFit="1" customWidth="1"/>
    <col min="6173" max="6173" width="7" bestFit="1" customWidth="1"/>
    <col min="6174" max="6174" width="7.5" bestFit="1" customWidth="1"/>
    <col min="6175" max="6175" width="4.6640625" customWidth="1"/>
    <col min="6176" max="6176" width="22.1640625" bestFit="1" customWidth="1"/>
    <col min="6177" max="6177" width="6.5" customWidth="1"/>
    <col min="6178" max="6178" width="8.1640625" customWidth="1"/>
    <col min="6180" max="6180" width="7.83203125" customWidth="1"/>
    <col min="6181" max="6181" width="21.33203125" customWidth="1"/>
    <col min="6182" max="6182" width="7.33203125" customWidth="1"/>
    <col min="6184" max="6184" width="8.5" customWidth="1"/>
    <col min="6186" max="6186" width="20.5" customWidth="1"/>
    <col min="6188" max="6188" width="10.1640625" customWidth="1"/>
    <col min="6190" max="6190" width="20.1640625" customWidth="1"/>
    <col min="6191" max="6191" width="10.1640625" bestFit="1" customWidth="1"/>
    <col min="6193" max="6193" width="23.1640625" customWidth="1"/>
    <col min="6197" max="6197" width="19.5" customWidth="1"/>
    <col min="6198" max="6198" width="17.5" customWidth="1"/>
    <col min="6199" max="6199" width="13.33203125" customWidth="1"/>
    <col min="6202" max="6202" width="23.83203125" bestFit="1" customWidth="1"/>
    <col min="6206" max="6206" width="21.6640625" customWidth="1"/>
    <col min="6207" max="6207" width="10.1640625" bestFit="1" customWidth="1"/>
    <col min="6208" max="6208" width="8.6640625" customWidth="1"/>
    <col min="6210" max="6210" width="23.83203125" bestFit="1" customWidth="1"/>
    <col min="6214" max="6214" width="21.6640625" customWidth="1"/>
    <col min="6215" max="6215" width="10.1640625" bestFit="1" customWidth="1"/>
    <col min="6216" max="6216" width="8.6640625" customWidth="1"/>
    <col min="6218" max="6218" width="23.83203125" bestFit="1" customWidth="1"/>
    <col min="6222" max="6222" width="21.6640625" customWidth="1"/>
    <col min="6223" max="6223" width="10.1640625" bestFit="1" customWidth="1"/>
    <col min="6224" max="6224" width="8.6640625" customWidth="1"/>
    <col min="6226" max="6226" width="26.5" customWidth="1"/>
    <col min="6230" max="6230" width="21.6640625" customWidth="1"/>
    <col min="6231" max="6231" width="10.1640625" bestFit="1" customWidth="1"/>
    <col min="6232" max="6232" width="8.6640625" customWidth="1"/>
    <col min="6401" max="6401" width="4.6640625" customWidth="1"/>
    <col min="6402" max="6402" width="19.33203125" bestFit="1" customWidth="1"/>
    <col min="6403" max="6403" width="6.33203125" bestFit="1" customWidth="1"/>
    <col min="6404" max="6404" width="8.5" bestFit="1" customWidth="1"/>
    <col min="6405" max="6405" width="8.83203125" bestFit="1" customWidth="1"/>
    <col min="6406" max="6406" width="4.6640625" customWidth="1"/>
    <col min="6407" max="6407" width="19.1640625" bestFit="1" customWidth="1"/>
    <col min="6408" max="6408" width="6.33203125" bestFit="1" customWidth="1"/>
    <col min="6409" max="6409" width="8.1640625" bestFit="1" customWidth="1"/>
    <col min="6410" max="6410" width="7.5" bestFit="1" customWidth="1"/>
    <col min="6411" max="6411" width="4.6640625" customWidth="1"/>
    <col min="6412" max="6412" width="19.1640625" bestFit="1" customWidth="1"/>
    <col min="6413" max="6413" width="6.33203125" bestFit="1" customWidth="1"/>
    <col min="6414" max="6414" width="8" bestFit="1" customWidth="1"/>
    <col min="6415" max="6415" width="8.1640625" bestFit="1" customWidth="1"/>
    <col min="6416" max="6416" width="4.6640625" customWidth="1"/>
    <col min="6417" max="6417" width="19.1640625" bestFit="1" customWidth="1"/>
    <col min="6418" max="6418" width="7.5" bestFit="1" customWidth="1"/>
    <col min="6419" max="6419" width="7.1640625" bestFit="1" customWidth="1"/>
    <col min="6420" max="6420" width="8.6640625" bestFit="1" customWidth="1"/>
    <col min="6421" max="6421" width="4.6640625" customWidth="1"/>
    <col min="6422" max="6422" width="19.1640625" bestFit="1" customWidth="1"/>
    <col min="6423" max="6423" width="7.5" bestFit="1" customWidth="1"/>
    <col min="6424" max="6424" width="7.1640625" bestFit="1" customWidth="1"/>
    <col min="6425" max="6425" width="7.5" bestFit="1" customWidth="1"/>
    <col min="6426" max="6426" width="4.6640625" customWidth="1"/>
    <col min="6427" max="6427" width="19.1640625" bestFit="1" customWidth="1"/>
    <col min="6428" max="6428" width="6.1640625" bestFit="1" customWidth="1"/>
    <col min="6429" max="6429" width="7" bestFit="1" customWidth="1"/>
    <col min="6430" max="6430" width="7.5" bestFit="1" customWidth="1"/>
    <col min="6431" max="6431" width="4.6640625" customWidth="1"/>
    <col min="6432" max="6432" width="22.1640625" bestFit="1" customWidth="1"/>
    <col min="6433" max="6433" width="6.5" customWidth="1"/>
    <col min="6434" max="6434" width="8.1640625" customWidth="1"/>
    <col min="6436" max="6436" width="7.83203125" customWidth="1"/>
    <col min="6437" max="6437" width="21.33203125" customWidth="1"/>
    <col min="6438" max="6438" width="7.33203125" customWidth="1"/>
    <col min="6440" max="6440" width="8.5" customWidth="1"/>
    <col min="6442" max="6442" width="20.5" customWidth="1"/>
    <col min="6444" max="6444" width="10.1640625" customWidth="1"/>
    <col min="6446" max="6446" width="20.1640625" customWidth="1"/>
    <col min="6447" max="6447" width="10.1640625" bestFit="1" customWidth="1"/>
    <col min="6449" max="6449" width="23.1640625" customWidth="1"/>
    <col min="6453" max="6453" width="19.5" customWidth="1"/>
    <col min="6454" max="6454" width="17.5" customWidth="1"/>
    <col min="6455" max="6455" width="13.33203125" customWidth="1"/>
    <col min="6458" max="6458" width="23.83203125" bestFit="1" customWidth="1"/>
    <col min="6462" max="6462" width="21.6640625" customWidth="1"/>
    <col min="6463" max="6463" width="10.1640625" bestFit="1" customWidth="1"/>
    <col min="6464" max="6464" width="8.6640625" customWidth="1"/>
    <col min="6466" max="6466" width="23.83203125" bestFit="1" customWidth="1"/>
    <col min="6470" max="6470" width="21.6640625" customWidth="1"/>
    <col min="6471" max="6471" width="10.1640625" bestFit="1" customWidth="1"/>
    <col min="6472" max="6472" width="8.6640625" customWidth="1"/>
    <col min="6474" max="6474" width="23.83203125" bestFit="1" customWidth="1"/>
    <col min="6478" max="6478" width="21.6640625" customWidth="1"/>
    <col min="6479" max="6479" width="10.1640625" bestFit="1" customWidth="1"/>
    <col min="6480" max="6480" width="8.6640625" customWidth="1"/>
    <col min="6482" max="6482" width="26.5" customWidth="1"/>
    <col min="6486" max="6486" width="21.6640625" customWidth="1"/>
    <col min="6487" max="6487" width="10.1640625" bestFit="1" customWidth="1"/>
    <col min="6488" max="6488" width="8.6640625" customWidth="1"/>
    <col min="6657" max="6657" width="4.6640625" customWidth="1"/>
    <col min="6658" max="6658" width="19.33203125" bestFit="1" customWidth="1"/>
    <col min="6659" max="6659" width="6.33203125" bestFit="1" customWidth="1"/>
    <col min="6660" max="6660" width="8.5" bestFit="1" customWidth="1"/>
    <col min="6661" max="6661" width="8.83203125" bestFit="1" customWidth="1"/>
    <col min="6662" max="6662" width="4.6640625" customWidth="1"/>
    <col min="6663" max="6663" width="19.1640625" bestFit="1" customWidth="1"/>
    <col min="6664" max="6664" width="6.33203125" bestFit="1" customWidth="1"/>
    <col min="6665" max="6665" width="8.1640625" bestFit="1" customWidth="1"/>
    <col min="6666" max="6666" width="7.5" bestFit="1" customWidth="1"/>
    <col min="6667" max="6667" width="4.6640625" customWidth="1"/>
    <col min="6668" max="6668" width="19.1640625" bestFit="1" customWidth="1"/>
    <col min="6669" max="6669" width="6.33203125" bestFit="1" customWidth="1"/>
    <col min="6670" max="6670" width="8" bestFit="1" customWidth="1"/>
    <col min="6671" max="6671" width="8.1640625" bestFit="1" customWidth="1"/>
    <col min="6672" max="6672" width="4.6640625" customWidth="1"/>
    <col min="6673" max="6673" width="19.1640625" bestFit="1" customWidth="1"/>
    <col min="6674" max="6674" width="7.5" bestFit="1" customWidth="1"/>
    <col min="6675" max="6675" width="7.1640625" bestFit="1" customWidth="1"/>
    <col min="6676" max="6676" width="8.6640625" bestFit="1" customWidth="1"/>
    <col min="6677" max="6677" width="4.6640625" customWidth="1"/>
    <col min="6678" max="6678" width="19.1640625" bestFit="1" customWidth="1"/>
    <col min="6679" max="6679" width="7.5" bestFit="1" customWidth="1"/>
    <col min="6680" max="6680" width="7.1640625" bestFit="1" customWidth="1"/>
    <col min="6681" max="6681" width="7.5" bestFit="1" customWidth="1"/>
    <col min="6682" max="6682" width="4.6640625" customWidth="1"/>
    <col min="6683" max="6683" width="19.1640625" bestFit="1" customWidth="1"/>
    <col min="6684" max="6684" width="6.1640625" bestFit="1" customWidth="1"/>
    <col min="6685" max="6685" width="7" bestFit="1" customWidth="1"/>
    <col min="6686" max="6686" width="7.5" bestFit="1" customWidth="1"/>
    <col min="6687" max="6687" width="4.6640625" customWidth="1"/>
    <col min="6688" max="6688" width="22.1640625" bestFit="1" customWidth="1"/>
    <col min="6689" max="6689" width="6.5" customWidth="1"/>
    <col min="6690" max="6690" width="8.1640625" customWidth="1"/>
    <col min="6692" max="6692" width="7.83203125" customWidth="1"/>
    <col min="6693" max="6693" width="21.33203125" customWidth="1"/>
    <col min="6694" max="6694" width="7.33203125" customWidth="1"/>
    <col min="6696" max="6696" width="8.5" customWidth="1"/>
    <col min="6698" max="6698" width="20.5" customWidth="1"/>
    <col min="6700" max="6700" width="10.1640625" customWidth="1"/>
    <col min="6702" max="6702" width="20.1640625" customWidth="1"/>
    <col min="6703" max="6703" width="10.1640625" bestFit="1" customWidth="1"/>
    <col min="6705" max="6705" width="23.1640625" customWidth="1"/>
    <col min="6709" max="6709" width="19.5" customWidth="1"/>
    <col min="6710" max="6710" width="17.5" customWidth="1"/>
    <col min="6711" max="6711" width="13.33203125" customWidth="1"/>
    <col min="6714" max="6714" width="23.83203125" bestFit="1" customWidth="1"/>
    <col min="6718" max="6718" width="21.6640625" customWidth="1"/>
    <col min="6719" max="6719" width="10.1640625" bestFit="1" customWidth="1"/>
    <col min="6720" max="6720" width="8.6640625" customWidth="1"/>
    <col min="6722" max="6722" width="23.83203125" bestFit="1" customWidth="1"/>
    <col min="6726" max="6726" width="21.6640625" customWidth="1"/>
    <col min="6727" max="6727" width="10.1640625" bestFit="1" customWidth="1"/>
    <col min="6728" max="6728" width="8.6640625" customWidth="1"/>
    <col min="6730" max="6730" width="23.83203125" bestFit="1" customWidth="1"/>
    <col min="6734" max="6734" width="21.6640625" customWidth="1"/>
    <col min="6735" max="6735" width="10.1640625" bestFit="1" customWidth="1"/>
    <col min="6736" max="6736" width="8.6640625" customWidth="1"/>
    <col min="6738" max="6738" width="26.5" customWidth="1"/>
    <col min="6742" max="6742" width="21.6640625" customWidth="1"/>
    <col min="6743" max="6743" width="10.1640625" bestFit="1" customWidth="1"/>
    <col min="6744" max="6744" width="8.6640625" customWidth="1"/>
    <col min="6913" max="6913" width="4.6640625" customWidth="1"/>
    <col min="6914" max="6914" width="19.33203125" bestFit="1" customWidth="1"/>
    <col min="6915" max="6915" width="6.33203125" bestFit="1" customWidth="1"/>
    <col min="6916" max="6916" width="8.5" bestFit="1" customWidth="1"/>
    <col min="6917" max="6917" width="8.83203125" bestFit="1" customWidth="1"/>
    <col min="6918" max="6918" width="4.6640625" customWidth="1"/>
    <col min="6919" max="6919" width="19.1640625" bestFit="1" customWidth="1"/>
    <col min="6920" max="6920" width="6.33203125" bestFit="1" customWidth="1"/>
    <col min="6921" max="6921" width="8.1640625" bestFit="1" customWidth="1"/>
    <col min="6922" max="6922" width="7.5" bestFit="1" customWidth="1"/>
    <col min="6923" max="6923" width="4.6640625" customWidth="1"/>
    <col min="6924" max="6924" width="19.1640625" bestFit="1" customWidth="1"/>
    <col min="6925" max="6925" width="6.33203125" bestFit="1" customWidth="1"/>
    <col min="6926" max="6926" width="8" bestFit="1" customWidth="1"/>
    <col min="6927" max="6927" width="8.1640625" bestFit="1" customWidth="1"/>
    <col min="6928" max="6928" width="4.6640625" customWidth="1"/>
    <col min="6929" max="6929" width="19.1640625" bestFit="1" customWidth="1"/>
    <col min="6930" max="6930" width="7.5" bestFit="1" customWidth="1"/>
    <col min="6931" max="6931" width="7.1640625" bestFit="1" customWidth="1"/>
    <col min="6932" max="6932" width="8.6640625" bestFit="1" customWidth="1"/>
    <col min="6933" max="6933" width="4.6640625" customWidth="1"/>
    <col min="6934" max="6934" width="19.1640625" bestFit="1" customWidth="1"/>
    <col min="6935" max="6935" width="7.5" bestFit="1" customWidth="1"/>
    <col min="6936" max="6936" width="7.1640625" bestFit="1" customWidth="1"/>
    <col min="6937" max="6937" width="7.5" bestFit="1" customWidth="1"/>
    <col min="6938" max="6938" width="4.6640625" customWidth="1"/>
    <col min="6939" max="6939" width="19.1640625" bestFit="1" customWidth="1"/>
    <col min="6940" max="6940" width="6.1640625" bestFit="1" customWidth="1"/>
    <col min="6941" max="6941" width="7" bestFit="1" customWidth="1"/>
    <col min="6942" max="6942" width="7.5" bestFit="1" customWidth="1"/>
    <col min="6943" max="6943" width="4.6640625" customWidth="1"/>
    <col min="6944" max="6944" width="22.1640625" bestFit="1" customWidth="1"/>
    <col min="6945" max="6945" width="6.5" customWidth="1"/>
    <col min="6946" max="6946" width="8.1640625" customWidth="1"/>
    <col min="6948" max="6948" width="7.83203125" customWidth="1"/>
    <col min="6949" max="6949" width="21.33203125" customWidth="1"/>
    <col min="6950" max="6950" width="7.33203125" customWidth="1"/>
    <col min="6952" max="6952" width="8.5" customWidth="1"/>
    <col min="6954" max="6954" width="20.5" customWidth="1"/>
    <col min="6956" max="6956" width="10.1640625" customWidth="1"/>
    <col min="6958" max="6958" width="20.1640625" customWidth="1"/>
    <col min="6959" max="6959" width="10.1640625" bestFit="1" customWidth="1"/>
    <col min="6961" max="6961" width="23.1640625" customWidth="1"/>
    <col min="6965" max="6965" width="19.5" customWidth="1"/>
    <col min="6966" max="6966" width="17.5" customWidth="1"/>
    <col min="6967" max="6967" width="13.33203125" customWidth="1"/>
    <col min="6970" max="6970" width="23.83203125" bestFit="1" customWidth="1"/>
    <col min="6974" max="6974" width="21.6640625" customWidth="1"/>
    <col min="6975" max="6975" width="10.1640625" bestFit="1" customWidth="1"/>
    <col min="6976" max="6976" width="8.6640625" customWidth="1"/>
    <col min="6978" max="6978" width="23.83203125" bestFit="1" customWidth="1"/>
    <col min="6982" max="6982" width="21.6640625" customWidth="1"/>
    <col min="6983" max="6983" width="10.1640625" bestFit="1" customWidth="1"/>
    <col min="6984" max="6984" width="8.6640625" customWidth="1"/>
    <col min="6986" max="6986" width="23.83203125" bestFit="1" customWidth="1"/>
    <col min="6990" max="6990" width="21.6640625" customWidth="1"/>
    <col min="6991" max="6991" width="10.1640625" bestFit="1" customWidth="1"/>
    <col min="6992" max="6992" width="8.6640625" customWidth="1"/>
    <col min="6994" max="6994" width="26.5" customWidth="1"/>
    <col min="6998" max="6998" width="21.6640625" customWidth="1"/>
    <col min="6999" max="6999" width="10.1640625" bestFit="1" customWidth="1"/>
    <col min="7000" max="7000" width="8.6640625" customWidth="1"/>
    <col min="7169" max="7169" width="4.6640625" customWidth="1"/>
    <col min="7170" max="7170" width="19.33203125" bestFit="1" customWidth="1"/>
    <col min="7171" max="7171" width="6.33203125" bestFit="1" customWidth="1"/>
    <col min="7172" max="7172" width="8.5" bestFit="1" customWidth="1"/>
    <col min="7173" max="7173" width="8.83203125" bestFit="1" customWidth="1"/>
    <col min="7174" max="7174" width="4.6640625" customWidth="1"/>
    <col min="7175" max="7175" width="19.1640625" bestFit="1" customWidth="1"/>
    <col min="7176" max="7176" width="6.33203125" bestFit="1" customWidth="1"/>
    <col min="7177" max="7177" width="8.1640625" bestFit="1" customWidth="1"/>
    <col min="7178" max="7178" width="7.5" bestFit="1" customWidth="1"/>
    <col min="7179" max="7179" width="4.6640625" customWidth="1"/>
    <col min="7180" max="7180" width="19.1640625" bestFit="1" customWidth="1"/>
    <col min="7181" max="7181" width="6.33203125" bestFit="1" customWidth="1"/>
    <col min="7182" max="7182" width="8" bestFit="1" customWidth="1"/>
    <col min="7183" max="7183" width="8.1640625" bestFit="1" customWidth="1"/>
    <col min="7184" max="7184" width="4.6640625" customWidth="1"/>
    <col min="7185" max="7185" width="19.1640625" bestFit="1" customWidth="1"/>
    <col min="7186" max="7186" width="7.5" bestFit="1" customWidth="1"/>
    <col min="7187" max="7187" width="7.1640625" bestFit="1" customWidth="1"/>
    <col min="7188" max="7188" width="8.6640625" bestFit="1" customWidth="1"/>
    <col min="7189" max="7189" width="4.6640625" customWidth="1"/>
    <col min="7190" max="7190" width="19.1640625" bestFit="1" customWidth="1"/>
    <col min="7191" max="7191" width="7.5" bestFit="1" customWidth="1"/>
    <col min="7192" max="7192" width="7.1640625" bestFit="1" customWidth="1"/>
    <col min="7193" max="7193" width="7.5" bestFit="1" customWidth="1"/>
    <col min="7194" max="7194" width="4.6640625" customWidth="1"/>
    <col min="7195" max="7195" width="19.1640625" bestFit="1" customWidth="1"/>
    <col min="7196" max="7196" width="6.1640625" bestFit="1" customWidth="1"/>
    <col min="7197" max="7197" width="7" bestFit="1" customWidth="1"/>
    <col min="7198" max="7198" width="7.5" bestFit="1" customWidth="1"/>
    <col min="7199" max="7199" width="4.6640625" customWidth="1"/>
    <col min="7200" max="7200" width="22.1640625" bestFit="1" customWidth="1"/>
    <col min="7201" max="7201" width="6.5" customWidth="1"/>
    <col min="7202" max="7202" width="8.1640625" customWidth="1"/>
    <col min="7204" max="7204" width="7.83203125" customWidth="1"/>
    <col min="7205" max="7205" width="21.33203125" customWidth="1"/>
    <col min="7206" max="7206" width="7.33203125" customWidth="1"/>
    <col min="7208" max="7208" width="8.5" customWidth="1"/>
    <col min="7210" max="7210" width="20.5" customWidth="1"/>
    <col min="7212" max="7212" width="10.1640625" customWidth="1"/>
    <col min="7214" max="7214" width="20.1640625" customWidth="1"/>
    <col min="7215" max="7215" width="10.1640625" bestFit="1" customWidth="1"/>
    <col min="7217" max="7217" width="23.1640625" customWidth="1"/>
    <col min="7221" max="7221" width="19.5" customWidth="1"/>
    <col min="7222" max="7222" width="17.5" customWidth="1"/>
    <col min="7223" max="7223" width="13.33203125" customWidth="1"/>
    <col min="7226" max="7226" width="23.83203125" bestFit="1" customWidth="1"/>
    <col min="7230" max="7230" width="21.6640625" customWidth="1"/>
    <col min="7231" max="7231" width="10.1640625" bestFit="1" customWidth="1"/>
    <col min="7232" max="7232" width="8.6640625" customWidth="1"/>
    <col min="7234" max="7234" width="23.83203125" bestFit="1" customWidth="1"/>
    <col min="7238" max="7238" width="21.6640625" customWidth="1"/>
    <col min="7239" max="7239" width="10.1640625" bestFit="1" customWidth="1"/>
    <col min="7240" max="7240" width="8.6640625" customWidth="1"/>
    <col min="7242" max="7242" width="23.83203125" bestFit="1" customWidth="1"/>
    <col min="7246" max="7246" width="21.6640625" customWidth="1"/>
    <col min="7247" max="7247" width="10.1640625" bestFit="1" customWidth="1"/>
    <col min="7248" max="7248" width="8.6640625" customWidth="1"/>
    <col min="7250" max="7250" width="26.5" customWidth="1"/>
    <col min="7254" max="7254" width="21.6640625" customWidth="1"/>
    <col min="7255" max="7255" width="10.1640625" bestFit="1" customWidth="1"/>
    <col min="7256" max="7256" width="8.6640625" customWidth="1"/>
    <col min="7425" max="7425" width="4.6640625" customWidth="1"/>
    <col min="7426" max="7426" width="19.33203125" bestFit="1" customWidth="1"/>
    <col min="7427" max="7427" width="6.33203125" bestFit="1" customWidth="1"/>
    <col min="7428" max="7428" width="8.5" bestFit="1" customWidth="1"/>
    <col min="7429" max="7429" width="8.83203125" bestFit="1" customWidth="1"/>
    <col min="7430" max="7430" width="4.6640625" customWidth="1"/>
    <col min="7431" max="7431" width="19.1640625" bestFit="1" customWidth="1"/>
    <col min="7432" max="7432" width="6.33203125" bestFit="1" customWidth="1"/>
    <col min="7433" max="7433" width="8.1640625" bestFit="1" customWidth="1"/>
    <col min="7434" max="7434" width="7.5" bestFit="1" customWidth="1"/>
    <col min="7435" max="7435" width="4.6640625" customWidth="1"/>
    <col min="7436" max="7436" width="19.1640625" bestFit="1" customWidth="1"/>
    <col min="7437" max="7437" width="6.33203125" bestFit="1" customWidth="1"/>
    <col min="7438" max="7438" width="8" bestFit="1" customWidth="1"/>
    <col min="7439" max="7439" width="8.1640625" bestFit="1" customWidth="1"/>
    <col min="7440" max="7440" width="4.6640625" customWidth="1"/>
    <col min="7441" max="7441" width="19.1640625" bestFit="1" customWidth="1"/>
    <col min="7442" max="7442" width="7.5" bestFit="1" customWidth="1"/>
    <col min="7443" max="7443" width="7.1640625" bestFit="1" customWidth="1"/>
    <col min="7444" max="7444" width="8.6640625" bestFit="1" customWidth="1"/>
    <col min="7445" max="7445" width="4.6640625" customWidth="1"/>
    <col min="7446" max="7446" width="19.1640625" bestFit="1" customWidth="1"/>
    <col min="7447" max="7447" width="7.5" bestFit="1" customWidth="1"/>
    <col min="7448" max="7448" width="7.1640625" bestFit="1" customWidth="1"/>
    <col min="7449" max="7449" width="7.5" bestFit="1" customWidth="1"/>
    <col min="7450" max="7450" width="4.6640625" customWidth="1"/>
    <col min="7451" max="7451" width="19.1640625" bestFit="1" customWidth="1"/>
    <col min="7452" max="7452" width="6.1640625" bestFit="1" customWidth="1"/>
    <col min="7453" max="7453" width="7" bestFit="1" customWidth="1"/>
    <col min="7454" max="7454" width="7.5" bestFit="1" customWidth="1"/>
    <col min="7455" max="7455" width="4.6640625" customWidth="1"/>
    <col min="7456" max="7456" width="22.1640625" bestFit="1" customWidth="1"/>
    <col min="7457" max="7457" width="6.5" customWidth="1"/>
    <col min="7458" max="7458" width="8.1640625" customWidth="1"/>
    <col min="7460" max="7460" width="7.83203125" customWidth="1"/>
    <col min="7461" max="7461" width="21.33203125" customWidth="1"/>
    <col min="7462" max="7462" width="7.33203125" customWidth="1"/>
    <col min="7464" max="7464" width="8.5" customWidth="1"/>
    <col min="7466" max="7466" width="20.5" customWidth="1"/>
    <col min="7468" max="7468" width="10.1640625" customWidth="1"/>
    <col min="7470" max="7470" width="20.1640625" customWidth="1"/>
    <col min="7471" max="7471" width="10.1640625" bestFit="1" customWidth="1"/>
    <col min="7473" max="7473" width="23.1640625" customWidth="1"/>
    <col min="7477" max="7477" width="19.5" customWidth="1"/>
    <col min="7478" max="7478" width="17.5" customWidth="1"/>
    <col min="7479" max="7479" width="13.33203125" customWidth="1"/>
    <col min="7482" max="7482" width="23.83203125" bestFit="1" customWidth="1"/>
    <col min="7486" max="7486" width="21.6640625" customWidth="1"/>
    <col min="7487" max="7487" width="10.1640625" bestFit="1" customWidth="1"/>
    <col min="7488" max="7488" width="8.6640625" customWidth="1"/>
    <col min="7490" max="7490" width="23.83203125" bestFit="1" customWidth="1"/>
    <col min="7494" max="7494" width="21.6640625" customWidth="1"/>
    <col min="7495" max="7495" width="10.1640625" bestFit="1" customWidth="1"/>
    <col min="7496" max="7496" width="8.6640625" customWidth="1"/>
    <col min="7498" max="7498" width="23.83203125" bestFit="1" customWidth="1"/>
    <col min="7502" max="7502" width="21.6640625" customWidth="1"/>
    <col min="7503" max="7503" width="10.1640625" bestFit="1" customWidth="1"/>
    <col min="7504" max="7504" width="8.6640625" customWidth="1"/>
    <col min="7506" max="7506" width="26.5" customWidth="1"/>
    <col min="7510" max="7510" width="21.6640625" customWidth="1"/>
    <col min="7511" max="7511" width="10.1640625" bestFit="1" customWidth="1"/>
    <col min="7512" max="7512" width="8.6640625" customWidth="1"/>
    <col min="7681" max="7681" width="4.6640625" customWidth="1"/>
    <col min="7682" max="7682" width="19.33203125" bestFit="1" customWidth="1"/>
    <col min="7683" max="7683" width="6.33203125" bestFit="1" customWidth="1"/>
    <col min="7684" max="7684" width="8.5" bestFit="1" customWidth="1"/>
    <col min="7685" max="7685" width="8.83203125" bestFit="1" customWidth="1"/>
    <col min="7686" max="7686" width="4.6640625" customWidth="1"/>
    <col min="7687" max="7687" width="19.1640625" bestFit="1" customWidth="1"/>
    <col min="7688" max="7688" width="6.33203125" bestFit="1" customWidth="1"/>
    <col min="7689" max="7689" width="8.1640625" bestFit="1" customWidth="1"/>
    <col min="7690" max="7690" width="7.5" bestFit="1" customWidth="1"/>
    <col min="7691" max="7691" width="4.6640625" customWidth="1"/>
    <col min="7692" max="7692" width="19.1640625" bestFit="1" customWidth="1"/>
    <col min="7693" max="7693" width="6.33203125" bestFit="1" customWidth="1"/>
    <col min="7694" max="7694" width="8" bestFit="1" customWidth="1"/>
    <col min="7695" max="7695" width="8.1640625" bestFit="1" customWidth="1"/>
    <col min="7696" max="7696" width="4.6640625" customWidth="1"/>
    <col min="7697" max="7697" width="19.1640625" bestFit="1" customWidth="1"/>
    <col min="7698" max="7698" width="7.5" bestFit="1" customWidth="1"/>
    <col min="7699" max="7699" width="7.1640625" bestFit="1" customWidth="1"/>
    <col min="7700" max="7700" width="8.6640625" bestFit="1" customWidth="1"/>
    <col min="7701" max="7701" width="4.6640625" customWidth="1"/>
    <col min="7702" max="7702" width="19.1640625" bestFit="1" customWidth="1"/>
    <col min="7703" max="7703" width="7.5" bestFit="1" customWidth="1"/>
    <col min="7704" max="7704" width="7.1640625" bestFit="1" customWidth="1"/>
    <col min="7705" max="7705" width="7.5" bestFit="1" customWidth="1"/>
    <col min="7706" max="7706" width="4.6640625" customWidth="1"/>
    <col min="7707" max="7707" width="19.1640625" bestFit="1" customWidth="1"/>
    <col min="7708" max="7708" width="6.1640625" bestFit="1" customWidth="1"/>
    <col min="7709" max="7709" width="7" bestFit="1" customWidth="1"/>
    <col min="7710" max="7710" width="7.5" bestFit="1" customWidth="1"/>
    <col min="7711" max="7711" width="4.6640625" customWidth="1"/>
    <col min="7712" max="7712" width="22.1640625" bestFit="1" customWidth="1"/>
    <col min="7713" max="7713" width="6.5" customWidth="1"/>
    <col min="7714" max="7714" width="8.1640625" customWidth="1"/>
    <col min="7716" max="7716" width="7.83203125" customWidth="1"/>
    <col min="7717" max="7717" width="21.33203125" customWidth="1"/>
    <col min="7718" max="7718" width="7.33203125" customWidth="1"/>
    <col min="7720" max="7720" width="8.5" customWidth="1"/>
    <col min="7722" max="7722" width="20.5" customWidth="1"/>
    <col min="7724" max="7724" width="10.1640625" customWidth="1"/>
    <col min="7726" max="7726" width="20.1640625" customWidth="1"/>
    <col min="7727" max="7727" width="10.1640625" bestFit="1" customWidth="1"/>
    <col min="7729" max="7729" width="23.1640625" customWidth="1"/>
    <col min="7733" max="7733" width="19.5" customWidth="1"/>
    <col min="7734" max="7734" width="17.5" customWidth="1"/>
    <col min="7735" max="7735" width="13.33203125" customWidth="1"/>
    <col min="7738" max="7738" width="23.83203125" bestFit="1" customWidth="1"/>
    <col min="7742" max="7742" width="21.6640625" customWidth="1"/>
    <col min="7743" max="7743" width="10.1640625" bestFit="1" customWidth="1"/>
    <col min="7744" max="7744" width="8.6640625" customWidth="1"/>
    <col min="7746" max="7746" width="23.83203125" bestFit="1" customWidth="1"/>
    <col min="7750" max="7750" width="21.6640625" customWidth="1"/>
    <col min="7751" max="7751" width="10.1640625" bestFit="1" customWidth="1"/>
    <col min="7752" max="7752" width="8.6640625" customWidth="1"/>
    <col min="7754" max="7754" width="23.83203125" bestFit="1" customWidth="1"/>
    <col min="7758" max="7758" width="21.6640625" customWidth="1"/>
    <col min="7759" max="7759" width="10.1640625" bestFit="1" customWidth="1"/>
    <col min="7760" max="7760" width="8.6640625" customWidth="1"/>
    <col min="7762" max="7762" width="26.5" customWidth="1"/>
    <col min="7766" max="7766" width="21.6640625" customWidth="1"/>
    <col min="7767" max="7767" width="10.1640625" bestFit="1" customWidth="1"/>
    <col min="7768" max="7768" width="8.6640625" customWidth="1"/>
    <col min="7937" max="7937" width="4.6640625" customWidth="1"/>
    <col min="7938" max="7938" width="19.33203125" bestFit="1" customWidth="1"/>
    <col min="7939" max="7939" width="6.33203125" bestFit="1" customWidth="1"/>
    <col min="7940" max="7940" width="8.5" bestFit="1" customWidth="1"/>
    <col min="7941" max="7941" width="8.83203125" bestFit="1" customWidth="1"/>
    <col min="7942" max="7942" width="4.6640625" customWidth="1"/>
    <col min="7943" max="7943" width="19.1640625" bestFit="1" customWidth="1"/>
    <col min="7944" max="7944" width="6.33203125" bestFit="1" customWidth="1"/>
    <col min="7945" max="7945" width="8.1640625" bestFit="1" customWidth="1"/>
    <col min="7946" max="7946" width="7.5" bestFit="1" customWidth="1"/>
    <col min="7947" max="7947" width="4.6640625" customWidth="1"/>
    <col min="7948" max="7948" width="19.1640625" bestFit="1" customWidth="1"/>
    <col min="7949" max="7949" width="6.33203125" bestFit="1" customWidth="1"/>
    <col min="7950" max="7950" width="8" bestFit="1" customWidth="1"/>
    <col min="7951" max="7951" width="8.1640625" bestFit="1" customWidth="1"/>
    <col min="7952" max="7952" width="4.6640625" customWidth="1"/>
    <col min="7953" max="7953" width="19.1640625" bestFit="1" customWidth="1"/>
    <col min="7954" max="7954" width="7.5" bestFit="1" customWidth="1"/>
    <col min="7955" max="7955" width="7.1640625" bestFit="1" customWidth="1"/>
    <col min="7956" max="7956" width="8.6640625" bestFit="1" customWidth="1"/>
    <col min="7957" max="7957" width="4.6640625" customWidth="1"/>
    <col min="7958" max="7958" width="19.1640625" bestFit="1" customWidth="1"/>
    <col min="7959" max="7959" width="7.5" bestFit="1" customWidth="1"/>
    <col min="7960" max="7960" width="7.1640625" bestFit="1" customWidth="1"/>
    <col min="7961" max="7961" width="7.5" bestFit="1" customWidth="1"/>
    <col min="7962" max="7962" width="4.6640625" customWidth="1"/>
    <col min="7963" max="7963" width="19.1640625" bestFit="1" customWidth="1"/>
    <col min="7964" max="7964" width="6.1640625" bestFit="1" customWidth="1"/>
    <col min="7965" max="7965" width="7" bestFit="1" customWidth="1"/>
    <col min="7966" max="7966" width="7.5" bestFit="1" customWidth="1"/>
    <col min="7967" max="7967" width="4.6640625" customWidth="1"/>
    <col min="7968" max="7968" width="22.1640625" bestFit="1" customWidth="1"/>
    <col min="7969" max="7969" width="6.5" customWidth="1"/>
    <col min="7970" max="7970" width="8.1640625" customWidth="1"/>
    <col min="7972" max="7972" width="7.83203125" customWidth="1"/>
    <col min="7973" max="7973" width="21.33203125" customWidth="1"/>
    <col min="7974" max="7974" width="7.33203125" customWidth="1"/>
    <col min="7976" max="7976" width="8.5" customWidth="1"/>
    <col min="7978" max="7978" width="20.5" customWidth="1"/>
    <col min="7980" max="7980" width="10.1640625" customWidth="1"/>
    <col min="7982" max="7982" width="20.1640625" customWidth="1"/>
    <col min="7983" max="7983" width="10.1640625" bestFit="1" customWidth="1"/>
    <col min="7985" max="7985" width="23.1640625" customWidth="1"/>
    <col min="7989" max="7989" width="19.5" customWidth="1"/>
    <col min="7990" max="7990" width="17.5" customWidth="1"/>
    <col min="7991" max="7991" width="13.33203125" customWidth="1"/>
    <col min="7994" max="7994" width="23.83203125" bestFit="1" customWidth="1"/>
    <col min="7998" max="7998" width="21.6640625" customWidth="1"/>
    <col min="7999" max="7999" width="10.1640625" bestFit="1" customWidth="1"/>
    <col min="8000" max="8000" width="8.6640625" customWidth="1"/>
    <col min="8002" max="8002" width="23.83203125" bestFit="1" customWidth="1"/>
    <col min="8006" max="8006" width="21.6640625" customWidth="1"/>
    <col min="8007" max="8007" width="10.1640625" bestFit="1" customWidth="1"/>
    <col min="8008" max="8008" width="8.6640625" customWidth="1"/>
    <col min="8010" max="8010" width="23.83203125" bestFit="1" customWidth="1"/>
    <col min="8014" max="8014" width="21.6640625" customWidth="1"/>
    <col min="8015" max="8015" width="10.1640625" bestFit="1" customWidth="1"/>
    <col min="8016" max="8016" width="8.6640625" customWidth="1"/>
    <col min="8018" max="8018" width="26.5" customWidth="1"/>
    <col min="8022" max="8022" width="21.6640625" customWidth="1"/>
    <col min="8023" max="8023" width="10.1640625" bestFit="1" customWidth="1"/>
    <col min="8024" max="8024" width="8.6640625" customWidth="1"/>
    <col min="8193" max="8193" width="4.6640625" customWidth="1"/>
    <col min="8194" max="8194" width="19.33203125" bestFit="1" customWidth="1"/>
    <col min="8195" max="8195" width="6.33203125" bestFit="1" customWidth="1"/>
    <col min="8196" max="8196" width="8.5" bestFit="1" customWidth="1"/>
    <col min="8197" max="8197" width="8.83203125" bestFit="1" customWidth="1"/>
    <col min="8198" max="8198" width="4.6640625" customWidth="1"/>
    <col min="8199" max="8199" width="19.1640625" bestFit="1" customWidth="1"/>
    <col min="8200" max="8200" width="6.33203125" bestFit="1" customWidth="1"/>
    <col min="8201" max="8201" width="8.1640625" bestFit="1" customWidth="1"/>
    <col min="8202" max="8202" width="7.5" bestFit="1" customWidth="1"/>
    <col min="8203" max="8203" width="4.6640625" customWidth="1"/>
    <col min="8204" max="8204" width="19.1640625" bestFit="1" customWidth="1"/>
    <col min="8205" max="8205" width="6.33203125" bestFit="1" customWidth="1"/>
    <col min="8206" max="8206" width="8" bestFit="1" customWidth="1"/>
    <col min="8207" max="8207" width="8.1640625" bestFit="1" customWidth="1"/>
    <col min="8208" max="8208" width="4.6640625" customWidth="1"/>
    <col min="8209" max="8209" width="19.1640625" bestFit="1" customWidth="1"/>
    <col min="8210" max="8210" width="7.5" bestFit="1" customWidth="1"/>
    <col min="8211" max="8211" width="7.1640625" bestFit="1" customWidth="1"/>
    <col min="8212" max="8212" width="8.6640625" bestFit="1" customWidth="1"/>
    <col min="8213" max="8213" width="4.6640625" customWidth="1"/>
    <col min="8214" max="8214" width="19.1640625" bestFit="1" customWidth="1"/>
    <col min="8215" max="8215" width="7.5" bestFit="1" customWidth="1"/>
    <col min="8216" max="8216" width="7.1640625" bestFit="1" customWidth="1"/>
    <col min="8217" max="8217" width="7.5" bestFit="1" customWidth="1"/>
    <col min="8218" max="8218" width="4.6640625" customWidth="1"/>
    <col min="8219" max="8219" width="19.1640625" bestFit="1" customWidth="1"/>
    <col min="8220" max="8220" width="6.1640625" bestFit="1" customWidth="1"/>
    <col min="8221" max="8221" width="7" bestFit="1" customWidth="1"/>
    <col min="8222" max="8222" width="7.5" bestFit="1" customWidth="1"/>
    <col min="8223" max="8223" width="4.6640625" customWidth="1"/>
    <col min="8224" max="8224" width="22.1640625" bestFit="1" customWidth="1"/>
    <col min="8225" max="8225" width="6.5" customWidth="1"/>
    <col min="8226" max="8226" width="8.1640625" customWidth="1"/>
    <col min="8228" max="8228" width="7.83203125" customWidth="1"/>
    <col min="8229" max="8229" width="21.33203125" customWidth="1"/>
    <col min="8230" max="8230" width="7.33203125" customWidth="1"/>
    <col min="8232" max="8232" width="8.5" customWidth="1"/>
    <col min="8234" max="8234" width="20.5" customWidth="1"/>
    <col min="8236" max="8236" width="10.1640625" customWidth="1"/>
    <col min="8238" max="8238" width="20.1640625" customWidth="1"/>
    <col min="8239" max="8239" width="10.1640625" bestFit="1" customWidth="1"/>
    <col min="8241" max="8241" width="23.1640625" customWidth="1"/>
    <col min="8245" max="8245" width="19.5" customWidth="1"/>
    <col min="8246" max="8246" width="17.5" customWidth="1"/>
    <col min="8247" max="8247" width="13.33203125" customWidth="1"/>
    <col min="8250" max="8250" width="23.83203125" bestFit="1" customWidth="1"/>
    <col min="8254" max="8254" width="21.6640625" customWidth="1"/>
    <col min="8255" max="8255" width="10.1640625" bestFit="1" customWidth="1"/>
    <col min="8256" max="8256" width="8.6640625" customWidth="1"/>
    <col min="8258" max="8258" width="23.83203125" bestFit="1" customWidth="1"/>
    <col min="8262" max="8262" width="21.6640625" customWidth="1"/>
    <col min="8263" max="8263" width="10.1640625" bestFit="1" customWidth="1"/>
    <col min="8264" max="8264" width="8.6640625" customWidth="1"/>
    <col min="8266" max="8266" width="23.83203125" bestFit="1" customWidth="1"/>
    <col min="8270" max="8270" width="21.6640625" customWidth="1"/>
    <col min="8271" max="8271" width="10.1640625" bestFit="1" customWidth="1"/>
    <col min="8272" max="8272" width="8.6640625" customWidth="1"/>
    <col min="8274" max="8274" width="26.5" customWidth="1"/>
    <col min="8278" max="8278" width="21.6640625" customWidth="1"/>
    <col min="8279" max="8279" width="10.1640625" bestFit="1" customWidth="1"/>
    <col min="8280" max="8280" width="8.6640625" customWidth="1"/>
    <col min="8449" max="8449" width="4.6640625" customWidth="1"/>
    <col min="8450" max="8450" width="19.33203125" bestFit="1" customWidth="1"/>
    <col min="8451" max="8451" width="6.33203125" bestFit="1" customWidth="1"/>
    <col min="8452" max="8452" width="8.5" bestFit="1" customWidth="1"/>
    <col min="8453" max="8453" width="8.83203125" bestFit="1" customWidth="1"/>
    <col min="8454" max="8454" width="4.6640625" customWidth="1"/>
    <col min="8455" max="8455" width="19.1640625" bestFit="1" customWidth="1"/>
    <col min="8456" max="8456" width="6.33203125" bestFit="1" customWidth="1"/>
    <col min="8457" max="8457" width="8.1640625" bestFit="1" customWidth="1"/>
    <col min="8458" max="8458" width="7.5" bestFit="1" customWidth="1"/>
    <col min="8459" max="8459" width="4.6640625" customWidth="1"/>
    <col min="8460" max="8460" width="19.1640625" bestFit="1" customWidth="1"/>
    <col min="8461" max="8461" width="6.33203125" bestFit="1" customWidth="1"/>
    <col min="8462" max="8462" width="8" bestFit="1" customWidth="1"/>
    <col min="8463" max="8463" width="8.1640625" bestFit="1" customWidth="1"/>
    <col min="8464" max="8464" width="4.6640625" customWidth="1"/>
    <col min="8465" max="8465" width="19.1640625" bestFit="1" customWidth="1"/>
    <col min="8466" max="8466" width="7.5" bestFit="1" customWidth="1"/>
    <col min="8467" max="8467" width="7.1640625" bestFit="1" customWidth="1"/>
    <col min="8468" max="8468" width="8.6640625" bestFit="1" customWidth="1"/>
    <col min="8469" max="8469" width="4.6640625" customWidth="1"/>
    <col min="8470" max="8470" width="19.1640625" bestFit="1" customWidth="1"/>
    <col min="8471" max="8471" width="7.5" bestFit="1" customWidth="1"/>
    <col min="8472" max="8472" width="7.1640625" bestFit="1" customWidth="1"/>
    <col min="8473" max="8473" width="7.5" bestFit="1" customWidth="1"/>
    <col min="8474" max="8474" width="4.6640625" customWidth="1"/>
    <col min="8475" max="8475" width="19.1640625" bestFit="1" customWidth="1"/>
    <col min="8476" max="8476" width="6.1640625" bestFit="1" customWidth="1"/>
    <col min="8477" max="8477" width="7" bestFit="1" customWidth="1"/>
    <col min="8478" max="8478" width="7.5" bestFit="1" customWidth="1"/>
    <col min="8479" max="8479" width="4.6640625" customWidth="1"/>
    <col min="8480" max="8480" width="22.1640625" bestFit="1" customWidth="1"/>
    <col min="8481" max="8481" width="6.5" customWidth="1"/>
    <col min="8482" max="8482" width="8.1640625" customWidth="1"/>
    <col min="8484" max="8484" width="7.83203125" customWidth="1"/>
    <col min="8485" max="8485" width="21.33203125" customWidth="1"/>
    <col min="8486" max="8486" width="7.33203125" customWidth="1"/>
    <col min="8488" max="8488" width="8.5" customWidth="1"/>
    <col min="8490" max="8490" width="20.5" customWidth="1"/>
    <col min="8492" max="8492" width="10.1640625" customWidth="1"/>
    <col min="8494" max="8494" width="20.1640625" customWidth="1"/>
    <col min="8495" max="8495" width="10.1640625" bestFit="1" customWidth="1"/>
    <col min="8497" max="8497" width="23.1640625" customWidth="1"/>
    <col min="8501" max="8501" width="19.5" customWidth="1"/>
    <col min="8502" max="8502" width="17.5" customWidth="1"/>
    <col min="8503" max="8503" width="13.33203125" customWidth="1"/>
    <col min="8506" max="8506" width="23.83203125" bestFit="1" customWidth="1"/>
    <col min="8510" max="8510" width="21.6640625" customWidth="1"/>
    <col min="8511" max="8511" width="10.1640625" bestFit="1" customWidth="1"/>
    <col min="8512" max="8512" width="8.6640625" customWidth="1"/>
    <col min="8514" max="8514" width="23.83203125" bestFit="1" customWidth="1"/>
    <col min="8518" max="8518" width="21.6640625" customWidth="1"/>
    <col min="8519" max="8519" width="10.1640625" bestFit="1" customWidth="1"/>
    <col min="8520" max="8520" width="8.6640625" customWidth="1"/>
    <col min="8522" max="8522" width="23.83203125" bestFit="1" customWidth="1"/>
    <col min="8526" max="8526" width="21.6640625" customWidth="1"/>
    <col min="8527" max="8527" width="10.1640625" bestFit="1" customWidth="1"/>
    <col min="8528" max="8528" width="8.6640625" customWidth="1"/>
    <col min="8530" max="8530" width="26.5" customWidth="1"/>
    <col min="8534" max="8534" width="21.6640625" customWidth="1"/>
    <col min="8535" max="8535" width="10.1640625" bestFit="1" customWidth="1"/>
    <col min="8536" max="8536" width="8.6640625" customWidth="1"/>
    <col min="8705" max="8705" width="4.6640625" customWidth="1"/>
    <col min="8706" max="8706" width="19.33203125" bestFit="1" customWidth="1"/>
    <col min="8707" max="8707" width="6.33203125" bestFit="1" customWidth="1"/>
    <col min="8708" max="8708" width="8.5" bestFit="1" customWidth="1"/>
    <col min="8709" max="8709" width="8.83203125" bestFit="1" customWidth="1"/>
    <col min="8710" max="8710" width="4.6640625" customWidth="1"/>
    <col min="8711" max="8711" width="19.1640625" bestFit="1" customWidth="1"/>
    <col min="8712" max="8712" width="6.33203125" bestFit="1" customWidth="1"/>
    <col min="8713" max="8713" width="8.1640625" bestFit="1" customWidth="1"/>
    <col min="8714" max="8714" width="7.5" bestFit="1" customWidth="1"/>
    <col min="8715" max="8715" width="4.6640625" customWidth="1"/>
    <col min="8716" max="8716" width="19.1640625" bestFit="1" customWidth="1"/>
    <col min="8717" max="8717" width="6.33203125" bestFit="1" customWidth="1"/>
    <col min="8718" max="8718" width="8" bestFit="1" customWidth="1"/>
    <col min="8719" max="8719" width="8.1640625" bestFit="1" customWidth="1"/>
    <col min="8720" max="8720" width="4.6640625" customWidth="1"/>
    <col min="8721" max="8721" width="19.1640625" bestFit="1" customWidth="1"/>
    <col min="8722" max="8722" width="7.5" bestFit="1" customWidth="1"/>
    <col min="8723" max="8723" width="7.1640625" bestFit="1" customWidth="1"/>
    <col min="8724" max="8724" width="8.6640625" bestFit="1" customWidth="1"/>
    <col min="8725" max="8725" width="4.6640625" customWidth="1"/>
    <col min="8726" max="8726" width="19.1640625" bestFit="1" customWidth="1"/>
    <col min="8727" max="8727" width="7.5" bestFit="1" customWidth="1"/>
    <col min="8728" max="8728" width="7.1640625" bestFit="1" customWidth="1"/>
    <col min="8729" max="8729" width="7.5" bestFit="1" customWidth="1"/>
    <col min="8730" max="8730" width="4.6640625" customWidth="1"/>
    <col min="8731" max="8731" width="19.1640625" bestFit="1" customWidth="1"/>
    <col min="8732" max="8732" width="6.1640625" bestFit="1" customWidth="1"/>
    <col min="8733" max="8733" width="7" bestFit="1" customWidth="1"/>
    <col min="8734" max="8734" width="7.5" bestFit="1" customWidth="1"/>
    <col min="8735" max="8735" width="4.6640625" customWidth="1"/>
    <col min="8736" max="8736" width="22.1640625" bestFit="1" customWidth="1"/>
    <col min="8737" max="8737" width="6.5" customWidth="1"/>
    <col min="8738" max="8738" width="8.1640625" customWidth="1"/>
    <col min="8740" max="8740" width="7.83203125" customWidth="1"/>
    <col min="8741" max="8741" width="21.33203125" customWidth="1"/>
    <col min="8742" max="8742" width="7.33203125" customWidth="1"/>
    <col min="8744" max="8744" width="8.5" customWidth="1"/>
    <col min="8746" max="8746" width="20.5" customWidth="1"/>
    <col min="8748" max="8748" width="10.1640625" customWidth="1"/>
    <col min="8750" max="8750" width="20.1640625" customWidth="1"/>
    <col min="8751" max="8751" width="10.1640625" bestFit="1" customWidth="1"/>
    <col min="8753" max="8753" width="23.1640625" customWidth="1"/>
    <col min="8757" max="8757" width="19.5" customWidth="1"/>
    <col min="8758" max="8758" width="17.5" customWidth="1"/>
    <col min="8759" max="8759" width="13.33203125" customWidth="1"/>
    <col min="8762" max="8762" width="23.83203125" bestFit="1" customWidth="1"/>
    <col min="8766" max="8766" width="21.6640625" customWidth="1"/>
    <col min="8767" max="8767" width="10.1640625" bestFit="1" customWidth="1"/>
    <col min="8768" max="8768" width="8.6640625" customWidth="1"/>
    <col min="8770" max="8770" width="23.83203125" bestFit="1" customWidth="1"/>
    <col min="8774" max="8774" width="21.6640625" customWidth="1"/>
    <col min="8775" max="8775" width="10.1640625" bestFit="1" customWidth="1"/>
    <col min="8776" max="8776" width="8.6640625" customWidth="1"/>
    <col min="8778" max="8778" width="23.83203125" bestFit="1" customWidth="1"/>
    <col min="8782" max="8782" width="21.6640625" customWidth="1"/>
    <col min="8783" max="8783" width="10.1640625" bestFit="1" customWidth="1"/>
    <col min="8784" max="8784" width="8.6640625" customWidth="1"/>
    <col min="8786" max="8786" width="26.5" customWidth="1"/>
    <col min="8790" max="8790" width="21.6640625" customWidth="1"/>
    <col min="8791" max="8791" width="10.1640625" bestFit="1" customWidth="1"/>
    <col min="8792" max="8792" width="8.6640625" customWidth="1"/>
    <col min="8961" max="8961" width="4.6640625" customWidth="1"/>
    <col min="8962" max="8962" width="19.33203125" bestFit="1" customWidth="1"/>
    <col min="8963" max="8963" width="6.33203125" bestFit="1" customWidth="1"/>
    <col min="8964" max="8964" width="8.5" bestFit="1" customWidth="1"/>
    <col min="8965" max="8965" width="8.83203125" bestFit="1" customWidth="1"/>
    <col min="8966" max="8966" width="4.6640625" customWidth="1"/>
    <col min="8967" max="8967" width="19.1640625" bestFit="1" customWidth="1"/>
    <col min="8968" max="8968" width="6.33203125" bestFit="1" customWidth="1"/>
    <col min="8969" max="8969" width="8.1640625" bestFit="1" customWidth="1"/>
    <col min="8970" max="8970" width="7.5" bestFit="1" customWidth="1"/>
    <col min="8971" max="8971" width="4.6640625" customWidth="1"/>
    <col min="8972" max="8972" width="19.1640625" bestFit="1" customWidth="1"/>
    <col min="8973" max="8973" width="6.33203125" bestFit="1" customWidth="1"/>
    <col min="8974" max="8974" width="8" bestFit="1" customWidth="1"/>
    <col min="8975" max="8975" width="8.1640625" bestFit="1" customWidth="1"/>
    <col min="8976" max="8976" width="4.6640625" customWidth="1"/>
    <col min="8977" max="8977" width="19.1640625" bestFit="1" customWidth="1"/>
    <col min="8978" max="8978" width="7.5" bestFit="1" customWidth="1"/>
    <col min="8979" max="8979" width="7.1640625" bestFit="1" customWidth="1"/>
    <col min="8980" max="8980" width="8.6640625" bestFit="1" customWidth="1"/>
    <col min="8981" max="8981" width="4.6640625" customWidth="1"/>
    <col min="8982" max="8982" width="19.1640625" bestFit="1" customWidth="1"/>
    <col min="8983" max="8983" width="7.5" bestFit="1" customWidth="1"/>
    <col min="8984" max="8984" width="7.1640625" bestFit="1" customWidth="1"/>
    <col min="8985" max="8985" width="7.5" bestFit="1" customWidth="1"/>
    <col min="8986" max="8986" width="4.6640625" customWidth="1"/>
    <col min="8987" max="8987" width="19.1640625" bestFit="1" customWidth="1"/>
    <col min="8988" max="8988" width="6.1640625" bestFit="1" customWidth="1"/>
    <col min="8989" max="8989" width="7" bestFit="1" customWidth="1"/>
    <col min="8990" max="8990" width="7.5" bestFit="1" customWidth="1"/>
    <col min="8991" max="8991" width="4.6640625" customWidth="1"/>
    <col min="8992" max="8992" width="22.1640625" bestFit="1" customWidth="1"/>
    <col min="8993" max="8993" width="6.5" customWidth="1"/>
    <col min="8994" max="8994" width="8.1640625" customWidth="1"/>
    <col min="8996" max="8996" width="7.83203125" customWidth="1"/>
    <col min="8997" max="8997" width="21.33203125" customWidth="1"/>
    <col min="8998" max="8998" width="7.33203125" customWidth="1"/>
    <col min="9000" max="9000" width="8.5" customWidth="1"/>
    <col min="9002" max="9002" width="20.5" customWidth="1"/>
    <col min="9004" max="9004" width="10.1640625" customWidth="1"/>
    <col min="9006" max="9006" width="20.1640625" customWidth="1"/>
    <col min="9007" max="9007" width="10.1640625" bestFit="1" customWidth="1"/>
    <col min="9009" max="9009" width="23.1640625" customWidth="1"/>
    <col min="9013" max="9013" width="19.5" customWidth="1"/>
    <col min="9014" max="9014" width="17.5" customWidth="1"/>
    <col min="9015" max="9015" width="13.33203125" customWidth="1"/>
    <col min="9018" max="9018" width="23.83203125" bestFit="1" customWidth="1"/>
    <col min="9022" max="9022" width="21.6640625" customWidth="1"/>
    <col min="9023" max="9023" width="10.1640625" bestFit="1" customWidth="1"/>
    <col min="9024" max="9024" width="8.6640625" customWidth="1"/>
    <col min="9026" max="9026" width="23.83203125" bestFit="1" customWidth="1"/>
    <col min="9030" max="9030" width="21.6640625" customWidth="1"/>
    <col min="9031" max="9031" width="10.1640625" bestFit="1" customWidth="1"/>
    <col min="9032" max="9032" width="8.6640625" customWidth="1"/>
    <col min="9034" max="9034" width="23.83203125" bestFit="1" customWidth="1"/>
    <col min="9038" max="9038" width="21.6640625" customWidth="1"/>
    <col min="9039" max="9039" width="10.1640625" bestFit="1" customWidth="1"/>
    <col min="9040" max="9040" width="8.6640625" customWidth="1"/>
    <col min="9042" max="9042" width="26.5" customWidth="1"/>
    <col min="9046" max="9046" width="21.6640625" customWidth="1"/>
    <col min="9047" max="9047" width="10.1640625" bestFit="1" customWidth="1"/>
    <col min="9048" max="9048" width="8.6640625" customWidth="1"/>
    <col min="9217" max="9217" width="4.6640625" customWidth="1"/>
    <col min="9218" max="9218" width="19.33203125" bestFit="1" customWidth="1"/>
    <col min="9219" max="9219" width="6.33203125" bestFit="1" customWidth="1"/>
    <col min="9220" max="9220" width="8.5" bestFit="1" customWidth="1"/>
    <col min="9221" max="9221" width="8.83203125" bestFit="1" customWidth="1"/>
    <col min="9222" max="9222" width="4.6640625" customWidth="1"/>
    <col min="9223" max="9223" width="19.1640625" bestFit="1" customWidth="1"/>
    <col min="9224" max="9224" width="6.33203125" bestFit="1" customWidth="1"/>
    <col min="9225" max="9225" width="8.1640625" bestFit="1" customWidth="1"/>
    <col min="9226" max="9226" width="7.5" bestFit="1" customWidth="1"/>
    <col min="9227" max="9227" width="4.6640625" customWidth="1"/>
    <col min="9228" max="9228" width="19.1640625" bestFit="1" customWidth="1"/>
    <col min="9229" max="9229" width="6.33203125" bestFit="1" customWidth="1"/>
    <col min="9230" max="9230" width="8" bestFit="1" customWidth="1"/>
    <col min="9231" max="9231" width="8.1640625" bestFit="1" customWidth="1"/>
    <col min="9232" max="9232" width="4.6640625" customWidth="1"/>
    <col min="9233" max="9233" width="19.1640625" bestFit="1" customWidth="1"/>
    <col min="9234" max="9234" width="7.5" bestFit="1" customWidth="1"/>
    <col min="9235" max="9235" width="7.1640625" bestFit="1" customWidth="1"/>
    <col min="9236" max="9236" width="8.6640625" bestFit="1" customWidth="1"/>
    <col min="9237" max="9237" width="4.6640625" customWidth="1"/>
    <col min="9238" max="9238" width="19.1640625" bestFit="1" customWidth="1"/>
    <col min="9239" max="9239" width="7.5" bestFit="1" customWidth="1"/>
    <col min="9240" max="9240" width="7.1640625" bestFit="1" customWidth="1"/>
    <col min="9241" max="9241" width="7.5" bestFit="1" customWidth="1"/>
    <col min="9242" max="9242" width="4.6640625" customWidth="1"/>
    <col min="9243" max="9243" width="19.1640625" bestFit="1" customWidth="1"/>
    <col min="9244" max="9244" width="6.1640625" bestFit="1" customWidth="1"/>
    <col min="9245" max="9245" width="7" bestFit="1" customWidth="1"/>
    <col min="9246" max="9246" width="7.5" bestFit="1" customWidth="1"/>
    <col min="9247" max="9247" width="4.6640625" customWidth="1"/>
    <col min="9248" max="9248" width="22.1640625" bestFit="1" customWidth="1"/>
    <col min="9249" max="9249" width="6.5" customWidth="1"/>
    <col min="9250" max="9250" width="8.1640625" customWidth="1"/>
    <col min="9252" max="9252" width="7.83203125" customWidth="1"/>
    <col min="9253" max="9253" width="21.33203125" customWidth="1"/>
    <col min="9254" max="9254" width="7.33203125" customWidth="1"/>
    <col min="9256" max="9256" width="8.5" customWidth="1"/>
    <col min="9258" max="9258" width="20.5" customWidth="1"/>
    <col min="9260" max="9260" width="10.1640625" customWidth="1"/>
    <col min="9262" max="9262" width="20.1640625" customWidth="1"/>
    <col min="9263" max="9263" width="10.1640625" bestFit="1" customWidth="1"/>
    <col min="9265" max="9265" width="23.1640625" customWidth="1"/>
    <col min="9269" max="9269" width="19.5" customWidth="1"/>
    <col min="9270" max="9270" width="17.5" customWidth="1"/>
    <col min="9271" max="9271" width="13.33203125" customWidth="1"/>
    <col min="9274" max="9274" width="23.83203125" bestFit="1" customWidth="1"/>
    <col min="9278" max="9278" width="21.6640625" customWidth="1"/>
    <col min="9279" max="9279" width="10.1640625" bestFit="1" customWidth="1"/>
    <col min="9280" max="9280" width="8.6640625" customWidth="1"/>
    <col min="9282" max="9282" width="23.83203125" bestFit="1" customWidth="1"/>
    <col min="9286" max="9286" width="21.6640625" customWidth="1"/>
    <col min="9287" max="9287" width="10.1640625" bestFit="1" customWidth="1"/>
    <col min="9288" max="9288" width="8.6640625" customWidth="1"/>
    <col min="9290" max="9290" width="23.83203125" bestFit="1" customWidth="1"/>
    <col min="9294" max="9294" width="21.6640625" customWidth="1"/>
    <col min="9295" max="9295" width="10.1640625" bestFit="1" customWidth="1"/>
    <col min="9296" max="9296" width="8.6640625" customWidth="1"/>
    <col min="9298" max="9298" width="26.5" customWidth="1"/>
    <col min="9302" max="9302" width="21.6640625" customWidth="1"/>
    <col min="9303" max="9303" width="10.1640625" bestFit="1" customWidth="1"/>
    <col min="9304" max="9304" width="8.6640625" customWidth="1"/>
    <col min="9473" max="9473" width="4.6640625" customWidth="1"/>
    <col min="9474" max="9474" width="19.33203125" bestFit="1" customWidth="1"/>
    <col min="9475" max="9475" width="6.33203125" bestFit="1" customWidth="1"/>
    <col min="9476" max="9476" width="8.5" bestFit="1" customWidth="1"/>
    <col min="9477" max="9477" width="8.83203125" bestFit="1" customWidth="1"/>
    <col min="9478" max="9478" width="4.6640625" customWidth="1"/>
    <col min="9479" max="9479" width="19.1640625" bestFit="1" customWidth="1"/>
    <col min="9480" max="9480" width="6.33203125" bestFit="1" customWidth="1"/>
    <col min="9481" max="9481" width="8.1640625" bestFit="1" customWidth="1"/>
    <col min="9482" max="9482" width="7.5" bestFit="1" customWidth="1"/>
    <col min="9483" max="9483" width="4.6640625" customWidth="1"/>
    <col min="9484" max="9484" width="19.1640625" bestFit="1" customWidth="1"/>
    <col min="9485" max="9485" width="6.33203125" bestFit="1" customWidth="1"/>
    <col min="9486" max="9486" width="8" bestFit="1" customWidth="1"/>
    <col min="9487" max="9487" width="8.1640625" bestFit="1" customWidth="1"/>
    <col min="9488" max="9488" width="4.6640625" customWidth="1"/>
    <col min="9489" max="9489" width="19.1640625" bestFit="1" customWidth="1"/>
    <col min="9490" max="9490" width="7.5" bestFit="1" customWidth="1"/>
    <col min="9491" max="9491" width="7.1640625" bestFit="1" customWidth="1"/>
    <col min="9492" max="9492" width="8.6640625" bestFit="1" customWidth="1"/>
    <col min="9493" max="9493" width="4.6640625" customWidth="1"/>
    <col min="9494" max="9494" width="19.1640625" bestFit="1" customWidth="1"/>
    <col min="9495" max="9495" width="7.5" bestFit="1" customWidth="1"/>
    <col min="9496" max="9496" width="7.1640625" bestFit="1" customWidth="1"/>
    <col min="9497" max="9497" width="7.5" bestFit="1" customWidth="1"/>
    <col min="9498" max="9498" width="4.6640625" customWidth="1"/>
    <col min="9499" max="9499" width="19.1640625" bestFit="1" customWidth="1"/>
    <col min="9500" max="9500" width="6.1640625" bestFit="1" customWidth="1"/>
    <col min="9501" max="9501" width="7" bestFit="1" customWidth="1"/>
    <col min="9502" max="9502" width="7.5" bestFit="1" customWidth="1"/>
    <col min="9503" max="9503" width="4.6640625" customWidth="1"/>
    <col min="9504" max="9504" width="22.1640625" bestFit="1" customWidth="1"/>
    <col min="9505" max="9505" width="6.5" customWidth="1"/>
    <col min="9506" max="9506" width="8.1640625" customWidth="1"/>
    <col min="9508" max="9508" width="7.83203125" customWidth="1"/>
    <col min="9509" max="9509" width="21.33203125" customWidth="1"/>
    <col min="9510" max="9510" width="7.33203125" customWidth="1"/>
    <col min="9512" max="9512" width="8.5" customWidth="1"/>
    <col min="9514" max="9514" width="20.5" customWidth="1"/>
    <col min="9516" max="9516" width="10.1640625" customWidth="1"/>
    <col min="9518" max="9518" width="20.1640625" customWidth="1"/>
    <col min="9519" max="9519" width="10.1640625" bestFit="1" customWidth="1"/>
    <col min="9521" max="9521" width="23.1640625" customWidth="1"/>
    <col min="9525" max="9525" width="19.5" customWidth="1"/>
    <col min="9526" max="9526" width="17.5" customWidth="1"/>
    <col min="9527" max="9527" width="13.33203125" customWidth="1"/>
    <col min="9530" max="9530" width="23.83203125" bestFit="1" customWidth="1"/>
    <col min="9534" max="9534" width="21.6640625" customWidth="1"/>
    <col min="9535" max="9535" width="10.1640625" bestFit="1" customWidth="1"/>
    <col min="9536" max="9536" width="8.6640625" customWidth="1"/>
    <col min="9538" max="9538" width="23.83203125" bestFit="1" customWidth="1"/>
    <col min="9542" max="9542" width="21.6640625" customWidth="1"/>
    <col min="9543" max="9543" width="10.1640625" bestFit="1" customWidth="1"/>
    <col min="9544" max="9544" width="8.6640625" customWidth="1"/>
    <col min="9546" max="9546" width="23.83203125" bestFit="1" customWidth="1"/>
    <col min="9550" max="9550" width="21.6640625" customWidth="1"/>
    <col min="9551" max="9551" width="10.1640625" bestFit="1" customWidth="1"/>
    <col min="9552" max="9552" width="8.6640625" customWidth="1"/>
    <col min="9554" max="9554" width="26.5" customWidth="1"/>
    <col min="9558" max="9558" width="21.6640625" customWidth="1"/>
    <col min="9559" max="9559" width="10.1640625" bestFit="1" customWidth="1"/>
    <col min="9560" max="9560" width="8.6640625" customWidth="1"/>
    <col min="9729" max="9729" width="4.6640625" customWidth="1"/>
    <col min="9730" max="9730" width="19.33203125" bestFit="1" customWidth="1"/>
    <col min="9731" max="9731" width="6.33203125" bestFit="1" customWidth="1"/>
    <col min="9732" max="9732" width="8.5" bestFit="1" customWidth="1"/>
    <col min="9733" max="9733" width="8.83203125" bestFit="1" customWidth="1"/>
    <col min="9734" max="9734" width="4.6640625" customWidth="1"/>
    <col min="9735" max="9735" width="19.1640625" bestFit="1" customWidth="1"/>
    <col min="9736" max="9736" width="6.33203125" bestFit="1" customWidth="1"/>
    <col min="9737" max="9737" width="8.1640625" bestFit="1" customWidth="1"/>
    <col min="9738" max="9738" width="7.5" bestFit="1" customWidth="1"/>
    <col min="9739" max="9739" width="4.6640625" customWidth="1"/>
    <col min="9740" max="9740" width="19.1640625" bestFit="1" customWidth="1"/>
    <col min="9741" max="9741" width="6.33203125" bestFit="1" customWidth="1"/>
    <col min="9742" max="9742" width="8" bestFit="1" customWidth="1"/>
    <col min="9743" max="9743" width="8.1640625" bestFit="1" customWidth="1"/>
    <col min="9744" max="9744" width="4.6640625" customWidth="1"/>
    <col min="9745" max="9745" width="19.1640625" bestFit="1" customWidth="1"/>
    <col min="9746" max="9746" width="7.5" bestFit="1" customWidth="1"/>
    <col min="9747" max="9747" width="7.1640625" bestFit="1" customWidth="1"/>
    <col min="9748" max="9748" width="8.6640625" bestFit="1" customWidth="1"/>
    <col min="9749" max="9749" width="4.6640625" customWidth="1"/>
    <col min="9750" max="9750" width="19.1640625" bestFit="1" customWidth="1"/>
    <col min="9751" max="9751" width="7.5" bestFit="1" customWidth="1"/>
    <col min="9752" max="9752" width="7.1640625" bestFit="1" customWidth="1"/>
    <col min="9753" max="9753" width="7.5" bestFit="1" customWidth="1"/>
    <col min="9754" max="9754" width="4.6640625" customWidth="1"/>
    <col min="9755" max="9755" width="19.1640625" bestFit="1" customWidth="1"/>
    <col min="9756" max="9756" width="6.1640625" bestFit="1" customWidth="1"/>
    <col min="9757" max="9757" width="7" bestFit="1" customWidth="1"/>
    <col min="9758" max="9758" width="7.5" bestFit="1" customWidth="1"/>
    <col min="9759" max="9759" width="4.6640625" customWidth="1"/>
    <col min="9760" max="9760" width="22.1640625" bestFit="1" customWidth="1"/>
    <col min="9761" max="9761" width="6.5" customWidth="1"/>
    <col min="9762" max="9762" width="8.1640625" customWidth="1"/>
    <col min="9764" max="9764" width="7.83203125" customWidth="1"/>
    <col min="9765" max="9765" width="21.33203125" customWidth="1"/>
    <col min="9766" max="9766" width="7.33203125" customWidth="1"/>
    <col min="9768" max="9768" width="8.5" customWidth="1"/>
    <col min="9770" max="9770" width="20.5" customWidth="1"/>
    <col min="9772" max="9772" width="10.1640625" customWidth="1"/>
    <col min="9774" max="9774" width="20.1640625" customWidth="1"/>
    <col min="9775" max="9775" width="10.1640625" bestFit="1" customWidth="1"/>
    <col min="9777" max="9777" width="23.1640625" customWidth="1"/>
    <col min="9781" max="9781" width="19.5" customWidth="1"/>
    <col min="9782" max="9782" width="17.5" customWidth="1"/>
    <col min="9783" max="9783" width="13.33203125" customWidth="1"/>
    <col min="9786" max="9786" width="23.83203125" bestFit="1" customWidth="1"/>
    <col min="9790" max="9790" width="21.6640625" customWidth="1"/>
    <col min="9791" max="9791" width="10.1640625" bestFit="1" customWidth="1"/>
    <col min="9792" max="9792" width="8.6640625" customWidth="1"/>
    <col min="9794" max="9794" width="23.83203125" bestFit="1" customWidth="1"/>
    <col min="9798" max="9798" width="21.6640625" customWidth="1"/>
    <col min="9799" max="9799" width="10.1640625" bestFit="1" customWidth="1"/>
    <col min="9800" max="9800" width="8.6640625" customWidth="1"/>
    <col min="9802" max="9802" width="23.83203125" bestFit="1" customWidth="1"/>
    <col min="9806" max="9806" width="21.6640625" customWidth="1"/>
    <col min="9807" max="9807" width="10.1640625" bestFit="1" customWidth="1"/>
    <col min="9808" max="9808" width="8.6640625" customWidth="1"/>
    <col min="9810" max="9810" width="26.5" customWidth="1"/>
    <col min="9814" max="9814" width="21.6640625" customWidth="1"/>
    <col min="9815" max="9815" width="10.1640625" bestFit="1" customWidth="1"/>
    <col min="9816" max="9816" width="8.6640625" customWidth="1"/>
    <col min="9985" max="9985" width="4.6640625" customWidth="1"/>
    <col min="9986" max="9986" width="19.33203125" bestFit="1" customWidth="1"/>
    <col min="9987" max="9987" width="6.33203125" bestFit="1" customWidth="1"/>
    <col min="9988" max="9988" width="8.5" bestFit="1" customWidth="1"/>
    <col min="9989" max="9989" width="8.83203125" bestFit="1" customWidth="1"/>
    <col min="9990" max="9990" width="4.6640625" customWidth="1"/>
    <col min="9991" max="9991" width="19.1640625" bestFit="1" customWidth="1"/>
    <col min="9992" max="9992" width="6.33203125" bestFit="1" customWidth="1"/>
    <col min="9993" max="9993" width="8.1640625" bestFit="1" customWidth="1"/>
    <col min="9994" max="9994" width="7.5" bestFit="1" customWidth="1"/>
    <col min="9995" max="9995" width="4.6640625" customWidth="1"/>
    <col min="9996" max="9996" width="19.1640625" bestFit="1" customWidth="1"/>
    <col min="9997" max="9997" width="6.33203125" bestFit="1" customWidth="1"/>
    <col min="9998" max="9998" width="8" bestFit="1" customWidth="1"/>
    <col min="9999" max="9999" width="8.1640625" bestFit="1" customWidth="1"/>
    <col min="10000" max="10000" width="4.6640625" customWidth="1"/>
    <col min="10001" max="10001" width="19.1640625" bestFit="1" customWidth="1"/>
    <col min="10002" max="10002" width="7.5" bestFit="1" customWidth="1"/>
    <col min="10003" max="10003" width="7.1640625" bestFit="1" customWidth="1"/>
    <col min="10004" max="10004" width="8.6640625" bestFit="1" customWidth="1"/>
    <col min="10005" max="10005" width="4.6640625" customWidth="1"/>
    <col min="10006" max="10006" width="19.1640625" bestFit="1" customWidth="1"/>
    <col min="10007" max="10007" width="7.5" bestFit="1" customWidth="1"/>
    <col min="10008" max="10008" width="7.1640625" bestFit="1" customWidth="1"/>
    <col min="10009" max="10009" width="7.5" bestFit="1" customWidth="1"/>
    <col min="10010" max="10010" width="4.6640625" customWidth="1"/>
    <col min="10011" max="10011" width="19.1640625" bestFit="1" customWidth="1"/>
    <col min="10012" max="10012" width="6.1640625" bestFit="1" customWidth="1"/>
    <col min="10013" max="10013" width="7" bestFit="1" customWidth="1"/>
    <col min="10014" max="10014" width="7.5" bestFit="1" customWidth="1"/>
    <col min="10015" max="10015" width="4.6640625" customWidth="1"/>
    <col min="10016" max="10016" width="22.1640625" bestFit="1" customWidth="1"/>
    <col min="10017" max="10017" width="6.5" customWidth="1"/>
    <col min="10018" max="10018" width="8.1640625" customWidth="1"/>
    <col min="10020" max="10020" width="7.83203125" customWidth="1"/>
    <col min="10021" max="10021" width="21.33203125" customWidth="1"/>
    <col min="10022" max="10022" width="7.33203125" customWidth="1"/>
    <col min="10024" max="10024" width="8.5" customWidth="1"/>
    <col min="10026" max="10026" width="20.5" customWidth="1"/>
    <col min="10028" max="10028" width="10.1640625" customWidth="1"/>
    <col min="10030" max="10030" width="20.1640625" customWidth="1"/>
    <col min="10031" max="10031" width="10.1640625" bestFit="1" customWidth="1"/>
    <col min="10033" max="10033" width="23.1640625" customWidth="1"/>
    <col min="10037" max="10037" width="19.5" customWidth="1"/>
    <col min="10038" max="10038" width="17.5" customWidth="1"/>
    <col min="10039" max="10039" width="13.33203125" customWidth="1"/>
    <col min="10042" max="10042" width="23.83203125" bestFit="1" customWidth="1"/>
    <col min="10046" max="10046" width="21.6640625" customWidth="1"/>
    <col min="10047" max="10047" width="10.1640625" bestFit="1" customWidth="1"/>
    <col min="10048" max="10048" width="8.6640625" customWidth="1"/>
    <col min="10050" max="10050" width="23.83203125" bestFit="1" customWidth="1"/>
    <col min="10054" max="10054" width="21.6640625" customWidth="1"/>
    <col min="10055" max="10055" width="10.1640625" bestFit="1" customWidth="1"/>
    <col min="10056" max="10056" width="8.6640625" customWidth="1"/>
    <col min="10058" max="10058" width="23.83203125" bestFit="1" customWidth="1"/>
    <col min="10062" max="10062" width="21.6640625" customWidth="1"/>
    <col min="10063" max="10063" width="10.1640625" bestFit="1" customWidth="1"/>
    <col min="10064" max="10064" width="8.6640625" customWidth="1"/>
    <col min="10066" max="10066" width="26.5" customWidth="1"/>
    <col min="10070" max="10070" width="21.6640625" customWidth="1"/>
    <col min="10071" max="10071" width="10.1640625" bestFit="1" customWidth="1"/>
    <col min="10072" max="10072" width="8.6640625" customWidth="1"/>
    <col min="10241" max="10241" width="4.6640625" customWidth="1"/>
    <col min="10242" max="10242" width="19.33203125" bestFit="1" customWidth="1"/>
    <col min="10243" max="10243" width="6.33203125" bestFit="1" customWidth="1"/>
    <col min="10244" max="10244" width="8.5" bestFit="1" customWidth="1"/>
    <col min="10245" max="10245" width="8.83203125" bestFit="1" customWidth="1"/>
    <col min="10246" max="10246" width="4.6640625" customWidth="1"/>
    <col min="10247" max="10247" width="19.1640625" bestFit="1" customWidth="1"/>
    <col min="10248" max="10248" width="6.33203125" bestFit="1" customWidth="1"/>
    <col min="10249" max="10249" width="8.1640625" bestFit="1" customWidth="1"/>
    <col min="10250" max="10250" width="7.5" bestFit="1" customWidth="1"/>
    <col min="10251" max="10251" width="4.6640625" customWidth="1"/>
    <col min="10252" max="10252" width="19.1640625" bestFit="1" customWidth="1"/>
    <col min="10253" max="10253" width="6.33203125" bestFit="1" customWidth="1"/>
    <col min="10254" max="10254" width="8" bestFit="1" customWidth="1"/>
    <col min="10255" max="10255" width="8.1640625" bestFit="1" customWidth="1"/>
    <col min="10256" max="10256" width="4.6640625" customWidth="1"/>
    <col min="10257" max="10257" width="19.1640625" bestFit="1" customWidth="1"/>
    <col min="10258" max="10258" width="7.5" bestFit="1" customWidth="1"/>
    <col min="10259" max="10259" width="7.1640625" bestFit="1" customWidth="1"/>
    <col min="10260" max="10260" width="8.6640625" bestFit="1" customWidth="1"/>
    <col min="10261" max="10261" width="4.6640625" customWidth="1"/>
    <col min="10262" max="10262" width="19.1640625" bestFit="1" customWidth="1"/>
    <col min="10263" max="10263" width="7.5" bestFit="1" customWidth="1"/>
    <col min="10264" max="10264" width="7.1640625" bestFit="1" customWidth="1"/>
    <col min="10265" max="10265" width="7.5" bestFit="1" customWidth="1"/>
    <col min="10266" max="10266" width="4.6640625" customWidth="1"/>
    <col min="10267" max="10267" width="19.1640625" bestFit="1" customWidth="1"/>
    <col min="10268" max="10268" width="6.1640625" bestFit="1" customWidth="1"/>
    <col min="10269" max="10269" width="7" bestFit="1" customWidth="1"/>
    <col min="10270" max="10270" width="7.5" bestFit="1" customWidth="1"/>
    <col min="10271" max="10271" width="4.6640625" customWidth="1"/>
    <col min="10272" max="10272" width="22.1640625" bestFit="1" customWidth="1"/>
    <col min="10273" max="10273" width="6.5" customWidth="1"/>
    <col min="10274" max="10274" width="8.1640625" customWidth="1"/>
    <col min="10276" max="10276" width="7.83203125" customWidth="1"/>
    <col min="10277" max="10277" width="21.33203125" customWidth="1"/>
    <col min="10278" max="10278" width="7.33203125" customWidth="1"/>
    <col min="10280" max="10280" width="8.5" customWidth="1"/>
    <col min="10282" max="10282" width="20.5" customWidth="1"/>
    <col min="10284" max="10284" width="10.1640625" customWidth="1"/>
    <col min="10286" max="10286" width="20.1640625" customWidth="1"/>
    <col min="10287" max="10287" width="10.1640625" bestFit="1" customWidth="1"/>
    <col min="10289" max="10289" width="23.1640625" customWidth="1"/>
    <col min="10293" max="10293" width="19.5" customWidth="1"/>
    <col min="10294" max="10294" width="17.5" customWidth="1"/>
    <col min="10295" max="10295" width="13.33203125" customWidth="1"/>
    <col min="10298" max="10298" width="23.83203125" bestFit="1" customWidth="1"/>
    <col min="10302" max="10302" width="21.6640625" customWidth="1"/>
    <col min="10303" max="10303" width="10.1640625" bestFit="1" customWidth="1"/>
    <col min="10304" max="10304" width="8.6640625" customWidth="1"/>
    <col min="10306" max="10306" width="23.83203125" bestFit="1" customWidth="1"/>
    <col min="10310" max="10310" width="21.6640625" customWidth="1"/>
    <col min="10311" max="10311" width="10.1640625" bestFit="1" customWidth="1"/>
    <col min="10312" max="10312" width="8.6640625" customWidth="1"/>
    <col min="10314" max="10314" width="23.83203125" bestFit="1" customWidth="1"/>
    <col min="10318" max="10318" width="21.6640625" customWidth="1"/>
    <col min="10319" max="10319" width="10.1640625" bestFit="1" customWidth="1"/>
    <col min="10320" max="10320" width="8.6640625" customWidth="1"/>
    <col min="10322" max="10322" width="26.5" customWidth="1"/>
    <col min="10326" max="10326" width="21.6640625" customWidth="1"/>
    <col min="10327" max="10327" width="10.1640625" bestFit="1" customWidth="1"/>
    <col min="10328" max="10328" width="8.6640625" customWidth="1"/>
    <col min="10497" max="10497" width="4.6640625" customWidth="1"/>
    <col min="10498" max="10498" width="19.33203125" bestFit="1" customWidth="1"/>
    <col min="10499" max="10499" width="6.33203125" bestFit="1" customWidth="1"/>
    <col min="10500" max="10500" width="8.5" bestFit="1" customWidth="1"/>
    <col min="10501" max="10501" width="8.83203125" bestFit="1" customWidth="1"/>
    <col min="10502" max="10502" width="4.6640625" customWidth="1"/>
    <col min="10503" max="10503" width="19.1640625" bestFit="1" customWidth="1"/>
    <col min="10504" max="10504" width="6.33203125" bestFit="1" customWidth="1"/>
    <col min="10505" max="10505" width="8.1640625" bestFit="1" customWidth="1"/>
    <col min="10506" max="10506" width="7.5" bestFit="1" customWidth="1"/>
    <col min="10507" max="10507" width="4.6640625" customWidth="1"/>
    <col min="10508" max="10508" width="19.1640625" bestFit="1" customWidth="1"/>
    <col min="10509" max="10509" width="6.33203125" bestFit="1" customWidth="1"/>
    <col min="10510" max="10510" width="8" bestFit="1" customWidth="1"/>
    <col min="10511" max="10511" width="8.1640625" bestFit="1" customWidth="1"/>
    <col min="10512" max="10512" width="4.6640625" customWidth="1"/>
    <col min="10513" max="10513" width="19.1640625" bestFit="1" customWidth="1"/>
    <col min="10514" max="10514" width="7.5" bestFit="1" customWidth="1"/>
    <col min="10515" max="10515" width="7.1640625" bestFit="1" customWidth="1"/>
    <col min="10516" max="10516" width="8.6640625" bestFit="1" customWidth="1"/>
    <col min="10517" max="10517" width="4.6640625" customWidth="1"/>
    <col min="10518" max="10518" width="19.1640625" bestFit="1" customWidth="1"/>
    <col min="10519" max="10519" width="7.5" bestFit="1" customWidth="1"/>
    <col min="10520" max="10520" width="7.1640625" bestFit="1" customWidth="1"/>
    <col min="10521" max="10521" width="7.5" bestFit="1" customWidth="1"/>
    <col min="10522" max="10522" width="4.6640625" customWidth="1"/>
    <col min="10523" max="10523" width="19.1640625" bestFit="1" customWidth="1"/>
    <col min="10524" max="10524" width="6.1640625" bestFit="1" customWidth="1"/>
    <col min="10525" max="10525" width="7" bestFit="1" customWidth="1"/>
    <col min="10526" max="10526" width="7.5" bestFit="1" customWidth="1"/>
    <col min="10527" max="10527" width="4.6640625" customWidth="1"/>
    <col min="10528" max="10528" width="22.1640625" bestFit="1" customWidth="1"/>
    <col min="10529" max="10529" width="6.5" customWidth="1"/>
    <col min="10530" max="10530" width="8.1640625" customWidth="1"/>
    <col min="10532" max="10532" width="7.83203125" customWidth="1"/>
    <col min="10533" max="10533" width="21.33203125" customWidth="1"/>
    <col min="10534" max="10534" width="7.33203125" customWidth="1"/>
    <col min="10536" max="10536" width="8.5" customWidth="1"/>
    <col min="10538" max="10538" width="20.5" customWidth="1"/>
    <col min="10540" max="10540" width="10.1640625" customWidth="1"/>
    <col min="10542" max="10542" width="20.1640625" customWidth="1"/>
    <col min="10543" max="10543" width="10.1640625" bestFit="1" customWidth="1"/>
    <col min="10545" max="10545" width="23.1640625" customWidth="1"/>
    <col min="10549" max="10549" width="19.5" customWidth="1"/>
    <col min="10550" max="10550" width="17.5" customWidth="1"/>
    <col min="10551" max="10551" width="13.33203125" customWidth="1"/>
    <col min="10554" max="10554" width="23.83203125" bestFit="1" customWidth="1"/>
    <col min="10558" max="10558" width="21.6640625" customWidth="1"/>
    <col min="10559" max="10559" width="10.1640625" bestFit="1" customWidth="1"/>
    <col min="10560" max="10560" width="8.6640625" customWidth="1"/>
    <col min="10562" max="10562" width="23.83203125" bestFit="1" customWidth="1"/>
    <col min="10566" max="10566" width="21.6640625" customWidth="1"/>
    <col min="10567" max="10567" width="10.1640625" bestFit="1" customWidth="1"/>
    <col min="10568" max="10568" width="8.6640625" customWidth="1"/>
    <col min="10570" max="10570" width="23.83203125" bestFit="1" customWidth="1"/>
    <col min="10574" max="10574" width="21.6640625" customWidth="1"/>
    <col min="10575" max="10575" width="10.1640625" bestFit="1" customWidth="1"/>
    <col min="10576" max="10576" width="8.6640625" customWidth="1"/>
    <col min="10578" max="10578" width="26.5" customWidth="1"/>
    <col min="10582" max="10582" width="21.6640625" customWidth="1"/>
    <col min="10583" max="10583" width="10.1640625" bestFit="1" customWidth="1"/>
    <col min="10584" max="10584" width="8.6640625" customWidth="1"/>
    <col min="10753" max="10753" width="4.6640625" customWidth="1"/>
    <col min="10754" max="10754" width="19.33203125" bestFit="1" customWidth="1"/>
    <col min="10755" max="10755" width="6.33203125" bestFit="1" customWidth="1"/>
    <col min="10756" max="10756" width="8.5" bestFit="1" customWidth="1"/>
    <col min="10757" max="10757" width="8.83203125" bestFit="1" customWidth="1"/>
    <col min="10758" max="10758" width="4.6640625" customWidth="1"/>
    <col min="10759" max="10759" width="19.1640625" bestFit="1" customWidth="1"/>
    <col min="10760" max="10760" width="6.33203125" bestFit="1" customWidth="1"/>
    <col min="10761" max="10761" width="8.1640625" bestFit="1" customWidth="1"/>
    <col min="10762" max="10762" width="7.5" bestFit="1" customWidth="1"/>
    <col min="10763" max="10763" width="4.6640625" customWidth="1"/>
    <col min="10764" max="10764" width="19.1640625" bestFit="1" customWidth="1"/>
    <col min="10765" max="10765" width="6.33203125" bestFit="1" customWidth="1"/>
    <col min="10766" max="10766" width="8" bestFit="1" customWidth="1"/>
    <col min="10767" max="10767" width="8.1640625" bestFit="1" customWidth="1"/>
    <col min="10768" max="10768" width="4.6640625" customWidth="1"/>
    <col min="10769" max="10769" width="19.1640625" bestFit="1" customWidth="1"/>
    <col min="10770" max="10770" width="7.5" bestFit="1" customWidth="1"/>
    <col min="10771" max="10771" width="7.1640625" bestFit="1" customWidth="1"/>
    <col min="10772" max="10772" width="8.6640625" bestFit="1" customWidth="1"/>
    <col min="10773" max="10773" width="4.6640625" customWidth="1"/>
    <col min="10774" max="10774" width="19.1640625" bestFit="1" customWidth="1"/>
    <col min="10775" max="10775" width="7.5" bestFit="1" customWidth="1"/>
    <col min="10776" max="10776" width="7.1640625" bestFit="1" customWidth="1"/>
    <col min="10777" max="10777" width="7.5" bestFit="1" customWidth="1"/>
    <col min="10778" max="10778" width="4.6640625" customWidth="1"/>
    <col min="10779" max="10779" width="19.1640625" bestFit="1" customWidth="1"/>
    <col min="10780" max="10780" width="6.1640625" bestFit="1" customWidth="1"/>
    <col min="10781" max="10781" width="7" bestFit="1" customWidth="1"/>
    <col min="10782" max="10782" width="7.5" bestFit="1" customWidth="1"/>
    <col min="10783" max="10783" width="4.6640625" customWidth="1"/>
    <col min="10784" max="10784" width="22.1640625" bestFit="1" customWidth="1"/>
    <col min="10785" max="10785" width="6.5" customWidth="1"/>
    <col min="10786" max="10786" width="8.1640625" customWidth="1"/>
    <col min="10788" max="10788" width="7.83203125" customWidth="1"/>
    <col min="10789" max="10789" width="21.33203125" customWidth="1"/>
    <col min="10790" max="10790" width="7.33203125" customWidth="1"/>
    <col min="10792" max="10792" width="8.5" customWidth="1"/>
    <col min="10794" max="10794" width="20.5" customWidth="1"/>
    <col min="10796" max="10796" width="10.1640625" customWidth="1"/>
    <col min="10798" max="10798" width="20.1640625" customWidth="1"/>
    <col min="10799" max="10799" width="10.1640625" bestFit="1" customWidth="1"/>
    <col min="10801" max="10801" width="23.1640625" customWidth="1"/>
    <col min="10805" max="10805" width="19.5" customWidth="1"/>
    <col min="10806" max="10806" width="17.5" customWidth="1"/>
    <col min="10807" max="10807" width="13.33203125" customWidth="1"/>
    <col min="10810" max="10810" width="23.83203125" bestFit="1" customWidth="1"/>
    <col min="10814" max="10814" width="21.6640625" customWidth="1"/>
    <col min="10815" max="10815" width="10.1640625" bestFit="1" customWidth="1"/>
    <col min="10816" max="10816" width="8.6640625" customWidth="1"/>
    <col min="10818" max="10818" width="23.83203125" bestFit="1" customWidth="1"/>
    <col min="10822" max="10822" width="21.6640625" customWidth="1"/>
    <col min="10823" max="10823" width="10.1640625" bestFit="1" customWidth="1"/>
    <col min="10824" max="10824" width="8.6640625" customWidth="1"/>
    <col min="10826" max="10826" width="23.83203125" bestFit="1" customWidth="1"/>
    <col min="10830" max="10830" width="21.6640625" customWidth="1"/>
    <col min="10831" max="10831" width="10.1640625" bestFit="1" customWidth="1"/>
    <col min="10832" max="10832" width="8.6640625" customWidth="1"/>
    <col min="10834" max="10834" width="26.5" customWidth="1"/>
    <col min="10838" max="10838" width="21.6640625" customWidth="1"/>
    <col min="10839" max="10839" width="10.1640625" bestFit="1" customWidth="1"/>
    <col min="10840" max="10840" width="8.6640625" customWidth="1"/>
    <col min="11009" max="11009" width="4.6640625" customWidth="1"/>
    <col min="11010" max="11010" width="19.33203125" bestFit="1" customWidth="1"/>
    <col min="11011" max="11011" width="6.33203125" bestFit="1" customWidth="1"/>
    <col min="11012" max="11012" width="8.5" bestFit="1" customWidth="1"/>
    <col min="11013" max="11013" width="8.83203125" bestFit="1" customWidth="1"/>
    <col min="11014" max="11014" width="4.6640625" customWidth="1"/>
    <col min="11015" max="11015" width="19.1640625" bestFit="1" customWidth="1"/>
    <col min="11016" max="11016" width="6.33203125" bestFit="1" customWidth="1"/>
    <col min="11017" max="11017" width="8.1640625" bestFit="1" customWidth="1"/>
    <col min="11018" max="11018" width="7.5" bestFit="1" customWidth="1"/>
    <col min="11019" max="11019" width="4.6640625" customWidth="1"/>
    <col min="11020" max="11020" width="19.1640625" bestFit="1" customWidth="1"/>
    <col min="11021" max="11021" width="6.33203125" bestFit="1" customWidth="1"/>
    <col min="11022" max="11022" width="8" bestFit="1" customWidth="1"/>
    <col min="11023" max="11023" width="8.1640625" bestFit="1" customWidth="1"/>
    <col min="11024" max="11024" width="4.6640625" customWidth="1"/>
    <col min="11025" max="11025" width="19.1640625" bestFit="1" customWidth="1"/>
    <col min="11026" max="11026" width="7.5" bestFit="1" customWidth="1"/>
    <col min="11027" max="11027" width="7.1640625" bestFit="1" customWidth="1"/>
    <col min="11028" max="11028" width="8.6640625" bestFit="1" customWidth="1"/>
    <col min="11029" max="11029" width="4.6640625" customWidth="1"/>
    <col min="11030" max="11030" width="19.1640625" bestFit="1" customWidth="1"/>
    <col min="11031" max="11031" width="7.5" bestFit="1" customWidth="1"/>
    <col min="11032" max="11032" width="7.1640625" bestFit="1" customWidth="1"/>
    <col min="11033" max="11033" width="7.5" bestFit="1" customWidth="1"/>
    <col min="11034" max="11034" width="4.6640625" customWidth="1"/>
    <col min="11035" max="11035" width="19.1640625" bestFit="1" customWidth="1"/>
    <col min="11036" max="11036" width="6.1640625" bestFit="1" customWidth="1"/>
    <col min="11037" max="11037" width="7" bestFit="1" customWidth="1"/>
    <col min="11038" max="11038" width="7.5" bestFit="1" customWidth="1"/>
    <col min="11039" max="11039" width="4.6640625" customWidth="1"/>
    <col min="11040" max="11040" width="22.1640625" bestFit="1" customWidth="1"/>
    <col min="11041" max="11041" width="6.5" customWidth="1"/>
    <col min="11042" max="11042" width="8.1640625" customWidth="1"/>
    <col min="11044" max="11044" width="7.83203125" customWidth="1"/>
    <col min="11045" max="11045" width="21.33203125" customWidth="1"/>
    <col min="11046" max="11046" width="7.33203125" customWidth="1"/>
    <col min="11048" max="11048" width="8.5" customWidth="1"/>
    <col min="11050" max="11050" width="20.5" customWidth="1"/>
    <col min="11052" max="11052" width="10.1640625" customWidth="1"/>
    <col min="11054" max="11054" width="20.1640625" customWidth="1"/>
    <col min="11055" max="11055" width="10.1640625" bestFit="1" customWidth="1"/>
    <col min="11057" max="11057" width="23.1640625" customWidth="1"/>
    <col min="11061" max="11061" width="19.5" customWidth="1"/>
    <col min="11062" max="11062" width="17.5" customWidth="1"/>
    <col min="11063" max="11063" width="13.33203125" customWidth="1"/>
    <col min="11066" max="11066" width="23.83203125" bestFit="1" customWidth="1"/>
    <col min="11070" max="11070" width="21.6640625" customWidth="1"/>
    <col min="11071" max="11071" width="10.1640625" bestFit="1" customWidth="1"/>
    <col min="11072" max="11072" width="8.6640625" customWidth="1"/>
    <col min="11074" max="11074" width="23.83203125" bestFit="1" customWidth="1"/>
    <col min="11078" max="11078" width="21.6640625" customWidth="1"/>
    <col min="11079" max="11079" width="10.1640625" bestFit="1" customWidth="1"/>
    <col min="11080" max="11080" width="8.6640625" customWidth="1"/>
    <col min="11082" max="11082" width="23.83203125" bestFit="1" customWidth="1"/>
    <col min="11086" max="11086" width="21.6640625" customWidth="1"/>
    <col min="11087" max="11087" width="10.1640625" bestFit="1" customWidth="1"/>
    <col min="11088" max="11088" width="8.6640625" customWidth="1"/>
    <col min="11090" max="11090" width="26.5" customWidth="1"/>
    <col min="11094" max="11094" width="21.6640625" customWidth="1"/>
    <col min="11095" max="11095" width="10.1640625" bestFit="1" customWidth="1"/>
    <col min="11096" max="11096" width="8.6640625" customWidth="1"/>
    <col min="11265" max="11265" width="4.6640625" customWidth="1"/>
    <col min="11266" max="11266" width="19.33203125" bestFit="1" customWidth="1"/>
    <col min="11267" max="11267" width="6.33203125" bestFit="1" customWidth="1"/>
    <col min="11268" max="11268" width="8.5" bestFit="1" customWidth="1"/>
    <col min="11269" max="11269" width="8.83203125" bestFit="1" customWidth="1"/>
    <col min="11270" max="11270" width="4.6640625" customWidth="1"/>
    <col min="11271" max="11271" width="19.1640625" bestFit="1" customWidth="1"/>
    <col min="11272" max="11272" width="6.33203125" bestFit="1" customWidth="1"/>
    <col min="11273" max="11273" width="8.1640625" bestFit="1" customWidth="1"/>
    <col min="11274" max="11274" width="7.5" bestFit="1" customWidth="1"/>
    <col min="11275" max="11275" width="4.6640625" customWidth="1"/>
    <col min="11276" max="11276" width="19.1640625" bestFit="1" customWidth="1"/>
    <col min="11277" max="11277" width="6.33203125" bestFit="1" customWidth="1"/>
    <col min="11278" max="11278" width="8" bestFit="1" customWidth="1"/>
    <col min="11279" max="11279" width="8.1640625" bestFit="1" customWidth="1"/>
    <col min="11280" max="11280" width="4.6640625" customWidth="1"/>
    <col min="11281" max="11281" width="19.1640625" bestFit="1" customWidth="1"/>
    <col min="11282" max="11282" width="7.5" bestFit="1" customWidth="1"/>
    <col min="11283" max="11283" width="7.1640625" bestFit="1" customWidth="1"/>
    <col min="11284" max="11284" width="8.6640625" bestFit="1" customWidth="1"/>
    <col min="11285" max="11285" width="4.6640625" customWidth="1"/>
    <col min="11286" max="11286" width="19.1640625" bestFit="1" customWidth="1"/>
    <col min="11287" max="11287" width="7.5" bestFit="1" customWidth="1"/>
    <col min="11288" max="11288" width="7.1640625" bestFit="1" customWidth="1"/>
    <col min="11289" max="11289" width="7.5" bestFit="1" customWidth="1"/>
    <col min="11290" max="11290" width="4.6640625" customWidth="1"/>
    <col min="11291" max="11291" width="19.1640625" bestFit="1" customWidth="1"/>
    <col min="11292" max="11292" width="6.1640625" bestFit="1" customWidth="1"/>
    <col min="11293" max="11293" width="7" bestFit="1" customWidth="1"/>
    <col min="11294" max="11294" width="7.5" bestFit="1" customWidth="1"/>
    <col min="11295" max="11295" width="4.6640625" customWidth="1"/>
    <col min="11296" max="11296" width="22.1640625" bestFit="1" customWidth="1"/>
    <col min="11297" max="11297" width="6.5" customWidth="1"/>
    <col min="11298" max="11298" width="8.1640625" customWidth="1"/>
    <col min="11300" max="11300" width="7.83203125" customWidth="1"/>
    <col min="11301" max="11301" width="21.33203125" customWidth="1"/>
    <col min="11302" max="11302" width="7.33203125" customWidth="1"/>
    <col min="11304" max="11304" width="8.5" customWidth="1"/>
    <col min="11306" max="11306" width="20.5" customWidth="1"/>
    <col min="11308" max="11308" width="10.1640625" customWidth="1"/>
    <col min="11310" max="11310" width="20.1640625" customWidth="1"/>
    <col min="11311" max="11311" width="10.1640625" bestFit="1" customWidth="1"/>
    <col min="11313" max="11313" width="23.1640625" customWidth="1"/>
    <col min="11317" max="11317" width="19.5" customWidth="1"/>
    <col min="11318" max="11318" width="17.5" customWidth="1"/>
    <col min="11319" max="11319" width="13.33203125" customWidth="1"/>
    <col min="11322" max="11322" width="23.83203125" bestFit="1" customWidth="1"/>
    <col min="11326" max="11326" width="21.6640625" customWidth="1"/>
    <col min="11327" max="11327" width="10.1640625" bestFit="1" customWidth="1"/>
    <col min="11328" max="11328" width="8.6640625" customWidth="1"/>
    <col min="11330" max="11330" width="23.83203125" bestFit="1" customWidth="1"/>
    <col min="11334" max="11334" width="21.6640625" customWidth="1"/>
    <col min="11335" max="11335" width="10.1640625" bestFit="1" customWidth="1"/>
    <col min="11336" max="11336" width="8.6640625" customWidth="1"/>
    <col min="11338" max="11338" width="23.83203125" bestFit="1" customWidth="1"/>
    <col min="11342" max="11342" width="21.6640625" customWidth="1"/>
    <col min="11343" max="11343" width="10.1640625" bestFit="1" customWidth="1"/>
    <col min="11344" max="11344" width="8.6640625" customWidth="1"/>
    <col min="11346" max="11346" width="26.5" customWidth="1"/>
    <col min="11350" max="11350" width="21.6640625" customWidth="1"/>
    <col min="11351" max="11351" width="10.1640625" bestFit="1" customWidth="1"/>
    <col min="11352" max="11352" width="8.6640625" customWidth="1"/>
    <col min="11521" max="11521" width="4.6640625" customWidth="1"/>
    <col min="11522" max="11522" width="19.33203125" bestFit="1" customWidth="1"/>
    <col min="11523" max="11523" width="6.33203125" bestFit="1" customWidth="1"/>
    <col min="11524" max="11524" width="8.5" bestFit="1" customWidth="1"/>
    <col min="11525" max="11525" width="8.83203125" bestFit="1" customWidth="1"/>
    <col min="11526" max="11526" width="4.6640625" customWidth="1"/>
    <col min="11527" max="11527" width="19.1640625" bestFit="1" customWidth="1"/>
    <col min="11528" max="11528" width="6.33203125" bestFit="1" customWidth="1"/>
    <col min="11529" max="11529" width="8.1640625" bestFit="1" customWidth="1"/>
    <col min="11530" max="11530" width="7.5" bestFit="1" customWidth="1"/>
    <col min="11531" max="11531" width="4.6640625" customWidth="1"/>
    <col min="11532" max="11532" width="19.1640625" bestFit="1" customWidth="1"/>
    <col min="11533" max="11533" width="6.33203125" bestFit="1" customWidth="1"/>
    <col min="11534" max="11534" width="8" bestFit="1" customWidth="1"/>
    <col min="11535" max="11535" width="8.1640625" bestFit="1" customWidth="1"/>
    <col min="11536" max="11536" width="4.6640625" customWidth="1"/>
    <col min="11537" max="11537" width="19.1640625" bestFit="1" customWidth="1"/>
    <col min="11538" max="11538" width="7.5" bestFit="1" customWidth="1"/>
    <col min="11539" max="11539" width="7.1640625" bestFit="1" customWidth="1"/>
    <col min="11540" max="11540" width="8.6640625" bestFit="1" customWidth="1"/>
    <col min="11541" max="11541" width="4.6640625" customWidth="1"/>
    <col min="11542" max="11542" width="19.1640625" bestFit="1" customWidth="1"/>
    <col min="11543" max="11543" width="7.5" bestFit="1" customWidth="1"/>
    <col min="11544" max="11544" width="7.1640625" bestFit="1" customWidth="1"/>
    <col min="11545" max="11545" width="7.5" bestFit="1" customWidth="1"/>
    <col min="11546" max="11546" width="4.6640625" customWidth="1"/>
    <col min="11547" max="11547" width="19.1640625" bestFit="1" customWidth="1"/>
    <col min="11548" max="11548" width="6.1640625" bestFit="1" customWidth="1"/>
    <col min="11549" max="11549" width="7" bestFit="1" customWidth="1"/>
    <col min="11550" max="11550" width="7.5" bestFit="1" customWidth="1"/>
    <col min="11551" max="11551" width="4.6640625" customWidth="1"/>
    <col min="11552" max="11552" width="22.1640625" bestFit="1" customWidth="1"/>
    <col min="11553" max="11553" width="6.5" customWidth="1"/>
    <col min="11554" max="11554" width="8.1640625" customWidth="1"/>
    <col min="11556" max="11556" width="7.83203125" customWidth="1"/>
    <col min="11557" max="11557" width="21.33203125" customWidth="1"/>
    <col min="11558" max="11558" width="7.33203125" customWidth="1"/>
    <col min="11560" max="11560" width="8.5" customWidth="1"/>
    <col min="11562" max="11562" width="20.5" customWidth="1"/>
    <col min="11564" max="11564" width="10.1640625" customWidth="1"/>
    <col min="11566" max="11566" width="20.1640625" customWidth="1"/>
    <col min="11567" max="11567" width="10.1640625" bestFit="1" customWidth="1"/>
    <col min="11569" max="11569" width="23.1640625" customWidth="1"/>
    <col min="11573" max="11573" width="19.5" customWidth="1"/>
    <col min="11574" max="11574" width="17.5" customWidth="1"/>
    <col min="11575" max="11575" width="13.33203125" customWidth="1"/>
    <col min="11578" max="11578" width="23.83203125" bestFit="1" customWidth="1"/>
    <col min="11582" max="11582" width="21.6640625" customWidth="1"/>
    <col min="11583" max="11583" width="10.1640625" bestFit="1" customWidth="1"/>
    <col min="11584" max="11584" width="8.6640625" customWidth="1"/>
    <col min="11586" max="11586" width="23.83203125" bestFit="1" customWidth="1"/>
    <col min="11590" max="11590" width="21.6640625" customWidth="1"/>
    <col min="11591" max="11591" width="10.1640625" bestFit="1" customWidth="1"/>
    <col min="11592" max="11592" width="8.6640625" customWidth="1"/>
    <col min="11594" max="11594" width="23.83203125" bestFit="1" customWidth="1"/>
    <col min="11598" max="11598" width="21.6640625" customWidth="1"/>
    <col min="11599" max="11599" width="10.1640625" bestFit="1" customWidth="1"/>
    <col min="11600" max="11600" width="8.6640625" customWidth="1"/>
    <col min="11602" max="11602" width="26.5" customWidth="1"/>
    <col min="11606" max="11606" width="21.6640625" customWidth="1"/>
    <col min="11607" max="11607" width="10.1640625" bestFit="1" customWidth="1"/>
    <col min="11608" max="11608" width="8.6640625" customWidth="1"/>
    <col min="11777" max="11777" width="4.6640625" customWidth="1"/>
    <col min="11778" max="11778" width="19.33203125" bestFit="1" customWidth="1"/>
    <col min="11779" max="11779" width="6.33203125" bestFit="1" customWidth="1"/>
    <col min="11780" max="11780" width="8.5" bestFit="1" customWidth="1"/>
    <col min="11781" max="11781" width="8.83203125" bestFit="1" customWidth="1"/>
    <col min="11782" max="11782" width="4.6640625" customWidth="1"/>
    <col min="11783" max="11783" width="19.1640625" bestFit="1" customWidth="1"/>
    <col min="11784" max="11784" width="6.33203125" bestFit="1" customWidth="1"/>
    <col min="11785" max="11785" width="8.1640625" bestFit="1" customWidth="1"/>
    <col min="11786" max="11786" width="7.5" bestFit="1" customWidth="1"/>
    <col min="11787" max="11787" width="4.6640625" customWidth="1"/>
    <col min="11788" max="11788" width="19.1640625" bestFit="1" customWidth="1"/>
    <col min="11789" max="11789" width="6.33203125" bestFit="1" customWidth="1"/>
    <col min="11790" max="11790" width="8" bestFit="1" customWidth="1"/>
    <col min="11791" max="11791" width="8.1640625" bestFit="1" customWidth="1"/>
    <col min="11792" max="11792" width="4.6640625" customWidth="1"/>
    <col min="11793" max="11793" width="19.1640625" bestFit="1" customWidth="1"/>
    <col min="11794" max="11794" width="7.5" bestFit="1" customWidth="1"/>
    <col min="11795" max="11795" width="7.1640625" bestFit="1" customWidth="1"/>
    <col min="11796" max="11796" width="8.6640625" bestFit="1" customWidth="1"/>
    <col min="11797" max="11797" width="4.6640625" customWidth="1"/>
    <col min="11798" max="11798" width="19.1640625" bestFit="1" customWidth="1"/>
    <col min="11799" max="11799" width="7.5" bestFit="1" customWidth="1"/>
    <col min="11800" max="11800" width="7.1640625" bestFit="1" customWidth="1"/>
    <col min="11801" max="11801" width="7.5" bestFit="1" customWidth="1"/>
    <col min="11802" max="11802" width="4.6640625" customWidth="1"/>
    <col min="11803" max="11803" width="19.1640625" bestFit="1" customWidth="1"/>
    <col min="11804" max="11804" width="6.1640625" bestFit="1" customWidth="1"/>
    <col min="11805" max="11805" width="7" bestFit="1" customWidth="1"/>
    <col min="11806" max="11806" width="7.5" bestFit="1" customWidth="1"/>
    <col min="11807" max="11807" width="4.6640625" customWidth="1"/>
    <col min="11808" max="11808" width="22.1640625" bestFit="1" customWidth="1"/>
    <col min="11809" max="11809" width="6.5" customWidth="1"/>
    <col min="11810" max="11810" width="8.1640625" customWidth="1"/>
    <col min="11812" max="11812" width="7.83203125" customWidth="1"/>
    <col min="11813" max="11813" width="21.33203125" customWidth="1"/>
    <col min="11814" max="11814" width="7.33203125" customWidth="1"/>
    <col min="11816" max="11816" width="8.5" customWidth="1"/>
    <col min="11818" max="11818" width="20.5" customWidth="1"/>
    <col min="11820" max="11820" width="10.1640625" customWidth="1"/>
    <col min="11822" max="11822" width="20.1640625" customWidth="1"/>
    <col min="11823" max="11823" width="10.1640625" bestFit="1" customWidth="1"/>
    <col min="11825" max="11825" width="23.1640625" customWidth="1"/>
    <col min="11829" max="11829" width="19.5" customWidth="1"/>
    <col min="11830" max="11830" width="17.5" customWidth="1"/>
    <col min="11831" max="11831" width="13.33203125" customWidth="1"/>
    <col min="11834" max="11834" width="23.83203125" bestFit="1" customWidth="1"/>
    <col min="11838" max="11838" width="21.6640625" customWidth="1"/>
    <col min="11839" max="11839" width="10.1640625" bestFit="1" customWidth="1"/>
    <col min="11840" max="11840" width="8.6640625" customWidth="1"/>
    <col min="11842" max="11842" width="23.83203125" bestFit="1" customWidth="1"/>
    <col min="11846" max="11846" width="21.6640625" customWidth="1"/>
    <col min="11847" max="11847" width="10.1640625" bestFit="1" customWidth="1"/>
    <col min="11848" max="11848" width="8.6640625" customWidth="1"/>
    <col min="11850" max="11850" width="23.83203125" bestFit="1" customWidth="1"/>
    <col min="11854" max="11854" width="21.6640625" customWidth="1"/>
    <col min="11855" max="11855" width="10.1640625" bestFit="1" customWidth="1"/>
    <col min="11856" max="11856" width="8.6640625" customWidth="1"/>
    <col min="11858" max="11858" width="26.5" customWidth="1"/>
    <col min="11862" max="11862" width="21.6640625" customWidth="1"/>
    <col min="11863" max="11863" width="10.1640625" bestFit="1" customWidth="1"/>
    <col min="11864" max="11864" width="8.6640625" customWidth="1"/>
    <col min="12033" max="12033" width="4.6640625" customWidth="1"/>
    <col min="12034" max="12034" width="19.33203125" bestFit="1" customWidth="1"/>
    <col min="12035" max="12035" width="6.33203125" bestFit="1" customWidth="1"/>
    <col min="12036" max="12036" width="8.5" bestFit="1" customWidth="1"/>
    <col min="12037" max="12037" width="8.83203125" bestFit="1" customWidth="1"/>
    <col min="12038" max="12038" width="4.6640625" customWidth="1"/>
    <col min="12039" max="12039" width="19.1640625" bestFit="1" customWidth="1"/>
    <col min="12040" max="12040" width="6.33203125" bestFit="1" customWidth="1"/>
    <col min="12041" max="12041" width="8.1640625" bestFit="1" customWidth="1"/>
    <col min="12042" max="12042" width="7.5" bestFit="1" customWidth="1"/>
    <col min="12043" max="12043" width="4.6640625" customWidth="1"/>
    <col min="12044" max="12044" width="19.1640625" bestFit="1" customWidth="1"/>
    <col min="12045" max="12045" width="6.33203125" bestFit="1" customWidth="1"/>
    <col min="12046" max="12046" width="8" bestFit="1" customWidth="1"/>
    <col min="12047" max="12047" width="8.1640625" bestFit="1" customWidth="1"/>
    <col min="12048" max="12048" width="4.6640625" customWidth="1"/>
    <col min="12049" max="12049" width="19.1640625" bestFit="1" customWidth="1"/>
    <col min="12050" max="12050" width="7.5" bestFit="1" customWidth="1"/>
    <col min="12051" max="12051" width="7.1640625" bestFit="1" customWidth="1"/>
    <col min="12052" max="12052" width="8.6640625" bestFit="1" customWidth="1"/>
    <col min="12053" max="12053" width="4.6640625" customWidth="1"/>
    <col min="12054" max="12054" width="19.1640625" bestFit="1" customWidth="1"/>
    <col min="12055" max="12055" width="7.5" bestFit="1" customWidth="1"/>
    <col min="12056" max="12056" width="7.1640625" bestFit="1" customWidth="1"/>
    <col min="12057" max="12057" width="7.5" bestFit="1" customWidth="1"/>
    <col min="12058" max="12058" width="4.6640625" customWidth="1"/>
    <col min="12059" max="12059" width="19.1640625" bestFit="1" customWidth="1"/>
    <col min="12060" max="12060" width="6.1640625" bestFit="1" customWidth="1"/>
    <col min="12061" max="12061" width="7" bestFit="1" customWidth="1"/>
    <col min="12062" max="12062" width="7.5" bestFit="1" customWidth="1"/>
    <col min="12063" max="12063" width="4.6640625" customWidth="1"/>
    <col min="12064" max="12064" width="22.1640625" bestFit="1" customWidth="1"/>
    <col min="12065" max="12065" width="6.5" customWidth="1"/>
    <col min="12066" max="12066" width="8.1640625" customWidth="1"/>
    <col min="12068" max="12068" width="7.83203125" customWidth="1"/>
    <col min="12069" max="12069" width="21.33203125" customWidth="1"/>
    <col min="12070" max="12070" width="7.33203125" customWidth="1"/>
    <col min="12072" max="12072" width="8.5" customWidth="1"/>
    <col min="12074" max="12074" width="20.5" customWidth="1"/>
    <col min="12076" max="12076" width="10.1640625" customWidth="1"/>
    <col min="12078" max="12078" width="20.1640625" customWidth="1"/>
    <col min="12079" max="12079" width="10.1640625" bestFit="1" customWidth="1"/>
    <col min="12081" max="12081" width="23.1640625" customWidth="1"/>
    <col min="12085" max="12085" width="19.5" customWidth="1"/>
    <col min="12086" max="12086" width="17.5" customWidth="1"/>
    <col min="12087" max="12087" width="13.33203125" customWidth="1"/>
    <col min="12090" max="12090" width="23.83203125" bestFit="1" customWidth="1"/>
    <col min="12094" max="12094" width="21.6640625" customWidth="1"/>
    <col min="12095" max="12095" width="10.1640625" bestFit="1" customWidth="1"/>
    <col min="12096" max="12096" width="8.6640625" customWidth="1"/>
    <col min="12098" max="12098" width="23.83203125" bestFit="1" customWidth="1"/>
    <col min="12102" max="12102" width="21.6640625" customWidth="1"/>
    <col min="12103" max="12103" width="10.1640625" bestFit="1" customWidth="1"/>
    <col min="12104" max="12104" width="8.6640625" customWidth="1"/>
    <col min="12106" max="12106" width="23.83203125" bestFit="1" customWidth="1"/>
    <col min="12110" max="12110" width="21.6640625" customWidth="1"/>
    <col min="12111" max="12111" width="10.1640625" bestFit="1" customWidth="1"/>
    <col min="12112" max="12112" width="8.6640625" customWidth="1"/>
    <col min="12114" max="12114" width="26.5" customWidth="1"/>
    <col min="12118" max="12118" width="21.6640625" customWidth="1"/>
    <col min="12119" max="12119" width="10.1640625" bestFit="1" customWidth="1"/>
    <col min="12120" max="12120" width="8.6640625" customWidth="1"/>
    <col min="12289" max="12289" width="4.6640625" customWidth="1"/>
    <col min="12290" max="12290" width="19.33203125" bestFit="1" customWidth="1"/>
    <col min="12291" max="12291" width="6.33203125" bestFit="1" customWidth="1"/>
    <col min="12292" max="12292" width="8.5" bestFit="1" customWidth="1"/>
    <col min="12293" max="12293" width="8.83203125" bestFit="1" customWidth="1"/>
    <col min="12294" max="12294" width="4.6640625" customWidth="1"/>
    <col min="12295" max="12295" width="19.1640625" bestFit="1" customWidth="1"/>
    <col min="12296" max="12296" width="6.33203125" bestFit="1" customWidth="1"/>
    <col min="12297" max="12297" width="8.1640625" bestFit="1" customWidth="1"/>
    <col min="12298" max="12298" width="7.5" bestFit="1" customWidth="1"/>
    <col min="12299" max="12299" width="4.6640625" customWidth="1"/>
    <col min="12300" max="12300" width="19.1640625" bestFit="1" customWidth="1"/>
    <col min="12301" max="12301" width="6.33203125" bestFit="1" customWidth="1"/>
    <col min="12302" max="12302" width="8" bestFit="1" customWidth="1"/>
    <col min="12303" max="12303" width="8.1640625" bestFit="1" customWidth="1"/>
    <col min="12304" max="12304" width="4.6640625" customWidth="1"/>
    <col min="12305" max="12305" width="19.1640625" bestFit="1" customWidth="1"/>
    <col min="12306" max="12306" width="7.5" bestFit="1" customWidth="1"/>
    <col min="12307" max="12307" width="7.1640625" bestFit="1" customWidth="1"/>
    <col min="12308" max="12308" width="8.6640625" bestFit="1" customWidth="1"/>
    <col min="12309" max="12309" width="4.6640625" customWidth="1"/>
    <col min="12310" max="12310" width="19.1640625" bestFit="1" customWidth="1"/>
    <col min="12311" max="12311" width="7.5" bestFit="1" customWidth="1"/>
    <col min="12312" max="12312" width="7.1640625" bestFit="1" customWidth="1"/>
    <col min="12313" max="12313" width="7.5" bestFit="1" customWidth="1"/>
    <col min="12314" max="12314" width="4.6640625" customWidth="1"/>
    <col min="12315" max="12315" width="19.1640625" bestFit="1" customWidth="1"/>
    <col min="12316" max="12316" width="6.1640625" bestFit="1" customWidth="1"/>
    <col min="12317" max="12317" width="7" bestFit="1" customWidth="1"/>
    <col min="12318" max="12318" width="7.5" bestFit="1" customWidth="1"/>
    <col min="12319" max="12319" width="4.6640625" customWidth="1"/>
    <col min="12320" max="12320" width="22.1640625" bestFit="1" customWidth="1"/>
    <col min="12321" max="12321" width="6.5" customWidth="1"/>
    <col min="12322" max="12322" width="8.1640625" customWidth="1"/>
    <col min="12324" max="12324" width="7.83203125" customWidth="1"/>
    <col min="12325" max="12325" width="21.33203125" customWidth="1"/>
    <col min="12326" max="12326" width="7.33203125" customWidth="1"/>
    <col min="12328" max="12328" width="8.5" customWidth="1"/>
    <col min="12330" max="12330" width="20.5" customWidth="1"/>
    <col min="12332" max="12332" width="10.1640625" customWidth="1"/>
    <col min="12334" max="12334" width="20.1640625" customWidth="1"/>
    <col min="12335" max="12335" width="10.1640625" bestFit="1" customWidth="1"/>
    <col min="12337" max="12337" width="23.1640625" customWidth="1"/>
    <col min="12341" max="12341" width="19.5" customWidth="1"/>
    <col min="12342" max="12342" width="17.5" customWidth="1"/>
    <col min="12343" max="12343" width="13.33203125" customWidth="1"/>
    <col min="12346" max="12346" width="23.83203125" bestFit="1" customWidth="1"/>
    <col min="12350" max="12350" width="21.6640625" customWidth="1"/>
    <col min="12351" max="12351" width="10.1640625" bestFit="1" customWidth="1"/>
    <col min="12352" max="12352" width="8.6640625" customWidth="1"/>
    <col min="12354" max="12354" width="23.83203125" bestFit="1" customWidth="1"/>
    <col min="12358" max="12358" width="21.6640625" customWidth="1"/>
    <col min="12359" max="12359" width="10.1640625" bestFit="1" customWidth="1"/>
    <col min="12360" max="12360" width="8.6640625" customWidth="1"/>
    <col min="12362" max="12362" width="23.83203125" bestFit="1" customWidth="1"/>
    <col min="12366" max="12366" width="21.6640625" customWidth="1"/>
    <col min="12367" max="12367" width="10.1640625" bestFit="1" customWidth="1"/>
    <col min="12368" max="12368" width="8.6640625" customWidth="1"/>
    <col min="12370" max="12370" width="26.5" customWidth="1"/>
    <col min="12374" max="12374" width="21.6640625" customWidth="1"/>
    <col min="12375" max="12375" width="10.1640625" bestFit="1" customWidth="1"/>
    <col min="12376" max="12376" width="8.6640625" customWidth="1"/>
    <col min="12545" max="12545" width="4.6640625" customWidth="1"/>
    <col min="12546" max="12546" width="19.33203125" bestFit="1" customWidth="1"/>
    <col min="12547" max="12547" width="6.33203125" bestFit="1" customWidth="1"/>
    <col min="12548" max="12548" width="8.5" bestFit="1" customWidth="1"/>
    <col min="12549" max="12549" width="8.83203125" bestFit="1" customWidth="1"/>
    <col min="12550" max="12550" width="4.6640625" customWidth="1"/>
    <col min="12551" max="12551" width="19.1640625" bestFit="1" customWidth="1"/>
    <col min="12552" max="12552" width="6.33203125" bestFit="1" customWidth="1"/>
    <col min="12553" max="12553" width="8.1640625" bestFit="1" customWidth="1"/>
    <col min="12554" max="12554" width="7.5" bestFit="1" customWidth="1"/>
    <col min="12555" max="12555" width="4.6640625" customWidth="1"/>
    <col min="12556" max="12556" width="19.1640625" bestFit="1" customWidth="1"/>
    <col min="12557" max="12557" width="6.33203125" bestFit="1" customWidth="1"/>
    <col min="12558" max="12558" width="8" bestFit="1" customWidth="1"/>
    <col min="12559" max="12559" width="8.1640625" bestFit="1" customWidth="1"/>
    <col min="12560" max="12560" width="4.6640625" customWidth="1"/>
    <col min="12561" max="12561" width="19.1640625" bestFit="1" customWidth="1"/>
    <col min="12562" max="12562" width="7.5" bestFit="1" customWidth="1"/>
    <col min="12563" max="12563" width="7.1640625" bestFit="1" customWidth="1"/>
    <col min="12564" max="12564" width="8.6640625" bestFit="1" customWidth="1"/>
    <col min="12565" max="12565" width="4.6640625" customWidth="1"/>
    <col min="12566" max="12566" width="19.1640625" bestFit="1" customWidth="1"/>
    <col min="12567" max="12567" width="7.5" bestFit="1" customWidth="1"/>
    <col min="12568" max="12568" width="7.1640625" bestFit="1" customWidth="1"/>
    <col min="12569" max="12569" width="7.5" bestFit="1" customWidth="1"/>
    <col min="12570" max="12570" width="4.6640625" customWidth="1"/>
    <col min="12571" max="12571" width="19.1640625" bestFit="1" customWidth="1"/>
    <col min="12572" max="12572" width="6.1640625" bestFit="1" customWidth="1"/>
    <col min="12573" max="12573" width="7" bestFit="1" customWidth="1"/>
    <col min="12574" max="12574" width="7.5" bestFit="1" customWidth="1"/>
    <col min="12575" max="12575" width="4.6640625" customWidth="1"/>
    <col min="12576" max="12576" width="22.1640625" bestFit="1" customWidth="1"/>
    <col min="12577" max="12577" width="6.5" customWidth="1"/>
    <col min="12578" max="12578" width="8.1640625" customWidth="1"/>
    <col min="12580" max="12580" width="7.83203125" customWidth="1"/>
    <col min="12581" max="12581" width="21.33203125" customWidth="1"/>
    <col min="12582" max="12582" width="7.33203125" customWidth="1"/>
    <col min="12584" max="12584" width="8.5" customWidth="1"/>
    <col min="12586" max="12586" width="20.5" customWidth="1"/>
    <col min="12588" max="12588" width="10.1640625" customWidth="1"/>
    <col min="12590" max="12590" width="20.1640625" customWidth="1"/>
    <col min="12591" max="12591" width="10.1640625" bestFit="1" customWidth="1"/>
    <col min="12593" max="12593" width="23.1640625" customWidth="1"/>
    <col min="12597" max="12597" width="19.5" customWidth="1"/>
    <col min="12598" max="12598" width="17.5" customWidth="1"/>
    <col min="12599" max="12599" width="13.33203125" customWidth="1"/>
    <col min="12602" max="12602" width="23.83203125" bestFit="1" customWidth="1"/>
    <col min="12606" max="12606" width="21.6640625" customWidth="1"/>
    <col min="12607" max="12607" width="10.1640625" bestFit="1" customWidth="1"/>
    <col min="12608" max="12608" width="8.6640625" customWidth="1"/>
    <col min="12610" max="12610" width="23.83203125" bestFit="1" customWidth="1"/>
    <col min="12614" max="12614" width="21.6640625" customWidth="1"/>
    <col min="12615" max="12615" width="10.1640625" bestFit="1" customWidth="1"/>
    <col min="12616" max="12616" width="8.6640625" customWidth="1"/>
    <col min="12618" max="12618" width="23.83203125" bestFit="1" customWidth="1"/>
    <col min="12622" max="12622" width="21.6640625" customWidth="1"/>
    <col min="12623" max="12623" width="10.1640625" bestFit="1" customWidth="1"/>
    <col min="12624" max="12624" width="8.6640625" customWidth="1"/>
    <col min="12626" max="12626" width="26.5" customWidth="1"/>
    <col min="12630" max="12630" width="21.6640625" customWidth="1"/>
    <col min="12631" max="12631" width="10.1640625" bestFit="1" customWidth="1"/>
    <col min="12632" max="12632" width="8.6640625" customWidth="1"/>
    <col min="12801" max="12801" width="4.6640625" customWidth="1"/>
    <col min="12802" max="12802" width="19.33203125" bestFit="1" customWidth="1"/>
    <col min="12803" max="12803" width="6.33203125" bestFit="1" customWidth="1"/>
    <col min="12804" max="12804" width="8.5" bestFit="1" customWidth="1"/>
    <col min="12805" max="12805" width="8.83203125" bestFit="1" customWidth="1"/>
    <col min="12806" max="12806" width="4.6640625" customWidth="1"/>
    <col min="12807" max="12807" width="19.1640625" bestFit="1" customWidth="1"/>
    <col min="12808" max="12808" width="6.33203125" bestFit="1" customWidth="1"/>
    <col min="12809" max="12809" width="8.1640625" bestFit="1" customWidth="1"/>
    <col min="12810" max="12810" width="7.5" bestFit="1" customWidth="1"/>
    <col min="12811" max="12811" width="4.6640625" customWidth="1"/>
    <col min="12812" max="12812" width="19.1640625" bestFit="1" customWidth="1"/>
    <col min="12813" max="12813" width="6.33203125" bestFit="1" customWidth="1"/>
    <col min="12814" max="12814" width="8" bestFit="1" customWidth="1"/>
    <col min="12815" max="12815" width="8.1640625" bestFit="1" customWidth="1"/>
    <col min="12816" max="12816" width="4.6640625" customWidth="1"/>
    <col min="12817" max="12817" width="19.1640625" bestFit="1" customWidth="1"/>
    <col min="12818" max="12818" width="7.5" bestFit="1" customWidth="1"/>
    <col min="12819" max="12819" width="7.1640625" bestFit="1" customWidth="1"/>
    <col min="12820" max="12820" width="8.6640625" bestFit="1" customWidth="1"/>
    <col min="12821" max="12821" width="4.6640625" customWidth="1"/>
    <col min="12822" max="12822" width="19.1640625" bestFit="1" customWidth="1"/>
    <col min="12823" max="12823" width="7.5" bestFit="1" customWidth="1"/>
    <col min="12824" max="12824" width="7.1640625" bestFit="1" customWidth="1"/>
    <col min="12825" max="12825" width="7.5" bestFit="1" customWidth="1"/>
    <col min="12826" max="12826" width="4.6640625" customWidth="1"/>
    <col min="12827" max="12827" width="19.1640625" bestFit="1" customWidth="1"/>
    <col min="12828" max="12828" width="6.1640625" bestFit="1" customWidth="1"/>
    <col min="12829" max="12829" width="7" bestFit="1" customWidth="1"/>
    <col min="12830" max="12830" width="7.5" bestFit="1" customWidth="1"/>
    <col min="12831" max="12831" width="4.6640625" customWidth="1"/>
    <col min="12832" max="12832" width="22.1640625" bestFit="1" customWidth="1"/>
    <col min="12833" max="12833" width="6.5" customWidth="1"/>
    <col min="12834" max="12834" width="8.1640625" customWidth="1"/>
    <col min="12836" max="12836" width="7.83203125" customWidth="1"/>
    <col min="12837" max="12837" width="21.33203125" customWidth="1"/>
    <col min="12838" max="12838" width="7.33203125" customWidth="1"/>
    <col min="12840" max="12840" width="8.5" customWidth="1"/>
    <col min="12842" max="12842" width="20.5" customWidth="1"/>
    <col min="12844" max="12844" width="10.1640625" customWidth="1"/>
    <col min="12846" max="12846" width="20.1640625" customWidth="1"/>
    <col min="12847" max="12847" width="10.1640625" bestFit="1" customWidth="1"/>
    <col min="12849" max="12849" width="23.1640625" customWidth="1"/>
    <col min="12853" max="12853" width="19.5" customWidth="1"/>
    <col min="12854" max="12854" width="17.5" customWidth="1"/>
    <col min="12855" max="12855" width="13.33203125" customWidth="1"/>
    <col min="12858" max="12858" width="23.83203125" bestFit="1" customWidth="1"/>
    <col min="12862" max="12862" width="21.6640625" customWidth="1"/>
    <col min="12863" max="12863" width="10.1640625" bestFit="1" customWidth="1"/>
    <col min="12864" max="12864" width="8.6640625" customWidth="1"/>
    <col min="12866" max="12866" width="23.83203125" bestFit="1" customWidth="1"/>
    <col min="12870" max="12870" width="21.6640625" customWidth="1"/>
    <col min="12871" max="12871" width="10.1640625" bestFit="1" customWidth="1"/>
    <col min="12872" max="12872" width="8.6640625" customWidth="1"/>
    <col min="12874" max="12874" width="23.83203125" bestFit="1" customWidth="1"/>
    <col min="12878" max="12878" width="21.6640625" customWidth="1"/>
    <col min="12879" max="12879" width="10.1640625" bestFit="1" customWidth="1"/>
    <col min="12880" max="12880" width="8.6640625" customWidth="1"/>
    <col min="12882" max="12882" width="26.5" customWidth="1"/>
    <col min="12886" max="12886" width="21.6640625" customWidth="1"/>
    <col min="12887" max="12887" width="10.1640625" bestFit="1" customWidth="1"/>
    <col min="12888" max="12888" width="8.6640625" customWidth="1"/>
    <col min="13057" max="13057" width="4.6640625" customWidth="1"/>
    <col min="13058" max="13058" width="19.33203125" bestFit="1" customWidth="1"/>
    <col min="13059" max="13059" width="6.33203125" bestFit="1" customWidth="1"/>
    <col min="13060" max="13060" width="8.5" bestFit="1" customWidth="1"/>
    <col min="13061" max="13061" width="8.83203125" bestFit="1" customWidth="1"/>
    <col min="13062" max="13062" width="4.6640625" customWidth="1"/>
    <col min="13063" max="13063" width="19.1640625" bestFit="1" customWidth="1"/>
    <col min="13064" max="13064" width="6.33203125" bestFit="1" customWidth="1"/>
    <col min="13065" max="13065" width="8.1640625" bestFit="1" customWidth="1"/>
    <col min="13066" max="13066" width="7.5" bestFit="1" customWidth="1"/>
    <col min="13067" max="13067" width="4.6640625" customWidth="1"/>
    <col min="13068" max="13068" width="19.1640625" bestFit="1" customWidth="1"/>
    <col min="13069" max="13069" width="6.33203125" bestFit="1" customWidth="1"/>
    <col min="13070" max="13070" width="8" bestFit="1" customWidth="1"/>
    <col min="13071" max="13071" width="8.1640625" bestFit="1" customWidth="1"/>
    <col min="13072" max="13072" width="4.6640625" customWidth="1"/>
    <col min="13073" max="13073" width="19.1640625" bestFit="1" customWidth="1"/>
    <col min="13074" max="13074" width="7.5" bestFit="1" customWidth="1"/>
    <col min="13075" max="13075" width="7.1640625" bestFit="1" customWidth="1"/>
    <col min="13076" max="13076" width="8.6640625" bestFit="1" customWidth="1"/>
    <col min="13077" max="13077" width="4.6640625" customWidth="1"/>
    <col min="13078" max="13078" width="19.1640625" bestFit="1" customWidth="1"/>
    <col min="13079" max="13079" width="7.5" bestFit="1" customWidth="1"/>
    <col min="13080" max="13080" width="7.1640625" bestFit="1" customWidth="1"/>
    <col min="13081" max="13081" width="7.5" bestFit="1" customWidth="1"/>
    <col min="13082" max="13082" width="4.6640625" customWidth="1"/>
    <col min="13083" max="13083" width="19.1640625" bestFit="1" customWidth="1"/>
    <col min="13084" max="13084" width="6.1640625" bestFit="1" customWidth="1"/>
    <col min="13085" max="13085" width="7" bestFit="1" customWidth="1"/>
    <col min="13086" max="13086" width="7.5" bestFit="1" customWidth="1"/>
    <col min="13087" max="13087" width="4.6640625" customWidth="1"/>
    <col min="13088" max="13088" width="22.1640625" bestFit="1" customWidth="1"/>
    <col min="13089" max="13089" width="6.5" customWidth="1"/>
    <col min="13090" max="13090" width="8.1640625" customWidth="1"/>
    <col min="13092" max="13092" width="7.83203125" customWidth="1"/>
    <col min="13093" max="13093" width="21.33203125" customWidth="1"/>
    <col min="13094" max="13094" width="7.33203125" customWidth="1"/>
    <col min="13096" max="13096" width="8.5" customWidth="1"/>
    <col min="13098" max="13098" width="20.5" customWidth="1"/>
    <col min="13100" max="13100" width="10.1640625" customWidth="1"/>
    <col min="13102" max="13102" width="20.1640625" customWidth="1"/>
    <col min="13103" max="13103" width="10.1640625" bestFit="1" customWidth="1"/>
    <col min="13105" max="13105" width="23.1640625" customWidth="1"/>
    <col min="13109" max="13109" width="19.5" customWidth="1"/>
    <col min="13110" max="13110" width="17.5" customWidth="1"/>
    <col min="13111" max="13111" width="13.33203125" customWidth="1"/>
    <col min="13114" max="13114" width="23.83203125" bestFit="1" customWidth="1"/>
    <col min="13118" max="13118" width="21.6640625" customWidth="1"/>
    <col min="13119" max="13119" width="10.1640625" bestFit="1" customWidth="1"/>
    <col min="13120" max="13120" width="8.6640625" customWidth="1"/>
    <col min="13122" max="13122" width="23.83203125" bestFit="1" customWidth="1"/>
    <col min="13126" max="13126" width="21.6640625" customWidth="1"/>
    <col min="13127" max="13127" width="10.1640625" bestFit="1" customWidth="1"/>
    <col min="13128" max="13128" width="8.6640625" customWidth="1"/>
    <col min="13130" max="13130" width="23.83203125" bestFit="1" customWidth="1"/>
    <col min="13134" max="13134" width="21.6640625" customWidth="1"/>
    <col min="13135" max="13135" width="10.1640625" bestFit="1" customWidth="1"/>
    <col min="13136" max="13136" width="8.6640625" customWidth="1"/>
    <col min="13138" max="13138" width="26.5" customWidth="1"/>
    <col min="13142" max="13142" width="21.6640625" customWidth="1"/>
    <col min="13143" max="13143" width="10.1640625" bestFit="1" customWidth="1"/>
    <col min="13144" max="13144" width="8.6640625" customWidth="1"/>
    <col min="13313" max="13313" width="4.6640625" customWidth="1"/>
    <col min="13314" max="13314" width="19.33203125" bestFit="1" customWidth="1"/>
    <col min="13315" max="13315" width="6.33203125" bestFit="1" customWidth="1"/>
    <col min="13316" max="13316" width="8.5" bestFit="1" customWidth="1"/>
    <col min="13317" max="13317" width="8.83203125" bestFit="1" customWidth="1"/>
    <col min="13318" max="13318" width="4.6640625" customWidth="1"/>
    <col min="13319" max="13319" width="19.1640625" bestFit="1" customWidth="1"/>
    <col min="13320" max="13320" width="6.33203125" bestFit="1" customWidth="1"/>
    <col min="13321" max="13321" width="8.1640625" bestFit="1" customWidth="1"/>
    <col min="13322" max="13322" width="7.5" bestFit="1" customWidth="1"/>
    <col min="13323" max="13323" width="4.6640625" customWidth="1"/>
    <col min="13324" max="13324" width="19.1640625" bestFit="1" customWidth="1"/>
    <col min="13325" max="13325" width="6.33203125" bestFit="1" customWidth="1"/>
    <col min="13326" max="13326" width="8" bestFit="1" customWidth="1"/>
    <col min="13327" max="13327" width="8.1640625" bestFit="1" customWidth="1"/>
    <col min="13328" max="13328" width="4.6640625" customWidth="1"/>
    <col min="13329" max="13329" width="19.1640625" bestFit="1" customWidth="1"/>
    <col min="13330" max="13330" width="7.5" bestFit="1" customWidth="1"/>
    <col min="13331" max="13331" width="7.1640625" bestFit="1" customWidth="1"/>
    <col min="13332" max="13332" width="8.6640625" bestFit="1" customWidth="1"/>
    <col min="13333" max="13333" width="4.6640625" customWidth="1"/>
    <col min="13334" max="13334" width="19.1640625" bestFit="1" customWidth="1"/>
    <col min="13335" max="13335" width="7.5" bestFit="1" customWidth="1"/>
    <col min="13336" max="13336" width="7.1640625" bestFit="1" customWidth="1"/>
    <col min="13337" max="13337" width="7.5" bestFit="1" customWidth="1"/>
    <col min="13338" max="13338" width="4.6640625" customWidth="1"/>
    <col min="13339" max="13339" width="19.1640625" bestFit="1" customWidth="1"/>
    <col min="13340" max="13340" width="6.1640625" bestFit="1" customWidth="1"/>
    <col min="13341" max="13341" width="7" bestFit="1" customWidth="1"/>
    <col min="13342" max="13342" width="7.5" bestFit="1" customWidth="1"/>
    <col min="13343" max="13343" width="4.6640625" customWidth="1"/>
    <col min="13344" max="13344" width="22.1640625" bestFit="1" customWidth="1"/>
    <col min="13345" max="13345" width="6.5" customWidth="1"/>
    <col min="13346" max="13346" width="8.1640625" customWidth="1"/>
    <col min="13348" max="13348" width="7.83203125" customWidth="1"/>
    <col min="13349" max="13349" width="21.33203125" customWidth="1"/>
    <col min="13350" max="13350" width="7.33203125" customWidth="1"/>
    <col min="13352" max="13352" width="8.5" customWidth="1"/>
    <col min="13354" max="13354" width="20.5" customWidth="1"/>
    <col min="13356" max="13356" width="10.1640625" customWidth="1"/>
    <col min="13358" max="13358" width="20.1640625" customWidth="1"/>
    <col min="13359" max="13359" width="10.1640625" bestFit="1" customWidth="1"/>
    <col min="13361" max="13361" width="23.1640625" customWidth="1"/>
    <col min="13365" max="13365" width="19.5" customWidth="1"/>
    <col min="13366" max="13366" width="17.5" customWidth="1"/>
    <col min="13367" max="13367" width="13.33203125" customWidth="1"/>
    <col min="13370" max="13370" width="23.83203125" bestFit="1" customWidth="1"/>
    <col min="13374" max="13374" width="21.6640625" customWidth="1"/>
    <col min="13375" max="13375" width="10.1640625" bestFit="1" customWidth="1"/>
    <col min="13376" max="13376" width="8.6640625" customWidth="1"/>
    <col min="13378" max="13378" width="23.83203125" bestFit="1" customWidth="1"/>
    <col min="13382" max="13382" width="21.6640625" customWidth="1"/>
    <col min="13383" max="13383" width="10.1640625" bestFit="1" customWidth="1"/>
    <col min="13384" max="13384" width="8.6640625" customWidth="1"/>
    <col min="13386" max="13386" width="23.83203125" bestFit="1" customWidth="1"/>
    <col min="13390" max="13390" width="21.6640625" customWidth="1"/>
    <col min="13391" max="13391" width="10.1640625" bestFit="1" customWidth="1"/>
    <col min="13392" max="13392" width="8.6640625" customWidth="1"/>
    <col min="13394" max="13394" width="26.5" customWidth="1"/>
    <col min="13398" max="13398" width="21.6640625" customWidth="1"/>
    <col min="13399" max="13399" width="10.1640625" bestFit="1" customWidth="1"/>
    <col min="13400" max="13400" width="8.6640625" customWidth="1"/>
    <col min="13569" max="13569" width="4.6640625" customWidth="1"/>
    <col min="13570" max="13570" width="19.33203125" bestFit="1" customWidth="1"/>
    <col min="13571" max="13571" width="6.33203125" bestFit="1" customWidth="1"/>
    <col min="13572" max="13572" width="8.5" bestFit="1" customWidth="1"/>
    <col min="13573" max="13573" width="8.83203125" bestFit="1" customWidth="1"/>
    <col min="13574" max="13574" width="4.6640625" customWidth="1"/>
    <col min="13575" max="13575" width="19.1640625" bestFit="1" customWidth="1"/>
    <col min="13576" max="13576" width="6.33203125" bestFit="1" customWidth="1"/>
    <col min="13577" max="13577" width="8.1640625" bestFit="1" customWidth="1"/>
    <col min="13578" max="13578" width="7.5" bestFit="1" customWidth="1"/>
    <col min="13579" max="13579" width="4.6640625" customWidth="1"/>
    <col min="13580" max="13580" width="19.1640625" bestFit="1" customWidth="1"/>
    <col min="13581" max="13581" width="6.33203125" bestFit="1" customWidth="1"/>
    <col min="13582" max="13582" width="8" bestFit="1" customWidth="1"/>
    <col min="13583" max="13583" width="8.1640625" bestFit="1" customWidth="1"/>
    <col min="13584" max="13584" width="4.6640625" customWidth="1"/>
    <col min="13585" max="13585" width="19.1640625" bestFit="1" customWidth="1"/>
    <col min="13586" max="13586" width="7.5" bestFit="1" customWidth="1"/>
    <col min="13587" max="13587" width="7.1640625" bestFit="1" customWidth="1"/>
    <col min="13588" max="13588" width="8.6640625" bestFit="1" customWidth="1"/>
    <col min="13589" max="13589" width="4.6640625" customWidth="1"/>
    <col min="13590" max="13590" width="19.1640625" bestFit="1" customWidth="1"/>
    <col min="13591" max="13591" width="7.5" bestFit="1" customWidth="1"/>
    <col min="13592" max="13592" width="7.1640625" bestFit="1" customWidth="1"/>
    <col min="13593" max="13593" width="7.5" bestFit="1" customWidth="1"/>
    <col min="13594" max="13594" width="4.6640625" customWidth="1"/>
    <col min="13595" max="13595" width="19.1640625" bestFit="1" customWidth="1"/>
    <col min="13596" max="13596" width="6.1640625" bestFit="1" customWidth="1"/>
    <col min="13597" max="13597" width="7" bestFit="1" customWidth="1"/>
    <col min="13598" max="13598" width="7.5" bestFit="1" customWidth="1"/>
    <col min="13599" max="13599" width="4.6640625" customWidth="1"/>
    <col min="13600" max="13600" width="22.1640625" bestFit="1" customWidth="1"/>
    <col min="13601" max="13601" width="6.5" customWidth="1"/>
    <col min="13602" max="13602" width="8.1640625" customWidth="1"/>
    <col min="13604" max="13604" width="7.83203125" customWidth="1"/>
    <col min="13605" max="13605" width="21.33203125" customWidth="1"/>
    <col min="13606" max="13606" width="7.33203125" customWidth="1"/>
    <col min="13608" max="13608" width="8.5" customWidth="1"/>
    <col min="13610" max="13610" width="20.5" customWidth="1"/>
    <col min="13612" max="13612" width="10.1640625" customWidth="1"/>
    <col min="13614" max="13614" width="20.1640625" customWidth="1"/>
    <col min="13615" max="13615" width="10.1640625" bestFit="1" customWidth="1"/>
    <col min="13617" max="13617" width="23.1640625" customWidth="1"/>
    <col min="13621" max="13621" width="19.5" customWidth="1"/>
    <col min="13622" max="13622" width="17.5" customWidth="1"/>
    <col min="13623" max="13623" width="13.33203125" customWidth="1"/>
    <col min="13626" max="13626" width="23.83203125" bestFit="1" customWidth="1"/>
    <col min="13630" max="13630" width="21.6640625" customWidth="1"/>
    <col min="13631" max="13631" width="10.1640625" bestFit="1" customWidth="1"/>
    <col min="13632" max="13632" width="8.6640625" customWidth="1"/>
    <col min="13634" max="13634" width="23.83203125" bestFit="1" customWidth="1"/>
    <col min="13638" max="13638" width="21.6640625" customWidth="1"/>
    <col min="13639" max="13639" width="10.1640625" bestFit="1" customWidth="1"/>
    <col min="13640" max="13640" width="8.6640625" customWidth="1"/>
    <col min="13642" max="13642" width="23.83203125" bestFit="1" customWidth="1"/>
    <col min="13646" max="13646" width="21.6640625" customWidth="1"/>
    <col min="13647" max="13647" width="10.1640625" bestFit="1" customWidth="1"/>
    <col min="13648" max="13648" width="8.6640625" customWidth="1"/>
    <col min="13650" max="13650" width="26.5" customWidth="1"/>
    <col min="13654" max="13654" width="21.6640625" customWidth="1"/>
    <col min="13655" max="13655" width="10.1640625" bestFit="1" customWidth="1"/>
    <col min="13656" max="13656" width="8.6640625" customWidth="1"/>
    <col min="13825" max="13825" width="4.6640625" customWidth="1"/>
    <col min="13826" max="13826" width="19.33203125" bestFit="1" customWidth="1"/>
    <col min="13827" max="13827" width="6.33203125" bestFit="1" customWidth="1"/>
    <col min="13828" max="13828" width="8.5" bestFit="1" customWidth="1"/>
    <col min="13829" max="13829" width="8.83203125" bestFit="1" customWidth="1"/>
    <col min="13830" max="13830" width="4.6640625" customWidth="1"/>
    <col min="13831" max="13831" width="19.1640625" bestFit="1" customWidth="1"/>
    <col min="13832" max="13832" width="6.33203125" bestFit="1" customWidth="1"/>
    <col min="13833" max="13833" width="8.1640625" bestFit="1" customWidth="1"/>
    <col min="13834" max="13834" width="7.5" bestFit="1" customWidth="1"/>
    <col min="13835" max="13835" width="4.6640625" customWidth="1"/>
    <col min="13836" max="13836" width="19.1640625" bestFit="1" customWidth="1"/>
    <col min="13837" max="13837" width="6.33203125" bestFit="1" customWidth="1"/>
    <col min="13838" max="13838" width="8" bestFit="1" customWidth="1"/>
    <col min="13839" max="13839" width="8.1640625" bestFit="1" customWidth="1"/>
    <col min="13840" max="13840" width="4.6640625" customWidth="1"/>
    <col min="13841" max="13841" width="19.1640625" bestFit="1" customWidth="1"/>
    <col min="13842" max="13842" width="7.5" bestFit="1" customWidth="1"/>
    <col min="13843" max="13843" width="7.1640625" bestFit="1" customWidth="1"/>
    <col min="13844" max="13844" width="8.6640625" bestFit="1" customWidth="1"/>
    <col min="13845" max="13845" width="4.6640625" customWidth="1"/>
    <col min="13846" max="13846" width="19.1640625" bestFit="1" customWidth="1"/>
    <col min="13847" max="13847" width="7.5" bestFit="1" customWidth="1"/>
    <col min="13848" max="13848" width="7.1640625" bestFit="1" customWidth="1"/>
    <col min="13849" max="13849" width="7.5" bestFit="1" customWidth="1"/>
    <col min="13850" max="13850" width="4.6640625" customWidth="1"/>
    <col min="13851" max="13851" width="19.1640625" bestFit="1" customWidth="1"/>
    <col min="13852" max="13852" width="6.1640625" bestFit="1" customWidth="1"/>
    <col min="13853" max="13853" width="7" bestFit="1" customWidth="1"/>
    <col min="13854" max="13854" width="7.5" bestFit="1" customWidth="1"/>
    <col min="13855" max="13855" width="4.6640625" customWidth="1"/>
    <col min="13856" max="13856" width="22.1640625" bestFit="1" customWidth="1"/>
    <col min="13857" max="13857" width="6.5" customWidth="1"/>
    <col min="13858" max="13858" width="8.1640625" customWidth="1"/>
    <col min="13860" max="13860" width="7.83203125" customWidth="1"/>
    <col min="13861" max="13861" width="21.33203125" customWidth="1"/>
    <col min="13862" max="13862" width="7.33203125" customWidth="1"/>
    <col min="13864" max="13864" width="8.5" customWidth="1"/>
    <col min="13866" max="13866" width="20.5" customWidth="1"/>
    <col min="13868" max="13868" width="10.1640625" customWidth="1"/>
    <col min="13870" max="13870" width="20.1640625" customWidth="1"/>
    <col min="13871" max="13871" width="10.1640625" bestFit="1" customWidth="1"/>
    <col min="13873" max="13873" width="23.1640625" customWidth="1"/>
    <col min="13877" max="13877" width="19.5" customWidth="1"/>
    <col min="13878" max="13878" width="17.5" customWidth="1"/>
    <col min="13879" max="13879" width="13.33203125" customWidth="1"/>
    <col min="13882" max="13882" width="23.83203125" bestFit="1" customWidth="1"/>
    <col min="13886" max="13886" width="21.6640625" customWidth="1"/>
    <col min="13887" max="13887" width="10.1640625" bestFit="1" customWidth="1"/>
    <col min="13888" max="13888" width="8.6640625" customWidth="1"/>
    <col min="13890" max="13890" width="23.83203125" bestFit="1" customWidth="1"/>
    <col min="13894" max="13894" width="21.6640625" customWidth="1"/>
    <col min="13895" max="13895" width="10.1640625" bestFit="1" customWidth="1"/>
    <col min="13896" max="13896" width="8.6640625" customWidth="1"/>
    <col min="13898" max="13898" width="23.83203125" bestFit="1" customWidth="1"/>
    <col min="13902" max="13902" width="21.6640625" customWidth="1"/>
    <col min="13903" max="13903" width="10.1640625" bestFit="1" customWidth="1"/>
    <col min="13904" max="13904" width="8.6640625" customWidth="1"/>
    <col min="13906" max="13906" width="26.5" customWidth="1"/>
    <col min="13910" max="13910" width="21.6640625" customWidth="1"/>
    <col min="13911" max="13911" width="10.1640625" bestFit="1" customWidth="1"/>
    <col min="13912" max="13912" width="8.6640625" customWidth="1"/>
    <col min="14081" max="14081" width="4.6640625" customWidth="1"/>
    <col min="14082" max="14082" width="19.33203125" bestFit="1" customWidth="1"/>
    <col min="14083" max="14083" width="6.33203125" bestFit="1" customWidth="1"/>
    <col min="14084" max="14084" width="8.5" bestFit="1" customWidth="1"/>
    <col min="14085" max="14085" width="8.83203125" bestFit="1" customWidth="1"/>
    <col min="14086" max="14086" width="4.6640625" customWidth="1"/>
    <col min="14087" max="14087" width="19.1640625" bestFit="1" customWidth="1"/>
    <col min="14088" max="14088" width="6.33203125" bestFit="1" customWidth="1"/>
    <col min="14089" max="14089" width="8.1640625" bestFit="1" customWidth="1"/>
    <col min="14090" max="14090" width="7.5" bestFit="1" customWidth="1"/>
    <col min="14091" max="14091" width="4.6640625" customWidth="1"/>
    <col min="14092" max="14092" width="19.1640625" bestFit="1" customWidth="1"/>
    <col min="14093" max="14093" width="6.33203125" bestFit="1" customWidth="1"/>
    <col min="14094" max="14094" width="8" bestFit="1" customWidth="1"/>
    <col min="14095" max="14095" width="8.1640625" bestFit="1" customWidth="1"/>
    <col min="14096" max="14096" width="4.6640625" customWidth="1"/>
    <col min="14097" max="14097" width="19.1640625" bestFit="1" customWidth="1"/>
    <col min="14098" max="14098" width="7.5" bestFit="1" customWidth="1"/>
    <col min="14099" max="14099" width="7.1640625" bestFit="1" customWidth="1"/>
    <col min="14100" max="14100" width="8.6640625" bestFit="1" customWidth="1"/>
    <col min="14101" max="14101" width="4.6640625" customWidth="1"/>
    <col min="14102" max="14102" width="19.1640625" bestFit="1" customWidth="1"/>
    <col min="14103" max="14103" width="7.5" bestFit="1" customWidth="1"/>
    <col min="14104" max="14104" width="7.1640625" bestFit="1" customWidth="1"/>
    <col min="14105" max="14105" width="7.5" bestFit="1" customWidth="1"/>
    <col min="14106" max="14106" width="4.6640625" customWidth="1"/>
    <col min="14107" max="14107" width="19.1640625" bestFit="1" customWidth="1"/>
    <col min="14108" max="14108" width="6.1640625" bestFit="1" customWidth="1"/>
    <col min="14109" max="14109" width="7" bestFit="1" customWidth="1"/>
    <col min="14110" max="14110" width="7.5" bestFit="1" customWidth="1"/>
    <col min="14111" max="14111" width="4.6640625" customWidth="1"/>
    <col min="14112" max="14112" width="22.1640625" bestFit="1" customWidth="1"/>
    <col min="14113" max="14113" width="6.5" customWidth="1"/>
    <col min="14114" max="14114" width="8.1640625" customWidth="1"/>
    <col min="14116" max="14116" width="7.83203125" customWidth="1"/>
    <col min="14117" max="14117" width="21.33203125" customWidth="1"/>
    <col min="14118" max="14118" width="7.33203125" customWidth="1"/>
    <col min="14120" max="14120" width="8.5" customWidth="1"/>
    <col min="14122" max="14122" width="20.5" customWidth="1"/>
    <col min="14124" max="14124" width="10.1640625" customWidth="1"/>
    <col min="14126" max="14126" width="20.1640625" customWidth="1"/>
    <col min="14127" max="14127" width="10.1640625" bestFit="1" customWidth="1"/>
    <col min="14129" max="14129" width="23.1640625" customWidth="1"/>
    <col min="14133" max="14133" width="19.5" customWidth="1"/>
    <col min="14134" max="14134" width="17.5" customWidth="1"/>
    <col min="14135" max="14135" width="13.33203125" customWidth="1"/>
    <col min="14138" max="14138" width="23.83203125" bestFit="1" customWidth="1"/>
    <col min="14142" max="14142" width="21.6640625" customWidth="1"/>
    <col min="14143" max="14143" width="10.1640625" bestFit="1" customWidth="1"/>
    <col min="14144" max="14144" width="8.6640625" customWidth="1"/>
    <col min="14146" max="14146" width="23.83203125" bestFit="1" customWidth="1"/>
    <col min="14150" max="14150" width="21.6640625" customWidth="1"/>
    <col min="14151" max="14151" width="10.1640625" bestFit="1" customWidth="1"/>
    <col min="14152" max="14152" width="8.6640625" customWidth="1"/>
    <col min="14154" max="14154" width="23.83203125" bestFit="1" customWidth="1"/>
    <col min="14158" max="14158" width="21.6640625" customWidth="1"/>
    <col min="14159" max="14159" width="10.1640625" bestFit="1" customWidth="1"/>
    <col min="14160" max="14160" width="8.6640625" customWidth="1"/>
    <col min="14162" max="14162" width="26.5" customWidth="1"/>
    <col min="14166" max="14166" width="21.6640625" customWidth="1"/>
    <col min="14167" max="14167" width="10.1640625" bestFit="1" customWidth="1"/>
    <col min="14168" max="14168" width="8.6640625" customWidth="1"/>
    <col min="14337" max="14337" width="4.6640625" customWidth="1"/>
    <col min="14338" max="14338" width="19.33203125" bestFit="1" customWidth="1"/>
    <col min="14339" max="14339" width="6.33203125" bestFit="1" customWidth="1"/>
    <col min="14340" max="14340" width="8.5" bestFit="1" customWidth="1"/>
    <col min="14341" max="14341" width="8.83203125" bestFit="1" customWidth="1"/>
    <col min="14342" max="14342" width="4.6640625" customWidth="1"/>
    <col min="14343" max="14343" width="19.1640625" bestFit="1" customWidth="1"/>
    <col min="14344" max="14344" width="6.33203125" bestFit="1" customWidth="1"/>
    <col min="14345" max="14345" width="8.1640625" bestFit="1" customWidth="1"/>
    <col min="14346" max="14346" width="7.5" bestFit="1" customWidth="1"/>
    <col min="14347" max="14347" width="4.6640625" customWidth="1"/>
    <col min="14348" max="14348" width="19.1640625" bestFit="1" customWidth="1"/>
    <col min="14349" max="14349" width="6.33203125" bestFit="1" customWidth="1"/>
    <col min="14350" max="14350" width="8" bestFit="1" customWidth="1"/>
    <col min="14351" max="14351" width="8.1640625" bestFit="1" customWidth="1"/>
    <col min="14352" max="14352" width="4.6640625" customWidth="1"/>
    <col min="14353" max="14353" width="19.1640625" bestFit="1" customWidth="1"/>
    <col min="14354" max="14354" width="7.5" bestFit="1" customWidth="1"/>
    <col min="14355" max="14355" width="7.1640625" bestFit="1" customWidth="1"/>
    <col min="14356" max="14356" width="8.6640625" bestFit="1" customWidth="1"/>
    <col min="14357" max="14357" width="4.6640625" customWidth="1"/>
    <col min="14358" max="14358" width="19.1640625" bestFit="1" customWidth="1"/>
    <col min="14359" max="14359" width="7.5" bestFit="1" customWidth="1"/>
    <col min="14360" max="14360" width="7.1640625" bestFit="1" customWidth="1"/>
    <col min="14361" max="14361" width="7.5" bestFit="1" customWidth="1"/>
    <col min="14362" max="14362" width="4.6640625" customWidth="1"/>
    <col min="14363" max="14363" width="19.1640625" bestFit="1" customWidth="1"/>
    <col min="14364" max="14364" width="6.1640625" bestFit="1" customWidth="1"/>
    <col min="14365" max="14365" width="7" bestFit="1" customWidth="1"/>
    <col min="14366" max="14366" width="7.5" bestFit="1" customWidth="1"/>
    <col min="14367" max="14367" width="4.6640625" customWidth="1"/>
    <col min="14368" max="14368" width="22.1640625" bestFit="1" customWidth="1"/>
    <col min="14369" max="14369" width="6.5" customWidth="1"/>
    <col min="14370" max="14370" width="8.1640625" customWidth="1"/>
    <col min="14372" max="14372" width="7.83203125" customWidth="1"/>
    <col min="14373" max="14373" width="21.33203125" customWidth="1"/>
    <col min="14374" max="14374" width="7.33203125" customWidth="1"/>
    <col min="14376" max="14376" width="8.5" customWidth="1"/>
    <col min="14378" max="14378" width="20.5" customWidth="1"/>
    <col min="14380" max="14380" width="10.1640625" customWidth="1"/>
    <col min="14382" max="14382" width="20.1640625" customWidth="1"/>
    <col min="14383" max="14383" width="10.1640625" bestFit="1" customWidth="1"/>
    <col min="14385" max="14385" width="23.1640625" customWidth="1"/>
    <col min="14389" max="14389" width="19.5" customWidth="1"/>
    <col min="14390" max="14390" width="17.5" customWidth="1"/>
    <col min="14391" max="14391" width="13.33203125" customWidth="1"/>
    <col min="14394" max="14394" width="23.83203125" bestFit="1" customWidth="1"/>
    <col min="14398" max="14398" width="21.6640625" customWidth="1"/>
    <col min="14399" max="14399" width="10.1640625" bestFit="1" customWidth="1"/>
    <col min="14400" max="14400" width="8.6640625" customWidth="1"/>
    <col min="14402" max="14402" width="23.83203125" bestFit="1" customWidth="1"/>
    <col min="14406" max="14406" width="21.6640625" customWidth="1"/>
    <col min="14407" max="14407" width="10.1640625" bestFit="1" customWidth="1"/>
    <col min="14408" max="14408" width="8.6640625" customWidth="1"/>
    <col min="14410" max="14410" width="23.83203125" bestFit="1" customWidth="1"/>
    <col min="14414" max="14414" width="21.6640625" customWidth="1"/>
    <col min="14415" max="14415" width="10.1640625" bestFit="1" customWidth="1"/>
    <col min="14416" max="14416" width="8.6640625" customWidth="1"/>
    <col min="14418" max="14418" width="26.5" customWidth="1"/>
    <col min="14422" max="14422" width="21.6640625" customWidth="1"/>
    <col min="14423" max="14423" width="10.1640625" bestFit="1" customWidth="1"/>
    <col min="14424" max="14424" width="8.6640625" customWidth="1"/>
    <col min="14593" max="14593" width="4.6640625" customWidth="1"/>
    <col min="14594" max="14594" width="19.33203125" bestFit="1" customWidth="1"/>
    <col min="14595" max="14595" width="6.33203125" bestFit="1" customWidth="1"/>
    <col min="14596" max="14596" width="8.5" bestFit="1" customWidth="1"/>
    <col min="14597" max="14597" width="8.83203125" bestFit="1" customWidth="1"/>
    <col min="14598" max="14598" width="4.6640625" customWidth="1"/>
    <col min="14599" max="14599" width="19.1640625" bestFit="1" customWidth="1"/>
    <col min="14600" max="14600" width="6.33203125" bestFit="1" customWidth="1"/>
    <col min="14601" max="14601" width="8.1640625" bestFit="1" customWidth="1"/>
    <col min="14602" max="14602" width="7.5" bestFit="1" customWidth="1"/>
    <col min="14603" max="14603" width="4.6640625" customWidth="1"/>
    <col min="14604" max="14604" width="19.1640625" bestFit="1" customWidth="1"/>
    <col min="14605" max="14605" width="6.33203125" bestFit="1" customWidth="1"/>
    <col min="14606" max="14606" width="8" bestFit="1" customWidth="1"/>
    <col min="14607" max="14607" width="8.1640625" bestFit="1" customWidth="1"/>
    <col min="14608" max="14608" width="4.6640625" customWidth="1"/>
    <col min="14609" max="14609" width="19.1640625" bestFit="1" customWidth="1"/>
    <col min="14610" max="14610" width="7.5" bestFit="1" customWidth="1"/>
    <col min="14611" max="14611" width="7.1640625" bestFit="1" customWidth="1"/>
    <col min="14612" max="14612" width="8.6640625" bestFit="1" customWidth="1"/>
    <col min="14613" max="14613" width="4.6640625" customWidth="1"/>
    <col min="14614" max="14614" width="19.1640625" bestFit="1" customWidth="1"/>
    <col min="14615" max="14615" width="7.5" bestFit="1" customWidth="1"/>
    <col min="14616" max="14616" width="7.1640625" bestFit="1" customWidth="1"/>
    <col min="14617" max="14617" width="7.5" bestFit="1" customWidth="1"/>
    <col min="14618" max="14618" width="4.6640625" customWidth="1"/>
    <col min="14619" max="14619" width="19.1640625" bestFit="1" customWidth="1"/>
    <col min="14620" max="14620" width="6.1640625" bestFit="1" customWidth="1"/>
    <col min="14621" max="14621" width="7" bestFit="1" customWidth="1"/>
    <col min="14622" max="14622" width="7.5" bestFit="1" customWidth="1"/>
    <col min="14623" max="14623" width="4.6640625" customWidth="1"/>
    <col min="14624" max="14624" width="22.1640625" bestFit="1" customWidth="1"/>
    <col min="14625" max="14625" width="6.5" customWidth="1"/>
    <col min="14626" max="14626" width="8.1640625" customWidth="1"/>
    <col min="14628" max="14628" width="7.83203125" customWidth="1"/>
    <col min="14629" max="14629" width="21.33203125" customWidth="1"/>
    <col min="14630" max="14630" width="7.33203125" customWidth="1"/>
    <col min="14632" max="14632" width="8.5" customWidth="1"/>
    <col min="14634" max="14634" width="20.5" customWidth="1"/>
    <col min="14636" max="14636" width="10.1640625" customWidth="1"/>
    <col min="14638" max="14638" width="20.1640625" customWidth="1"/>
    <col min="14639" max="14639" width="10.1640625" bestFit="1" customWidth="1"/>
    <col min="14641" max="14641" width="23.1640625" customWidth="1"/>
    <col min="14645" max="14645" width="19.5" customWidth="1"/>
    <col min="14646" max="14646" width="17.5" customWidth="1"/>
    <col min="14647" max="14647" width="13.33203125" customWidth="1"/>
    <col min="14650" max="14650" width="23.83203125" bestFit="1" customWidth="1"/>
    <col min="14654" max="14654" width="21.6640625" customWidth="1"/>
    <col min="14655" max="14655" width="10.1640625" bestFit="1" customWidth="1"/>
    <col min="14656" max="14656" width="8.6640625" customWidth="1"/>
    <col min="14658" max="14658" width="23.83203125" bestFit="1" customWidth="1"/>
    <col min="14662" max="14662" width="21.6640625" customWidth="1"/>
    <col min="14663" max="14663" width="10.1640625" bestFit="1" customWidth="1"/>
    <col min="14664" max="14664" width="8.6640625" customWidth="1"/>
    <col min="14666" max="14666" width="23.83203125" bestFit="1" customWidth="1"/>
    <col min="14670" max="14670" width="21.6640625" customWidth="1"/>
    <col min="14671" max="14671" width="10.1640625" bestFit="1" customWidth="1"/>
    <col min="14672" max="14672" width="8.6640625" customWidth="1"/>
    <col min="14674" max="14674" width="26.5" customWidth="1"/>
    <col min="14678" max="14678" width="21.6640625" customWidth="1"/>
    <col min="14679" max="14679" width="10.1640625" bestFit="1" customWidth="1"/>
    <col min="14680" max="14680" width="8.6640625" customWidth="1"/>
    <col min="14849" max="14849" width="4.6640625" customWidth="1"/>
    <col min="14850" max="14850" width="19.33203125" bestFit="1" customWidth="1"/>
    <col min="14851" max="14851" width="6.33203125" bestFit="1" customWidth="1"/>
    <col min="14852" max="14852" width="8.5" bestFit="1" customWidth="1"/>
    <col min="14853" max="14853" width="8.83203125" bestFit="1" customWidth="1"/>
    <col min="14854" max="14854" width="4.6640625" customWidth="1"/>
    <col min="14855" max="14855" width="19.1640625" bestFit="1" customWidth="1"/>
    <col min="14856" max="14856" width="6.33203125" bestFit="1" customWidth="1"/>
    <col min="14857" max="14857" width="8.1640625" bestFit="1" customWidth="1"/>
    <col min="14858" max="14858" width="7.5" bestFit="1" customWidth="1"/>
    <col min="14859" max="14859" width="4.6640625" customWidth="1"/>
    <col min="14860" max="14860" width="19.1640625" bestFit="1" customWidth="1"/>
    <col min="14861" max="14861" width="6.33203125" bestFit="1" customWidth="1"/>
    <col min="14862" max="14862" width="8" bestFit="1" customWidth="1"/>
    <col min="14863" max="14863" width="8.1640625" bestFit="1" customWidth="1"/>
    <col min="14864" max="14864" width="4.6640625" customWidth="1"/>
    <col min="14865" max="14865" width="19.1640625" bestFit="1" customWidth="1"/>
    <col min="14866" max="14866" width="7.5" bestFit="1" customWidth="1"/>
    <col min="14867" max="14867" width="7.1640625" bestFit="1" customWidth="1"/>
    <col min="14868" max="14868" width="8.6640625" bestFit="1" customWidth="1"/>
    <col min="14869" max="14869" width="4.6640625" customWidth="1"/>
    <col min="14870" max="14870" width="19.1640625" bestFit="1" customWidth="1"/>
    <col min="14871" max="14871" width="7.5" bestFit="1" customWidth="1"/>
    <col min="14872" max="14872" width="7.1640625" bestFit="1" customWidth="1"/>
    <col min="14873" max="14873" width="7.5" bestFit="1" customWidth="1"/>
    <col min="14874" max="14874" width="4.6640625" customWidth="1"/>
    <col min="14875" max="14875" width="19.1640625" bestFit="1" customWidth="1"/>
    <col min="14876" max="14876" width="6.1640625" bestFit="1" customWidth="1"/>
    <col min="14877" max="14877" width="7" bestFit="1" customWidth="1"/>
    <col min="14878" max="14878" width="7.5" bestFit="1" customWidth="1"/>
    <col min="14879" max="14879" width="4.6640625" customWidth="1"/>
    <col min="14880" max="14880" width="22.1640625" bestFit="1" customWidth="1"/>
    <col min="14881" max="14881" width="6.5" customWidth="1"/>
    <col min="14882" max="14882" width="8.1640625" customWidth="1"/>
    <col min="14884" max="14884" width="7.83203125" customWidth="1"/>
    <col min="14885" max="14885" width="21.33203125" customWidth="1"/>
    <col min="14886" max="14886" width="7.33203125" customWidth="1"/>
    <col min="14888" max="14888" width="8.5" customWidth="1"/>
    <col min="14890" max="14890" width="20.5" customWidth="1"/>
    <col min="14892" max="14892" width="10.1640625" customWidth="1"/>
    <col min="14894" max="14894" width="20.1640625" customWidth="1"/>
    <col min="14895" max="14895" width="10.1640625" bestFit="1" customWidth="1"/>
    <col min="14897" max="14897" width="23.1640625" customWidth="1"/>
    <col min="14901" max="14901" width="19.5" customWidth="1"/>
    <col min="14902" max="14902" width="17.5" customWidth="1"/>
    <col min="14903" max="14903" width="13.33203125" customWidth="1"/>
    <col min="14906" max="14906" width="23.83203125" bestFit="1" customWidth="1"/>
    <col min="14910" max="14910" width="21.6640625" customWidth="1"/>
    <col min="14911" max="14911" width="10.1640625" bestFit="1" customWidth="1"/>
    <col min="14912" max="14912" width="8.6640625" customWidth="1"/>
    <col min="14914" max="14914" width="23.83203125" bestFit="1" customWidth="1"/>
    <col min="14918" max="14918" width="21.6640625" customWidth="1"/>
    <col min="14919" max="14919" width="10.1640625" bestFit="1" customWidth="1"/>
    <col min="14920" max="14920" width="8.6640625" customWidth="1"/>
    <col min="14922" max="14922" width="23.83203125" bestFit="1" customWidth="1"/>
    <col min="14926" max="14926" width="21.6640625" customWidth="1"/>
    <col min="14927" max="14927" width="10.1640625" bestFit="1" customWidth="1"/>
    <col min="14928" max="14928" width="8.6640625" customWidth="1"/>
    <col min="14930" max="14930" width="26.5" customWidth="1"/>
    <col min="14934" max="14934" width="21.6640625" customWidth="1"/>
    <col min="14935" max="14935" width="10.1640625" bestFit="1" customWidth="1"/>
    <col min="14936" max="14936" width="8.6640625" customWidth="1"/>
    <col min="15105" max="15105" width="4.6640625" customWidth="1"/>
    <col min="15106" max="15106" width="19.33203125" bestFit="1" customWidth="1"/>
    <col min="15107" max="15107" width="6.33203125" bestFit="1" customWidth="1"/>
    <col min="15108" max="15108" width="8.5" bestFit="1" customWidth="1"/>
    <col min="15109" max="15109" width="8.83203125" bestFit="1" customWidth="1"/>
    <col min="15110" max="15110" width="4.6640625" customWidth="1"/>
    <col min="15111" max="15111" width="19.1640625" bestFit="1" customWidth="1"/>
    <col min="15112" max="15112" width="6.33203125" bestFit="1" customWidth="1"/>
    <col min="15113" max="15113" width="8.1640625" bestFit="1" customWidth="1"/>
    <col min="15114" max="15114" width="7.5" bestFit="1" customWidth="1"/>
    <col min="15115" max="15115" width="4.6640625" customWidth="1"/>
    <col min="15116" max="15116" width="19.1640625" bestFit="1" customWidth="1"/>
    <col min="15117" max="15117" width="6.33203125" bestFit="1" customWidth="1"/>
    <col min="15118" max="15118" width="8" bestFit="1" customWidth="1"/>
    <col min="15119" max="15119" width="8.1640625" bestFit="1" customWidth="1"/>
    <col min="15120" max="15120" width="4.6640625" customWidth="1"/>
    <col min="15121" max="15121" width="19.1640625" bestFit="1" customWidth="1"/>
    <col min="15122" max="15122" width="7.5" bestFit="1" customWidth="1"/>
    <col min="15123" max="15123" width="7.1640625" bestFit="1" customWidth="1"/>
    <col min="15124" max="15124" width="8.6640625" bestFit="1" customWidth="1"/>
    <col min="15125" max="15125" width="4.6640625" customWidth="1"/>
    <col min="15126" max="15126" width="19.1640625" bestFit="1" customWidth="1"/>
    <col min="15127" max="15127" width="7.5" bestFit="1" customWidth="1"/>
    <col min="15128" max="15128" width="7.1640625" bestFit="1" customWidth="1"/>
    <col min="15129" max="15129" width="7.5" bestFit="1" customWidth="1"/>
    <col min="15130" max="15130" width="4.6640625" customWidth="1"/>
    <col min="15131" max="15131" width="19.1640625" bestFit="1" customWidth="1"/>
    <col min="15132" max="15132" width="6.1640625" bestFit="1" customWidth="1"/>
    <col min="15133" max="15133" width="7" bestFit="1" customWidth="1"/>
    <col min="15134" max="15134" width="7.5" bestFit="1" customWidth="1"/>
    <col min="15135" max="15135" width="4.6640625" customWidth="1"/>
    <col min="15136" max="15136" width="22.1640625" bestFit="1" customWidth="1"/>
    <col min="15137" max="15137" width="6.5" customWidth="1"/>
    <col min="15138" max="15138" width="8.1640625" customWidth="1"/>
    <col min="15140" max="15140" width="7.83203125" customWidth="1"/>
    <col min="15141" max="15141" width="21.33203125" customWidth="1"/>
    <col min="15142" max="15142" width="7.33203125" customWidth="1"/>
    <col min="15144" max="15144" width="8.5" customWidth="1"/>
    <col min="15146" max="15146" width="20.5" customWidth="1"/>
    <col min="15148" max="15148" width="10.1640625" customWidth="1"/>
    <col min="15150" max="15150" width="20.1640625" customWidth="1"/>
    <col min="15151" max="15151" width="10.1640625" bestFit="1" customWidth="1"/>
    <col min="15153" max="15153" width="23.1640625" customWidth="1"/>
    <col min="15157" max="15157" width="19.5" customWidth="1"/>
    <col min="15158" max="15158" width="17.5" customWidth="1"/>
    <col min="15159" max="15159" width="13.33203125" customWidth="1"/>
    <col min="15162" max="15162" width="23.83203125" bestFit="1" customWidth="1"/>
    <col min="15166" max="15166" width="21.6640625" customWidth="1"/>
    <col min="15167" max="15167" width="10.1640625" bestFit="1" customWidth="1"/>
    <col min="15168" max="15168" width="8.6640625" customWidth="1"/>
    <col min="15170" max="15170" width="23.83203125" bestFit="1" customWidth="1"/>
    <col min="15174" max="15174" width="21.6640625" customWidth="1"/>
    <col min="15175" max="15175" width="10.1640625" bestFit="1" customWidth="1"/>
    <col min="15176" max="15176" width="8.6640625" customWidth="1"/>
    <col min="15178" max="15178" width="23.83203125" bestFit="1" customWidth="1"/>
    <col min="15182" max="15182" width="21.6640625" customWidth="1"/>
    <col min="15183" max="15183" width="10.1640625" bestFit="1" customWidth="1"/>
    <col min="15184" max="15184" width="8.6640625" customWidth="1"/>
    <col min="15186" max="15186" width="26.5" customWidth="1"/>
    <col min="15190" max="15190" width="21.6640625" customWidth="1"/>
    <col min="15191" max="15191" width="10.1640625" bestFit="1" customWidth="1"/>
    <col min="15192" max="15192" width="8.6640625" customWidth="1"/>
    <col min="15361" max="15361" width="4.6640625" customWidth="1"/>
    <col min="15362" max="15362" width="19.33203125" bestFit="1" customWidth="1"/>
    <col min="15363" max="15363" width="6.33203125" bestFit="1" customWidth="1"/>
    <col min="15364" max="15364" width="8.5" bestFit="1" customWidth="1"/>
    <col min="15365" max="15365" width="8.83203125" bestFit="1" customWidth="1"/>
    <col min="15366" max="15366" width="4.6640625" customWidth="1"/>
    <col min="15367" max="15367" width="19.1640625" bestFit="1" customWidth="1"/>
    <col min="15368" max="15368" width="6.33203125" bestFit="1" customWidth="1"/>
    <col min="15369" max="15369" width="8.1640625" bestFit="1" customWidth="1"/>
    <col min="15370" max="15370" width="7.5" bestFit="1" customWidth="1"/>
    <col min="15371" max="15371" width="4.6640625" customWidth="1"/>
    <col min="15372" max="15372" width="19.1640625" bestFit="1" customWidth="1"/>
    <col min="15373" max="15373" width="6.33203125" bestFit="1" customWidth="1"/>
    <col min="15374" max="15374" width="8" bestFit="1" customWidth="1"/>
    <col min="15375" max="15375" width="8.1640625" bestFit="1" customWidth="1"/>
    <col min="15376" max="15376" width="4.6640625" customWidth="1"/>
    <col min="15377" max="15377" width="19.1640625" bestFit="1" customWidth="1"/>
    <col min="15378" max="15378" width="7.5" bestFit="1" customWidth="1"/>
    <col min="15379" max="15379" width="7.1640625" bestFit="1" customWidth="1"/>
    <col min="15380" max="15380" width="8.6640625" bestFit="1" customWidth="1"/>
    <col min="15381" max="15381" width="4.6640625" customWidth="1"/>
    <col min="15382" max="15382" width="19.1640625" bestFit="1" customWidth="1"/>
    <col min="15383" max="15383" width="7.5" bestFit="1" customWidth="1"/>
    <col min="15384" max="15384" width="7.1640625" bestFit="1" customWidth="1"/>
    <col min="15385" max="15385" width="7.5" bestFit="1" customWidth="1"/>
    <col min="15386" max="15386" width="4.6640625" customWidth="1"/>
    <col min="15387" max="15387" width="19.1640625" bestFit="1" customWidth="1"/>
    <col min="15388" max="15388" width="6.1640625" bestFit="1" customWidth="1"/>
    <col min="15389" max="15389" width="7" bestFit="1" customWidth="1"/>
    <col min="15390" max="15390" width="7.5" bestFit="1" customWidth="1"/>
    <col min="15391" max="15391" width="4.6640625" customWidth="1"/>
    <col min="15392" max="15392" width="22.1640625" bestFit="1" customWidth="1"/>
    <col min="15393" max="15393" width="6.5" customWidth="1"/>
    <col min="15394" max="15394" width="8.1640625" customWidth="1"/>
    <col min="15396" max="15396" width="7.83203125" customWidth="1"/>
    <col min="15397" max="15397" width="21.33203125" customWidth="1"/>
    <col min="15398" max="15398" width="7.33203125" customWidth="1"/>
    <col min="15400" max="15400" width="8.5" customWidth="1"/>
    <col min="15402" max="15402" width="20.5" customWidth="1"/>
    <col min="15404" max="15404" width="10.1640625" customWidth="1"/>
    <col min="15406" max="15406" width="20.1640625" customWidth="1"/>
    <col min="15407" max="15407" width="10.1640625" bestFit="1" customWidth="1"/>
    <col min="15409" max="15409" width="23.1640625" customWidth="1"/>
    <col min="15413" max="15413" width="19.5" customWidth="1"/>
    <col min="15414" max="15414" width="17.5" customWidth="1"/>
    <col min="15415" max="15415" width="13.33203125" customWidth="1"/>
    <col min="15418" max="15418" width="23.83203125" bestFit="1" customWidth="1"/>
    <col min="15422" max="15422" width="21.6640625" customWidth="1"/>
    <col min="15423" max="15423" width="10.1640625" bestFit="1" customWidth="1"/>
    <col min="15424" max="15424" width="8.6640625" customWidth="1"/>
    <col min="15426" max="15426" width="23.83203125" bestFit="1" customWidth="1"/>
    <col min="15430" max="15430" width="21.6640625" customWidth="1"/>
    <col min="15431" max="15431" width="10.1640625" bestFit="1" customWidth="1"/>
    <col min="15432" max="15432" width="8.6640625" customWidth="1"/>
    <col min="15434" max="15434" width="23.83203125" bestFit="1" customWidth="1"/>
    <col min="15438" max="15438" width="21.6640625" customWidth="1"/>
    <col min="15439" max="15439" width="10.1640625" bestFit="1" customWidth="1"/>
    <col min="15440" max="15440" width="8.6640625" customWidth="1"/>
    <col min="15442" max="15442" width="26.5" customWidth="1"/>
    <col min="15446" max="15446" width="21.6640625" customWidth="1"/>
    <col min="15447" max="15447" width="10.1640625" bestFit="1" customWidth="1"/>
    <col min="15448" max="15448" width="8.6640625" customWidth="1"/>
    <col min="15617" max="15617" width="4.6640625" customWidth="1"/>
    <col min="15618" max="15618" width="19.33203125" bestFit="1" customWidth="1"/>
    <col min="15619" max="15619" width="6.33203125" bestFit="1" customWidth="1"/>
    <col min="15620" max="15620" width="8.5" bestFit="1" customWidth="1"/>
    <col min="15621" max="15621" width="8.83203125" bestFit="1" customWidth="1"/>
    <col min="15622" max="15622" width="4.6640625" customWidth="1"/>
    <col min="15623" max="15623" width="19.1640625" bestFit="1" customWidth="1"/>
    <col min="15624" max="15624" width="6.33203125" bestFit="1" customWidth="1"/>
    <col min="15625" max="15625" width="8.1640625" bestFit="1" customWidth="1"/>
    <col min="15626" max="15626" width="7.5" bestFit="1" customWidth="1"/>
    <col min="15627" max="15627" width="4.6640625" customWidth="1"/>
    <col min="15628" max="15628" width="19.1640625" bestFit="1" customWidth="1"/>
    <col min="15629" max="15629" width="6.33203125" bestFit="1" customWidth="1"/>
    <col min="15630" max="15630" width="8" bestFit="1" customWidth="1"/>
    <col min="15631" max="15631" width="8.1640625" bestFit="1" customWidth="1"/>
    <col min="15632" max="15632" width="4.6640625" customWidth="1"/>
    <col min="15633" max="15633" width="19.1640625" bestFit="1" customWidth="1"/>
    <col min="15634" max="15634" width="7.5" bestFit="1" customWidth="1"/>
    <col min="15635" max="15635" width="7.1640625" bestFit="1" customWidth="1"/>
    <col min="15636" max="15636" width="8.6640625" bestFit="1" customWidth="1"/>
    <col min="15637" max="15637" width="4.6640625" customWidth="1"/>
    <col min="15638" max="15638" width="19.1640625" bestFit="1" customWidth="1"/>
    <col min="15639" max="15639" width="7.5" bestFit="1" customWidth="1"/>
    <col min="15640" max="15640" width="7.1640625" bestFit="1" customWidth="1"/>
    <col min="15641" max="15641" width="7.5" bestFit="1" customWidth="1"/>
    <col min="15642" max="15642" width="4.6640625" customWidth="1"/>
    <col min="15643" max="15643" width="19.1640625" bestFit="1" customWidth="1"/>
    <col min="15644" max="15644" width="6.1640625" bestFit="1" customWidth="1"/>
    <col min="15645" max="15645" width="7" bestFit="1" customWidth="1"/>
    <col min="15646" max="15646" width="7.5" bestFit="1" customWidth="1"/>
    <col min="15647" max="15647" width="4.6640625" customWidth="1"/>
    <col min="15648" max="15648" width="22.1640625" bestFit="1" customWidth="1"/>
    <col min="15649" max="15649" width="6.5" customWidth="1"/>
    <col min="15650" max="15650" width="8.1640625" customWidth="1"/>
    <col min="15652" max="15652" width="7.83203125" customWidth="1"/>
    <col min="15653" max="15653" width="21.33203125" customWidth="1"/>
    <col min="15654" max="15654" width="7.33203125" customWidth="1"/>
    <col min="15656" max="15656" width="8.5" customWidth="1"/>
    <col min="15658" max="15658" width="20.5" customWidth="1"/>
    <col min="15660" max="15660" width="10.1640625" customWidth="1"/>
    <col min="15662" max="15662" width="20.1640625" customWidth="1"/>
    <col min="15663" max="15663" width="10.1640625" bestFit="1" customWidth="1"/>
    <col min="15665" max="15665" width="23.1640625" customWidth="1"/>
    <col min="15669" max="15669" width="19.5" customWidth="1"/>
    <col min="15670" max="15670" width="17.5" customWidth="1"/>
    <col min="15671" max="15671" width="13.33203125" customWidth="1"/>
    <col min="15674" max="15674" width="23.83203125" bestFit="1" customWidth="1"/>
    <col min="15678" max="15678" width="21.6640625" customWidth="1"/>
    <col min="15679" max="15679" width="10.1640625" bestFit="1" customWidth="1"/>
    <col min="15680" max="15680" width="8.6640625" customWidth="1"/>
    <col min="15682" max="15682" width="23.83203125" bestFit="1" customWidth="1"/>
    <col min="15686" max="15686" width="21.6640625" customWidth="1"/>
    <col min="15687" max="15687" width="10.1640625" bestFit="1" customWidth="1"/>
    <col min="15688" max="15688" width="8.6640625" customWidth="1"/>
    <col min="15690" max="15690" width="23.83203125" bestFit="1" customWidth="1"/>
    <col min="15694" max="15694" width="21.6640625" customWidth="1"/>
    <col min="15695" max="15695" width="10.1640625" bestFit="1" customWidth="1"/>
    <col min="15696" max="15696" width="8.6640625" customWidth="1"/>
    <col min="15698" max="15698" width="26.5" customWidth="1"/>
    <col min="15702" max="15702" width="21.6640625" customWidth="1"/>
    <col min="15703" max="15703" width="10.1640625" bestFit="1" customWidth="1"/>
    <col min="15704" max="15704" width="8.6640625" customWidth="1"/>
    <col min="15873" max="15873" width="4.6640625" customWidth="1"/>
    <col min="15874" max="15874" width="19.33203125" bestFit="1" customWidth="1"/>
    <col min="15875" max="15875" width="6.33203125" bestFit="1" customWidth="1"/>
    <col min="15876" max="15876" width="8.5" bestFit="1" customWidth="1"/>
    <col min="15877" max="15877" width="8.83203125" bestFit="1" customWidth="1"/>
    <col min="15878" max="15878" width="4.6640625" customWidth="1"/>
    <col min="15879" max="15879" width="19.1640625" bestFit="1" customWidth="1"/>
    <col min="15880" max="15880" width="6.33203125" bestFit="1" customWidth="1"/>
    <col min="15881" max="15881" width="8.1640625" bestFit="1" customWidth="1"/>
    <col min="15882" max="15882" width="7.5" bestFit="1" customWidth="1"/>
    <col min="15883" max="15883" width="4.6640625" customWidth="1"/>
    <col min="15884" max="15884" width="19.1640625" bestFit="1" customWidth="1"/>
    <col min="15885" max="15885" width="6.33203125" bestFit="1" customWidth="1"/>
    <col min="15886" max="15886" width="8" bestFit="1" customWidth="1"/>
    <col min="15887" max="15887" width="8.1640625" bestFit="1" customWidth="1"/>
    <col min="15888" max="15888" width="4.6640625" customWidth="1"/>
    <col min="15889" max="15889" width="19.1640625" bestFit="1" customWidth="1"/>
    <col min="15890" max="15890" width="7.5" bestFit="1" customWidth="1"/>
    <col min="15891" max="15891" width="7.1640625" bestFit="1" customWidth="1"/>
    <col min="15892" max="15892" width="8.6640625" bestFit="1" customWidth="1"/>
    <col min="15893" max="15893" width="4.6640625" customWidth="1"/>
    <col min="15894" max="15894" width="19.1640625" bestFit="1" customWidth="1"/>
    <col min="15895" max="15895" width="7.5" bestFit="1" customWidth="1"/>
    <col min="15896" max="15896" width="7.1640625" bestFit="1" customWidth="1"/>
    <col min="15897" max="15897" width="7.5" bestFit="1" customWidth="1"/>
    <col min="15898" max="15898" width="4.6640625" customWidth="1"/>
    <col min="15899" max="15899" width="19.1640625" bestFit="1" customWidth="1"/>
    <col min="15900" max="15900" width="6.1640625" bestFit="1" customWidth="1"/>
    <col min="15901" max="15901" width="7" bestFit="1" customWidth="1"/>
    <col min="15902" max="15902" width="7.5" bestFit="1" customWidth="1"/>
    <col min="15903" max="15903" width="4.6640625" customWidth="1"/>
    <col min="15904" max="15904" width="22.1640625" bestFit="1" customWidth="1"/>
    <col min="15905" max="15905" width="6.5" customWidth="1"/>
    <col min="15906" max="15906" width="8.1640625" customWidth="1"/>
    <col min="15908" max="15908" width="7.83203125" customWidth="1"/>
    <col min="15909" max="15909" width="21.33203125" customWidth="1"/>
    <col min="15910" max="15910" width="7.33203125" customWidth="1"/>
    <col min="15912" max="15912" width="8.5" customWidth="1"/>
    <col min="15914" max="15914" width="20.5" customWidth="1"/>
    <col min="15916" max="15916" width="10.1640625" customWidth="1"/>
    <col min="15918" max="15918" width="20.1640625" customWidth="1"/>
    <col min="15919" max="15919" width="10.1640625" bestFit="1" customWidth="1"/>
    <col min="15921" max="15921" width="23.1640625" customWidth="1"/>
    <col min="15925" max="15925" width="19.5" customWidth="1"/>
    <col min="15926" max="15926" width="17.5" customWidth="1"/>
    <col min="15927" max="15927" width="13.33203125" customWidth="1"/>
    <col min="15930" max="15930" width="23.83203125" bestFit="1" customWidth="1"/>
    <col min="15934" max="15934" width="21.6640625" customWidth="1"/>
    <col min="15935" max="15935" width="10.1640625" bestFit="1" customWidth="1"/>
    <col min="15936" max="15936" width="8.6640625" customWidth="1"/>
    <col min="15938" max="15938" width="23.83203125" bestFit="1" customWidth="1"/>
    <col min="15942" max="15942" width="21.6640625" customWidth="1"/>
    <col min="15943" max="15943" width="10.1640625" bestFit="1" customWidth="1"/>
    <col min="15944" max="15944" width="8.6640625" customWidth="1"/>
    <col min="15946" max="15946" width="23.83203125" bestFit="1" customWidth="1"/>
    <col min="15950" max="15950" width="21.6640625" customWidth="1"/>
    <col min="15951" max="15951" width="10.1640625" bestFit="1" customWidth="1"/>
    <col min="15952" max="15952" width="8.6640625" customWidth="1"/>
    <col min="15954" max="15954" width="26.5" customWidth="1"/>
    <col min="15958" max="15958" width="21.6640625" customWidth="1"/>
    <col min="15959" max="15959" width="10.1640625" bestFit="1" customWidth="1"/>
    <col min="15960" max="15960" width="8.6640625" customWidth="1"/>
    <col min="16129" max="16129" width="4.6640625" customWidth="1"/>
    <col min="16130" max="16130" width="19.33203125" bestFit="1" customWidth="1"/>
    <col min="16131" max="16131" width="6.33203125" bestFit="1" customWidth="1"/>
    <col min="16132" max="16132" width="8.5" bestFit="1" customWidth="1"/>
    <col min="16133" max="16133" width="8.83203125" bestFit="1" customWidth="1"/>
    <col min="16134" max="16134" width="4.6640625" customWidth="1"/>
    <col min="16135" max="16135" width="19.1640625" bestFit="1" customWidth="1"/>
    <col min="16136" max="16136" width="6.33203125" bestFit="1" customWidth="1"/>
    <col min="16137" max="16137" width="8.1640625" bestFit="1" customWidth="1"/>
    <col min="16138" max="16138" width="7.5" bestFit="1" customWidth="1"/>
    <col min="16139" max="16139" width="4.6640625" customWidth="1"/>
    <col min="16140" max="16140" width="19.1640625" bestFit="1" customWidth="1"/>
    <col min="16141" max="16141" width="6.33203125" bestFit="1" customWidth="1"/>
    <col min="16142" max="16142" width="8" bestFit="1" customWidth="1"/>
    <col min="16143" max="16143" width="8.1640625" bestFit="1" customWidth="1"/>
    <col min="16144" max="16144" width="4.6640625" customWidth="1"/>
    <col min="16145" max="16145" width="19.1640625" bestFit="1" customWidth="1"/>
    <col min="16146" max="16146" width="7.5" bestFit="1" customWidth="1"/>
    <col min="16147" max="16147" width="7.1640625" bestFit="1" customWidth="1"/>
    <col min="16148" max="16148" width="8.6640625" bestFit="1" customWidth="1"/>
    <col min="16149" max="16149" width="4.6640625" customWidth="1"/>
    <col min="16150" max="16150" width="19.1640625" bestFit="1" customWidth="1"/>
    <col min="16151" max="16151" width="7.5" bestFit="1" customWidth="1"/>
    <col min="16152" max="16152" width="7.1640625" bestFit="1" customWidth="1"/>
    <col min="16153" max="16153" width="7.5" bestFit="1" customWidth="1"/>
    <col min="16154" max="16154" width="4.6640625" customWidth="1"/>
    <col min="16155" max="16155" width="19.1640625" bestFit="1" customWidth="1"/>
    <col min="16156" max="16156" width="6.1640625" bestFit="1" customWidth="1"/>
    <col min="16157" max="16157" width="7" bestFit="1" customWidth="1"/>
    <col min="16158" max="16158" width="7.5" bestFit="1" customWidth="1"/>
    <col min="16159" max="16159" width="4.6640625" customWidth="1"/>
    <col min="16160" max="16160" width="22.1640625" bestFit="1" customWidth="1"/>
    <col min="16161" max="16161" width="6.5" customWidth="1"/>
    <col min="16162" max="16162" width="8.1640625" customWidth="1"/>
    <col min="16164" max="16164" width="7.83203125" customWidth="1"/>
    <col min="16165" max="16165" width="21.33203125" customWidth="1"/>
    <col min="16166" max="16166" width="7.33203125" customWidth="1"/>
    <col min="16168" max="16168" width="8.5" customWidth="1"/>
    <col min="16170" max="16170" width="20.5" customWidth="1"/>
    <col min="16172" max="16172" width="10.1640625" customWidth="1"/>
    <col min="16174" max="16174" width="20.1640625" customWidth="1"/>
    <col min="16175" max="16175" width="10.1640625" bestFit="1" customWidth="1"/>
    <col min="16177" max="16177" width="23.1640625" customWidth="1"/>
    <col min="16181" max="16181" width="19.5" customWidth="1"/>
    <col min="16182" max="16182" width="17.5" customWidth="1"/>
    <col min="16183" max="16183" width="13.33203125" customWidth="1"/>
    <col min="16186" max="16186" width="23.83203125" bestFit="1" customWidth="1"/>
    <col min="16190" max="16190" width="21.6640625" customWidth="1"/>
    <col min="16191" max="16191" width="10.1640625" bestFit="1" customWidth="1"/>
    <col min="16192" max="16192" width="8.6640625" customWidth="1"/>
    <col min="16194" max="16194" width="23.83203125" bestFit="1" customWidth="1"/>
    <col min="16198" max="16198" width="21.6640625" customWidth="1"/>
    <col min="16199" max="16199" width="10.1640625" bestFit="1" customWidth="1"/>
    <col min="16200" max="16200" width="8.6640625" customWidth="1"/>
    <col min="16202" max="16202" width="23.83203125" bestFit="1" customWidth="1"/>
    <col min="16206" max="16206" width="21.6640625" customWidth="1"/>
    <col min="16207" max="16207" width="10.1640625" bestFit="1" customWidth="1"/>
    <col min="16208" max="16208" width="8.6640625" customWidth="1"/>
    <col min="16210" max="16210" width="26.5" customWidth="1"/>
    <col min="16214" max="16214" width="21.6640625" customWidth="1"/>
    <col min="16215" max="16215" width="10.1640625" bestFit="1" customWidth="1"/>
    <col min="16216" max="16216" width="8.6640625" customWidth="1"/>
  </cols>
  <sheetData>
    <row r="1" spans="2:88" s="78" customFormat="1" ht="19.5" customHeight="1">
      <c r="B1" s="78" t="s">
        <v>1606</v>
      </c>
      <c r="G1" s="78" t="s">
        <v>1607</v>
      </c>
      <c r="H1" s="79"/>
      <c r="I1" s="79"/>
      <c r="J1" s="79"/>
      <c r="L1" s="78" t="s">
        <v>1608</v>
      </c>
      <c r="M1" s="79"/>
      <c r="N1" s="79"/>
      <c r="O1" s="79"/>
      <c r="Q1" s="78" t="s">
        <v>1609</v>
      </c>
      <c r="R1" s="406"/>
      <c r="S1" s="406"/>
      <c r="T1" s="406"/>
      <c r="V1" s="78" t="s">
        <v>1610</v>
      </c>
      <c r="W1" s="79"/>
      <c r="X1" s="79"/>
      <c r="Y1" s="79"/>
      <c r="AA1" s="78" t="s">
        <v>1611</v>
      </c>
      <c r="AB1" s="79"/>
      <c r="AC1" s="79"/>
      <c r="AD1" s="79"/>
      <c r="AF1" s="407" t="s">
        <v>1612</v>
      </c>
      <c r="AG1" s="686" t="s">
        <v>245</v>
      </c>
      <c r="AH1" s="687"/>
      <c r="AI1" s="687"/>
      <c r="AK1" s="407" t="s">
        <v>1613</v>
      </c>
      <c r="AL1" s="688" t="s">
        <v>245</v>
      </c>
      <c r="AM1" s="689"/>
      <c r="AN1" s="690"/>
      <c r="AP1" s="407" t="s">
        <v>1614</v>
      </c>
      <c r="AQ1" s="686" t="s">
        <v>1615</v>
      </c>
      <c r="AR1" s="687"/>
      <c r="AS1" s="687"/>
      <c r="AT1" s="682" t="s">
        <v>1616</v>
      </c>
      <c r="AU1" s="682" t="s">
        <v>1617</v>
      </c>
      <c r="AW1" s="408">
        <v>40663</v>
      </c>
      <c r="AX1" s="684" t="s">
        <v>1615</v>
      </c>
      <c r="AY1" s="685"/>
      <c r="AZ1" s="685"/>
      <c r="BA1" s="703" t="s">
        <v>1618</v>
      </c>
      <c r="BB1" s="703" t="s">
        <v>1617</v>
      </c>
      <c r="BC1" s="682" t="s">
        <v>1619</v>
      </c>
      <c r="BF1" s="408">
        <v>40694</v>
      </c>
      <c r="BG1" s="684" t="s">
        <v>1615</v>
      </c>
      <c r="BH1" s="685"/>
      <c r="BI1" s="685"/>
      <c r="BJ1" s="682" t="s">
        <v>1620</v>
      </c>
      <c r="BK1" s="682" t="s">
        <v>1617</v>
      </c>
      <c r="BL1" s="682" t="s">
        <v>1619</v>
      </c>
      <c r="BN1" s="408">
        <v>40724</v>
      </c>
      <c r="BO1" s="684" t="s">
        <v>1615</v>
      </c>
      <c r="BP1" s="702"/>
      <c r="BQ1" s="702"/>
      <c r="BR1" s="682" t="s">
        <v>1621</v>
      </c>
      <c r="BS1" s="682" t="s">
        <v>1617</v>
      </c>
      <c r="BT1" s="682" t="s">
        <v>1619</v>
      </c>
      <c r="BV1" s="408">
        <v>40755</v>
      </c>
      <c r="BW1" s="684" t="s">
        <v>1615</v>
      </c>
      <c r="BX1" s="685"/>
      <c r="BY1" s="685"/>
      <c r="BZ1" s="682" t="s">
        <v>1621</v>
      </c>
      <c r="CA1" s="682" t="s">
        <v>1617</v>
      </c>
      <c r="CB1" s="682" t="s">
        <v>1619</v>
      </c>
      <c r="CD1" s="408">
        <v>40786</v>
      </c>
      <c r="CE1" s="684" t="s">
        <v>1615</v>
      </c>
      <c r="CF1" s="685"/>
      <c r="CG1" s="685"/>
      <c r="CH1" s="682" t="s">
        <v>1622</v>
      </c>
      <c r="CI1" s="682" t="s">
        <v>1617</v>
      </c>
      <c r="CJ1" s="682" t="s">
        <v>1619</v>
      </c>
    </row>
    <row r="2" spans="2:88" ht="15" customHeight="1" thickBot="1">
      <c r="B2" s="409" t="s">
        <v>1631</v>
      </c>
      <c r="C2" s="409" t="s">
        <v>1632</v>
      </c>
      <c r="D2" s="409" t="s">
        <v>1633</v>
      </c>
      <c r="E2" s="409" t="s">
        <v>1634</v>
      </c>
      <c r="G2" s="409" t="s">
        <v>1631</v>
      </c>
      <c r="H2" s="409" t="s">
        <v>1632</v>
      </c>
      <c r="I2" s="409" t="s">
        <v>1633</v>
      </c>
      <c r="J2" s="409" t="s">
        <v>1634</v>
      </c>
      <c r="L2" s="409" t="s">
        <v>1631</v>
      </c>
      <c r="M2" s="409" t="s">
        <v>1632</v>
      </c>
      <c r="N2" s="409" t="s">
        <v>1633</v>
      </c>
      <c r="O2" s="409" t="s">
        <v>1634</v>
      </c>
      <c r="Q2" s="410" t="s">
        <v>1631</v>
      </c>
      <c r="R2" s="410" t="s">
        <v>1632</v>
      </c>
      <c r="S2" s="410" t="s">
        <v>1633</v>
      </c>
      <c r="T2" s="410" t="s">
        <v>1634</v>
      </c>
      <c r="V2" s="409" t="s">
        <v>1631</v>
      </c>
      <c r="W2" s="409" t="s">
        <v>1632</v>
      </c>
      <c r="X2" s="409" t="s">
        <v>1633</v>
      </c>
      <c r="Y2" s="409" t="s">
        <v>1634</v>
      </c>
      <c r="AA2" s="409" t="s">
        <v>1631</v>
      </c>
      <c r="AB2" s="409" t="s">
        <v>1632</v>
      </c>
      <c r="AC2" s="409" t="s">
        <v>1633</v>
      </c>
      <c r="AD2" s="409" t="s">
        <v>1634</v>
      </c>
      <c r="AF2" s="410" t="s">
        <v>1631</v>
      </c>
      <c r="AG2" s="410" t="s">
        <v>1632</v>
      </c>
      <c r="AH2" s="410" t="s">
        <v>1633</v>
      </c>
      <c r="AI2" s="410" t="s">
        <v>1634</v>
      </c>
      <c r="AK2" s="410" t="s">
        <v>1631</v>
      </c>
      <c r="AL2" s="410" t="s">
        <v>1632</v>
      </c>
      <c r="AM2" s="410" t="s">
        <v>1633</v>
      </c>
      <c r="AN2" s="410" t="s">
        <v>1634</v>
      </c>
      <c r="AP2" s="411" t="s">
        <v>1631</v>
      </c>
      <c r="AQ2" s="411" t="s">
        <v>1632</v>
      </c>
      <c r="AR2" s="411" t="s">
        <v>1633</v>
      </c>
      <c r="AS2" s="411" t="s">
        <v>1634</v>
      </c>
      <c r="AT2" s="683"/>
      <c r="AU2" s="683"/>
      <c r="AW2" s="412" t="s">
        <v>1631</v>
      </c>
      <c r="AX2" s="412" t="s">
        <v>1632</v>
      </c>
      <c r="AY2" s="412" t="s">
        <v>1633</v>
      </c>
      <c r="AZ2" s="412" t="s">
        <v>1634</v>
      </c>
      <c r="BA2" s="558"/>
      <c r="BB2" s="558"/>
      <c r="BC2" s="683"/>
      <c r="BF2" s="85" t="s">
        <v>1631</v>
      </c>
      <c r="BG2" s="85" t="s">
        <v>1632</v>
      </c>
      <c r="BH2" s="85" t="s">
        <v>1633</v>
      </c>
      <c r="BI2" s="85" t="s">
        <v>1634</v>
      </c>
      <c r="BJ2" s="554"/>
      <c r="BK2" s="554"/>
      <c r="BL2" s="554"/>
      <c r="BN2" s="85" t="s">
        <v>1631</v>
      </c>
      <c r="BO2" s="85" t="s">
        <v>1632</v>
      </c>
      <c r="BP2" s="85" t="s">
        <v>1633</v>
      </c>
      <c r="BQ2" s="85" t="s">
        <v>1634</v>
      </c>
      <c r="BR2" s="556"/>
      <c r="BS2" s="556"/>
      <c r="BT2" s="556"/>
      <c r="BV2" s="85" t="s">
        <v>1631</v>
      </c>
      <c r="BW2" s="85" t="s">
        <v>1632</v>
      </c>
      <c r="BX2" s="85" t="s">
        <v>1633</v>
      </c>
      <c r="BY2" s="85" t="s">
        <v>1634</v>
      </c>
      <c r="BZ2" s="554"/>
      <c r="CA2" s="554"/>
      <c r="CB2" s="554"/>
      <c r="CD2" s="85" t="s">
        <v>1631</v>
      </c>
      <c r="CE2" s="85" t="s">
        <v>1632</v>
      </c>
      <c r="CF2" s="85" t="s">
        <v>1633</v>
      </c>
      <c r="CG2" s="85" t="s">
        <v>1634</v>
      </c>
      <c r="CH2" s="554"/>
      <c r="CI2" s="554"/>
      <c r="CJ2" s="554"/>
    </row>
    <row r="3" spans="2:88" ht="15" thickTop="1">
      <c r="B3" s="413" t="s">
        <v>1635</v>
      </c>
      <c r="C3" s="414">
        <f>SUM(9+49+27)</f>
        <v>85</v>
      </c>
      <c r="D3" s="415">
        <f>SUM(7807+3546+2767)</f>
        <v>14120</v>
      </c>
      <c r="E3" s="415">
        <f t="shared" ref="E3:E8" si="0">SUM(C3:D3)</f>
        <v>14205</v>
      </c>
      <c r="G3" s="413" t="s">
        <v>1635</v>
      </c>
      <c r="H3" s="414">
        <f>SUM(18+102+45)</f>
        <v>165</v>
      </c>
      <c r="I3" s="415">
        <f>SUM(8122+3723+2913)</f>
        <v>14758</v>
      </c>
      <c r="J3" s="415">
        <f t="shared" ref="J3:J9" si="1">SUM(H3:I3)</f>
        <v>14923</v>
      </c>
      <c r="L3" s="413" t="s">
        <v>1635</v>
      </c>
      <c r="M3" s="416">
        <f>SUM(650+960+837)</f>
        <v>2447</v>
      </c>
      <c r="N3" s="415">
        <f>SUM(9630+4495+3532)</f>
        <v>17657</v>
      </c>
      <c r="O3" s="415">
        <f t="shared" ref="O3:O9" si="2">SUM(M3:N3)</f>
        <v>20104</v>
      </c>
      <c r="Q3" s="417" t="s">
        <v>1635</v>
      </c>
      <c r="R3" s="418">
        <f>SUM(720+1101+958)</f>
        <v>2779</v>
      </c>
      <c r="S3" s="419">
        <f>SUM(10074+4733+3760)</f>
        <v>18567</v>
      </c>
      <c r="T3" s="419">
        <f t="shared" ref="T3:T9" si="3">SUM(R3:S3)</f>
        <v>21346</v>
      </c>
      <c r="V3" s="413" t="s">
        <v>1635</v>
      </c>
      <c r="W3" s="416">
        <f>SUM(721+1238+1044)</f>
        <v>3003</v>
      </c>
      <c r="X3" s="415">
        <f>SUM(10510+4961+3971)</f>
        <v>19442</v>
      </c>
      <c r="Y3" s="415">
        <f t="shared" ref="Y3:Y9" si="4">SUM(W3:X3)</f>
        <v>22445</v>
      </c>
      <c r="AA3" s="413" t="s">
        <v>1635</v>
      </c>
      <c r="AB3" s="416">
        <f>SUM(756+1681+1318)</f>
        <v>3755</v>
      </c>
      <c r="AC3" s="415">
        <f>SUM(10878+5581+4430)</f>
        <v>20889</v>
      </c>
      <c r="AD3" s="415">
        <f t="shared" ref="AD3:AD9" si="5">SUM(AB3:AC3)</f>
        <v>24644</v>
      </c>
      <c r="AF3" s="417" t="s">
        <v>1635</v>
      </c>
      <c r="AG3" s="418">
        <f>SUM(835+2244+1666)</f>
        <v>4745</v>
      </c>
      <c r="AH3" s="419">
        <f>SUM(11543+6233+5035)</f>
        <v>22811</v>
      </c>
      <c r="AI3" s="419">
        <f t="shared" ref="AI3:AI9" si="6">SUM(AG3:AH3)</f>
        <v>27556</v>
      </c>
      <c r="AK3" s="417" t="s">
        <v>1635</v>
      </c>
      <c r="AL3" s="418">
        <f>SUM(905+2700+1933)</f>
        <v>5538</v>
      </c>
      <c r="AM3" s="419">
        <f>SUM(12369+7009+5738)</f>
        <v>25116</v>
      </c>
      <c r="AN3" s="419">
        <f t="shared" ref="AN3:AN9" si="7">SUM(AL3:AM3)</f>
        <v>30654</v>
      </c>
      <c r="AP3" s="417" t="s">
        <v>1635</v>
      </c>
      <c r="AQ3" s="418">
        <f>SUM(988+3077+2198)</f>
        <v>6263</v>
      </c>
      <c r="AR3" s="419">
        <f>SUM(13587+7948+6725)</f>
        <v>28260</v>
      </c>
      <c r="AS3" s="419">
        <f t="shared" ref="AS3:AS9" si="8">SUM(AQ3:AR3)</f>
        <v>34523</v>
      </c>
      <c r="AT3" s="420">
        <f>SUM(741346+421514)</f>
        <v>1162860</v>
      </c>
      <c r="AU3" s="421">
        <f>SUM(AS3/AT3)</f>
        <v>2.9688010594568565E-2</v>
      </c>
      <c r="AW3" s="92" t="s">
        <v>1635</v>
      </c>
      <c r="AX3" s="93">
        <f>SUM(1114+3544+2492)</f>
        <v>7150</v>
      </c>
      <c r="AY3" s="94">
        <f>SUM(14830+9012+7705)</f>
        <v>31547</v>
      </c>
      <c r="AZ3" s="94">
        <f t="shared" ref="AZ3:AZ9" si="9">SUM(AX3:AY3)</f>
        <v>38697</v>
      </c>
      <c r="BA3" s="95">
        <f>SUM(741819+419387)</f>
        <v>1161206</v>
      </c>
      <c r="BB3" s="96">
        <f>SUM(AZ3/BA3)</f>
        <v>3.3324836420066721E-2</v>
      </c>
      <c r="BC3" s="422" t="s">
        <v>1636</v>
      </c>
      <c r="BF3" s="561" t="s">
        <v>1637</v>
      </c>
      <c r="BG3" s="562"/>
      <c r="BH3" s="562"/>
      <c r="BI3" s="562"/>
      <c r="BJ3" s="562"/>
      <c r="BK3" s="562"/>
      <c r="BL3" s="563"/>
      <c r="BN3" s="561" t="s">
        <v>1637</v>
      </c>
      <c r="BO3" s="562"/>
      <c r="BP3" s="562"/>
      <c r="BQ3" s="562"/>
      <c r="BR3" s="562"/>
      <c r="BS3" s="562"/>
      <c r="BT3" s="564"/>
      <c r="BV3" s="561" t="s">
        <v>1637</v>
      </c>
      <c r="BW3" s="562"/>
      <c r="BX3" s="562"/>
      <c r="BY3" s="562"/>
      <c r="BZ3" s="562"/>
      <c r="CA3" s="562"/>
      <c r="CB3" s="563"/>
      <c r="CD3" s="561" t="s">
        <v>1637</v>
      </c>
      <c r="CE3" s="562"/>
      <c r="CF3" s="562"/>
      <c r="CG3" s="562"/>
      <c r="CH3" s="562"/>
      <c r="CI3" s="562"/>
      <c r="CJ3" s="563"/>
    </row>
    <row r="4" spans="2:88">
      <c r="B4" s="413" t="s">
        <v>1638</v>
      </c>
      <c r="C4" s="414">
        <f>SUM(16+20+9)</f>
        <v>45</v>
      </c>
      <c r="D4" s="415">
        <f>SUM(9642+2074+1519)</f>
        <v>13235</v>
      </c>
      <c r="E4" s="415">
        <f t="shared" si="0"/>
        <v>13280</v>
      </c>
      <c r="G4" s="413" t="s">
        <v>1638</v>
      </c>
      <c r="H4" s="414">
        <f>SUM(15+35+25)</f>
        <v>75</v>
      </c>
      <c r="I4" s="415">
        <f>SUM(10026+2210+1647)</f>
        <v>13883</v>
      </c>
      <c r="J4" s="415">
        <f t="shared" si="1"/>
        <v>13958</v>
      </c>
      <c r="L4" s="413" t="s">
        <v>1638</v>
      </c>
      <c r="M4" s="416">
        <f>SUM(226+345+231)</f>
        <v>802</v>
      </c>
      <c r="N4" s="415">
        <f>SUM(10414+2449+1807)</f>
        <v>14670</v>
      </c>
      <c r="O4" s="415">
        <f t="shared" si="2"/>
        <v>15472</v>
      </c>
      <c r="Q4" s="417" t="s">
        <v>1638</v>
      </c>
      <c r="R4" s="418">
        <f>SUM(239+410+256)</f>
        <v>905</v>
      </c>
      <c r="S4" s="419">
        <f>SUM(10824+2686+1930)</f>
        <v>15440</v>
      </c>
      <c r="T4" s="419">
        <f t="shared" si="3"/>
        <v>16345</v>
      </c>
      <c r="V4" s="413" t="s">
        <v>1638</v>
      </c>
      <c r="W4" s="416">
        <f>SUM(234+477+262)</f>
        <v>973</v>
      </c>
      <c r="X4" s="415">
        <f>SUM(11228+2839+2102)</f>
        <v>16169</v>
      </c>
      <c r="Y4" s="415">
        <f t="shared" si="4"/>
        <v>17142</v>
      </c>
      <c r="AA4" s="413" t="s">
        <v>1638</v>
      </c>
      <c r="AB4" s="416">
        <f>SUM(242+658+292)</f>
        <v>1192</v>
      </c>
      <c r="AC4" s="415">
        <f>SUM(11582+3212+2284)</f>
        <v>17078</v>
      </c>
      <c r="AD4" s="415">
        <f t="shared" si="5"/>
        <v>18270</v>
      </c>
      <c r="AF4" s="417" t="s">
        <v>1638</v>
      </c>
      <c r="AG4" s="418">
        <f>SUM(261+922+347)</f>
        <v>1530</v>
      </c>
      <c r="AH4" s="419">
        <f>SUM(12330+3648+2517)</f>
        <v>18495</v>
      </c>
      <c r="AI4" s="419">
        <f t="shared" si="6"/>
        <v>20025</v>
      </c>
      <c r="AK4" s="417" t="s">
        <v>1638</v>
      </c>
      <c r="AL4" s="418">
        <f>SUM(301+1134+381)</f>
        <v>1816</v>
      </c>
      <c r="AM4" s="419">
        <f>SUM(13264+4165+2806)</f>
        <v>20235</v>
      </c>
      <c r="AN4" s="419">
        <f t="shared" si="7"/>
        <v>22051</v>
      </c>
      <c r="AP4" s="417" t="s">
        <v>1638</v>
      </c>
      <c r="AQ4" s="418">
        <f>SUM(329+1275+429)</f>
        <v>2033</v>
      </c>
      <c r="AR4" s="419">
        <f>SUM(14223+4733+3203)</f>
        <v>22159</v>
      </c>
      <c r="AS4" s="419">
        <f t="shared" si="8"/>
        <v>24192</v>
      </c>
      <c r="AT4" s="420">
        <f>SUM(352022+46041)</f>
        <v>398063</v>
      </c>
      <c r="AU4" s="421">
        <f>SUM(AS4/AT4)</f>
        <v>6.0774299545549325E-2</v>
      </c>
      <c r="AW4" s="413" t="s">
        <v>1638</v>
      </c>
      <c r="AX4" s="416">
        <f>SUM(374+1455+484)</f>
        <v>2313</v>
      </c>
      <c r="AY4" s="415">
        <f>SUM(15384+5310+3634)</f>
        <v>24328</v>
      </c>
      <c r="AZ4" s="415">
        <f t="shared" si="9"/>
        <v>26641</v>
      </c>
      <c r="BA4" s="420">
        <f>SUM(352323+46192)</f>
        <v>398515</v>
      </c>
      <c r="BB4" s="421">
        <f>SUM(AZ4/BA4)</f>
        <v>6.6850683161236088E-2</v>
      </c>
      <c r="BC4" s="422" t="s">
        <v>1639</v>
      </c>
      <c r="BF4" s="92" t="s">
        <v>1635</v>
      </c>
      <c r="BG4" s="93">
        <v>1259</v>
      </c>
      <c r="BH4" s="94">
        <v>16194</v>
      </c>
      <c r="BI4" s="94">
        <f t="shared" ref="BI4:BI10" si="10">SUM(BG4:BH4)</f>
        <v>17453</v>
      </c>
      <c r="BJ4" s="95">
        <v>740442</v>
      </c>
      <c r="BK4" s="96">
        <f>SUM(BI4/BJ4)</f>
        <v>2.3571056206968269E-2</v>
      </c>
      <c r="BL4" s="422" t="s">
        <v>1640</v>
      </c>
      <c r="BN4" s="98" t="s">
        <v>1635</v>
      </c>
      <c r="BO4" s="99">
        <v>1440</v>
      </c>
      <c r="BP4" s="100">
        <v>17694</v>
      </c>
      <c r="BQ4" s="100">
        <f t="shared" ref="BQ4:BQ10" si="11">SUM(BO4:BP4)</f>
        <v>19134</v>
      </c>
      <c r="BR4" s="101">
        <v>743217</v>
      </c>
      <c r="BS4" s="102">
        <f>SUM(BQ4/BR4)</f>
        <v>2.5744836299492611E-2</v>
      </c>
      <c r="BT4" s="423" t="s">
        <v>1641</v>
      </c>
      <c r="BV4" s="92" t="s">
        <v>1635</v>
      </c>
      <c r="BW4" s="93">
        <v>1821</v>
      </c>
      <c r="BX4" s="94">
        <v>19095</v>
      </c>
      <c r="BY4" s="94">
        <f t="shared" ref="BY4:BY10" si="12">SUM(BW4:BX4)</f>
        <v>20916</v>
      </c>
      <c r="BZ4" s="95">
        <v>750139</v>
      </c>
      <c r="CA4" s="96">
        <f>SUM(BY4/BZ4)</f>
        <v>2.788283238173192E-2</v>
      </c>
      <c r="CB4" s="422" t="s">
        <v>1642</v>
      </c>
      <c r="CD4" s="92" t="s">
        <v>1635</v>
      </c>
      <c r="CE4" s="93">
        <v>5616</v>
      </c>
      <c r="CF4" s="94">
        <v>20543</v>
      </c>
      <c r="CG4" s="94">
        <f t="shared" ref="CG4:CG9" si="13">SUM(CE4:CF4)</f>
        <v>26159</v>
      </c>
      <c r="CH4" s="95">
        <v>752401</v>
      </c>
      <c r="CI4" s="96">
        <f>SUM(CG4/CH4)</f>
        <v>3.4767364743002731E-2</v>
      </c>
      <c r="CJ4" s="422" t="s">
        <v>1643</v>
      </c>
    </row>
    <row r="5" spans="2:88" ht="15" customHeight="1">
      <c r="B5" s="413" t="s">
        <v>1649</v>
      </c>
      <c r="C5" s="414">
        <f>SUM(8+18+0)</f>
        <v>26</v>
      </c>
      <c r="D5" s="415">
        <f>SUM(4170+1538+0)</f>
        <v>5708</v>
      </c>
      <c r="E5" s="415">
        <f t="shared" si="0"/>
        <v>5734</v>
      </c>
      <c r="G5" s="413" t="s">
        <v>1649</v>
      </c>
      <c r="H5" s="414">
        <f>SUM(12+35+0)</f>
        <v>47</v>
      </c>
      <c r="I5" s="415">
        <f>SUM(4363+1618+0)</f>
        <v>5981</v>
      </c>
      <c r="J5" s="415">
        <f t="shared" si="1"/>
        <v>6028</v>
      </c>
      <c r="L5" s="413" t="s">
        <v>1649</v>
      </c>
      <c r="M5" s="416">
        <f>SUM(230+363+0)</f>
        <v>593</v>
      </c>
      <c r="N5" s="415">
        <f>SUM(4601+1784+0)</f>
        <v>6385</v>
      </c>
      <c r="O5" s="415">
        <f t="shared" si="2"/>
        <v>6978</v>
      </c>
      <c r="Q5" s="417" t="s">
        <v>1649</v>
      </c>
      <c r="R5" s="418">
        <f>SUM(252+412+0)</f>
        <v>664</v>
      </c>
      <c r="S5" s="419">
        <f>SUM(4879+1916+0)</f>
        <v>6795</v>
      </c>
      <c r="T5" s="419">
        <f t="shared" si="3"/>
        <v>7459</v>
      </c>
      <c r="V5" s="413" t="s">
        <v>1649</v>
      </c>
      <c r="W5" s="416">
        <f>SUM(251+455+0)</f>
        <v>706</v>
      </c>
      <c r="X5" s="415">
        <f>SUM(5111+2045+0)</f>
        <v>7156</v>
      </c>
      <c r="Y5" s="415">
        <f t="shared" si="4"/>
        <v>7862</v>
      </c>
      <c r="AA5" s="413" t="s">
        <v>1649</v>
      </c>
      <c r="AB5" s="416">
        <f>SUM(252+616+0)</f>
        <v>868</v>
      </c>
      <c r="AC5" s="415">
        <f>SUM(5387+2260+0)</f>
        <v>7647</v>
      </c>
      <c r="AD5" s="415">
        <f t="shared" si="5"/>
        <v>8515</v>
      </c>
      <c r="AF5" s="417" t="s">
        <v>1649</v>
      </c>
      <c r="AG5" s="418">
        <f>SUM(278+828+0)</f>
        <v>1106</v>
      </c>
      <c r="AH5" s="419">
        <f>SUM(5845+2560+0)</f>
        <v>8405</v>
      </c>
      <c r="AI5" s="419">
        <f t="shared" si="6"/>
        <v>9511</v>
      </c>
      <c r="AK5" s="417" t="s">
        <v>1649</v>
      </c>
      <c r="AL5" s="418">
        <f>SUM(322+1039+0)</f>
        <v>1361</v>
      </c>
      <c r="AM5" s="419">
        <f>SUM(6390+2935+0)</f>
        <v>9325</v>
      </c>
      <c r="AN5" s="419">
        <f t="shared" si="7"/>
        <v>10686</v>
      </c>
      <c r="AP5" s="417" t="s">
        <v>1649</v>
      </c>
      <c r="AQ5" s="418">
        <f>SUM(389+1187+0)</f>
        <v>1576</v>
      </c>
      <c r="AR5" s="419">
        <f>SUM(7606+3441+0)</f>
        <v>11047</v>
      </c>
      <c r="AS5" s="419">
        <f t="shared" si="8"/>
        <v>12623</v>
      </c>
      <c r="AT5" s="420">
        <f>SUM(378218+136150)</f>
        <v>514368</v>
      </c>
      <c r="AU5" s="421">
        <f>SUM(AS5/AT5)</f>
        <v>2.4540795694911036E-2</v>
      </c>
      <c r="AW5" s="413" t="s">
        <v>1649</v>
      </c>
      <c r="AX5" s="416">
        <f>SUM(455+1373+0)</f>
        <v>1828</v>
      </c>
      <c r="AY5" s="415">
        <f>SUM(8503+3913+0)</f>
        <v>12416</v>
      </c>
      <c r="AZ5" s="415">
        <f t="shared" si="9"/>
        <v>14244</v>
      </c>
      <c r="BA5" s="420">
        <f>SUM(377607+135859)</f>
        <v>513466</v>
      </c>
      <c r="BB5" s="421">
        <f>SUM(AZ5/BA5)</f>
        <v>2.7740882551132891E-2</v>
      </c>
      <c r="BC5" s="422" t="s">
        <v>1650</v>
      </c>
      <c r="BF5" s="413" t="s">
        <v>1638</v>
      </c>
      <c r="BG5" s="416">
        <v>531</v>
      </c>
      <c r="BH5" s="415">
        <v>9550</v>
      </c>
      <c r="BI5" s="415">
        <f t="shared" si="10"/>
        <v>10081</v>
      </c>
      <c r="BJ5" s="420">
        <v>351484</v>
      </c>
      <c r="BK5" s="421">
        <f>SUM(BI5/BJ5)</f>
        <v>2.8681248648587135E-2</v>
      </c>
      <c r="BL5" s="422" t="s">
        <v>1640</v>
      </c>
      <c r="BN5" s="424" t="s">
        <v>1638</v>
      </c>
      <c r="BO5" s="425">
        <v>644</v>
      </c>
      <c r="BP5" s="426">
        <v>10397</v>
      </c>
      <c r="BQ5" s="426">
        <f t="shared" si="11"/>
        <v>11041</v>
      </c>
      <c r="BR5" s="427">
        <v>351029</v>
      </c>
      <c r="BS5" s="428">
        <f>SUM(BQ5/BR5)</f>
        <v>3.1453241754954717E-2</v>
      </c>
      <c r="BT5" s="423" t="s">
        <v>1651</v>
      </c>
      <c r="BV5" s="413" t="s">
        <v>1638</v>
      </c>
      <c r="BW5" s="416">
        <v>831</v>
      </c>
      <c r="BX5" s="415">
        <v>11262</v>
      </c>
      <c r="BY5" s="415">
        <f t="shared" si="12"/>
        <v>12093</v>
      </c>
      <c r="BZ5" s="420">
        <v>350616</v>
      </c>
      <c r="CA5" s="421">
        <f>SUM(BY5/BZ5)</f>
        <v>3.4490724895612293E-2</v>
      </c>
      <c r="CB5" s="422" t="s">
        <v>1652</v>
      </c>
      <c r="CD5" s="413" t="s">
        <v>1638</v>
      </c>
      <c r="CE5" s="416">
        <v>2852</v>
      </c>
      <c r="CF5" s="415">
        <v>12057</v>
      </c>
      <c r="CG5" s="415">
        <f t="shared" si="13"/>
        <v>14909</v>
      </c>
      <c r="CH5" s="420">
        <v>351715</v>
      </c>
      <c r="CI5" s="421">
        <f>SUM(CG5/CH5)</f>
        <v>4.2389434627468262E-2</v>
      </c>
      <c r="CJ5" s="422" t="s">
        <v>1653</v>
      </c>
    </row>
    <row r="6" spans="2:88">
      <c r="B6" s="413" t="s">
        <v>1659</v>
      </c>
      <c r="C6" s="414">
        <f>SUM(13+18+0)</f>
        <v>31</v>
      </c>
      <c r="D6" s="415">
        <f>SUM(1090+499+0)</f>
        <v>1589</v>
      </c>
      <c r="E6" s="415">
        <f t="shared" si="0"/>
        <v>1620</v>
      </c>
      <c r="G6" s="413" t="s">
        <v>1659</v>
      </c>
      <c r="H6" s="414">
        <f>SUM(17+39+0)</f>
        <v>56</v>
      </c>
      <c r="I6" s="415">
        <f>SUM(1163+539+0)</f>
        <v>1702</v>
      </c>
      <c r="J6" s="415">
        <f t="shared" si="1"/>
        <v>1758</v>
      </c>
      <c r="L6" s="413" t="s">
        <v>1659</v>
      </c>
      <c r="M6" s="416">
        <f>SUM(109+335+0)</f>
        <v>444</v>
      </c>
      <c r="N6" s="415">
        <f>SUM(1228+610+0)</f>
        <v>1838</v>
      </c>
      <c r="O6" s="415">
        <f t="shared" si="2"/>
        <v>2282</v>
      </c>
      <c r="Q6" s="417" t="s">
        <v>1659</v>
      </c>
      <c r="R6" s="418">
        <f>SUM(109+392+0)</f>
        <v>501</v>
      </c>
      <c r="S6" s="419">
        <f>SUM(1332+642+0)</f>
        <v>1974</v>
      </c>
      <c r="T6" s="419">
        <f t="shared" si="3"/>
        <v>2475</v>
      </c>
      <c r="V6" s="413" t="s">
        <v>1659</v>
      </c>
      <c r="W6" s="416">
        <f>SUM(110+444+0)</f>
        <v>554</v>
      </c>
      <c r="X6" s="415">
        <f>SUM(1400+682+0)</f>
        <v>2082</v>
      </c>
      <c r="Y6" s="415">
        <f t="shared" si="4"/>
        <v>2636</v>
      </c>
      <c r="AA6" s="413" t="s">
        <v>1659</v>
      </c>
      <c r="AB6" s="416">
        <f>SUM(115+630+0)</f>
        <v>745</v>
      </c>
      <c r="AC6" s="415">
        <f>SUM(1490+784+0)</f>
        <v>2274</v>
      </c>
      <c r="AD6" s="415">
        <f t="shared" si="5"/>
        <v>3019</v>
      </c>
      <c r="AF6" s="417" t="s">
        <v>1659</v>
      </c>
      <c r="AG6" s="418">
        <f>SUM(126+923+0)</f>
        <v>1049</v>
      </c>
      <c r="AH6" s="419">
        <f>SUM(1637+917+0)</f>
        <v>2554</v>
      </c>
      <c r="AI6" s="419">
        <f t="shared" si="6"/>
        <v>3603</v>
      </c>
      <c r="AK6" s="417" t="s">
        <v>1659</v>
      </c>
      <c r="AL6" s="418">
        <f>SUM(134+1157+0)</f>
        <v>1291</v>
      </c>
      <c r="AM6" s="419">
        <f>SUM(1942+1089+0)</f>
        <v>3031</v>
      </c>
      <c r="AN6" s="419">
        <f t="shared" si="7"/>
        <v>4322</v>
      </c>
      <c r="AP6" s="417" t="s">
        <v>1659</v>
      </c>
      <c r="AQ6" s="418">
        <f>SUM(180+1359+0)</f>
        <v>1539</v>
      </c>
      <c r="AR6" s="419">
        <f>SUM(2241+1332+0)</f>
        <v>3573</v>
      </c>
      <c r="AS6" s="419">
        <f t="shared" si="8"/>
        <v>5112</v>
      </c>
      <c r="AT6" s="420">
        <f>SUM(213850+30948)</f>
        <v>244798</v>
      </c>
      <c r="AU6" s="421">
        <f>SUM(AS6/AT6)</f>
        <v>2.0882523550029005E-2</v>
      </c>
      <c r="AW6" s="413" t="s">
        <v>1659</v>
      </c>
      <c r="AX6" s="416">
        <f>SUM(217+1535+0)</f>
        <v>1752</v>
      </c>
      <c r="AY6" s="415">
        <f>SUM(2599+1522+0)</f>
        <v>4121</v>
      </c>
      <c r="AZ6" s="415">
        <f t="shared" si="9"/>
        <v>5873</v>
      </c>
      <c r="BA6" s="420">
        <f>SUM(214146+30352)</f>
        <v>244498</v>
      </c>
      <c r="BB6" s="421">
        <f>SUM(AZ6/BA6)</f>
        <v>2.4020646385655507E-2</v>
      </c>
      <c r="BC6" s="422" t="s">
        <v>1660</v>
      </c>
      <c r="BF6" s="413" t="s">
        <v>1649</v>
      </c>
      <c r="BG6" s="416">
        <v>445</v>
      </c>
      <c r="BH6" s="415">
        <v>16410</v>
      </c>
      <c r="BI6" s="415">
        <f t="shared" si="10"/>
        <v>16855</v>
      </c>
      <c r="BJ6" s="420">
        <v>377964</v>
      </c>
      <c r="BK6" s="421">
        <f>SUM(BI6/BJ6)</f>
        <v>4.4594194156057192E-2</v>
      </c>
      <c r="BL6" s="422" t="s">
        <v>1640</v>
      </c>
      <c r="BN6" s="424" t="s">
        <v>1649</v>
      </c>
      <c r="BO6" s="425">
        <v>550</v>
      </c>
      <c r="BP6" s="426">
        <v>17578</v>
      </c>
      <c r="BQ6" s="426">
        <f t="shared" si="11"/>
        <v>18128</v>
      </c>
      <c r="BR6" s="427">
        <v>378586</v>
      </c>
      <c r="BS6" s="428">
        <f>SUM(BQ6/BR6)</f>
        <v>4.78834399581601E-2</v>
      </c>
      <c r="BT6" s="423" t="s">
        <v>1661</v>
      </c>
      <c r="BV6" s="413" t="s">
        <v>1649</v>
      </c>
      <c r="BW6" s="416">
        <v>705</v>
      </c>
      <c r="BX6" s="415">
        <v>18727</v>
      </c>
      <c r="BY6" s="415">
        <f t="shared" si="12"/>
        <v>19432</v>
      </c>
      <c r="BZ6" s="420">
        <v>379077</v>
      </c>
      <c r="CA6" s="421">
        <f>SUM(BY6/BZ6)</f>
        <v>5.1261353234303322E-2</v>
      </c>
      <c r="CB6" s="422" t="s">
        <v>1662</v>
      </c>
      <c r="CD6" s="413" t="s">
        <v>1649</v>
      </c>
      <c r="CE6" s="416">
        <v>2426</v>
      </c>
      <c r="CF6" s="415">
        <v>19999</v>
      </c>
      <c r="CG6" s="415">
        <f t="shared" si="13"/>
        <v>22425</v>
      </c>
      <c r="CH6" s="420">
        <v>378861</v>
      </c>
      <c r="CI6" s="421">
        <f>SUM(CG6/CH6)</f>
        <v>5.9190573851623685E-2</v>
      </c>
      <c r="CJ6" s="422" t="s">
        <v>1663</v>
      </c>
    </row>
    <row r="7" spans="2:88">
      <c r="B7" s="413" t="s">
        <v>1668</v>
      </c>
      <c r="C7" s="414">
        <f>SUM(0+0+0)</f>
        <v>0</v>
      </c>
      <c r="D7" s="415">
        <f>SUM(390+107+0)</f>
        <v>497</v>
      </c>
      <c r="E7" s="415">
        <f t="shared" si="0"/>
        <v>497</v>
      </c>
      <c r="G7" s="413" t="s">
        <v>1668</v>
      </c>
      <c r="H7" s="414">
        <v>1</v>
      </c>
      <c r="I7" s="415">
        <f>SUM(414+111+0)</f>
        <v>525</v>
      </c>
      <c r="J7" s="415">
        <f t="shared" si="1"/>
        <v>526</v>
      </c>
      <c r="L7" s="413" t="s">
        <v>1668</v>
      </c>
      <c r="M7" s="416">
        <f>SUM(38+28+0)</f>
        <v>66</v>
      </c>
      <c r="N7" s="415">
        <f>SUM(437+121+0)</f>
        <v>558</v>
      </c>
      <c r="O7" s="415">
        <f t="shared" si="2"/>
        <v>624</v>
      </c>
      <c r="Q7" s="417" t="s">
        <v>1668</v>
      </c>
      <c r="R7" s="418">
        <f>SUM(39+41+0)</f>
        <v>80</v>
      </c>
      <c r="S7" s="419">
        <f>SUM(460+134+0)</f>
        <v>594</v>
      </c>
      <c r="T7" s="419">
        <f t="shared" si="3"/>
        <v>674</v>
      </c>
      <c r="V7" s="413" t="s">
        <v>1668</v>
      </c>
      <c r="W7" s="416">
        <f>SUM(42+41+0)</f>
        <v>83</v>
      </c>
      <c r="X7" s="415">
        <f>SUM(476+144+0)</f>
        <v>620</v>
      </c>
      <c r="Y7" s="415">
        <f t="shared" si="4"/>
        <v>703</v>
      </c>
      <c r="AA7" s="413" t="s">
        <v>1668</v>
      </c>
      <c r="AB7" s="416">
        <f>SUM(46+55+0)</f>
        <v>101</v>
      </c>
      <c r="AC7" s="415">
        <f>SUM(499+162+0)</f>
        <v>661</v>
      </c>
      <c r="AD7" s="415">
        <f t="shared" si="5"/>
        <v>762</v>
      </c>
      <c r="AF7" s="417" t="s">
        <v>1668</v>
      </c>
      <c r="AG7" s="418">
        <f>SUM(49+70+0)</f>
        <v>119</v>
      </c>
      <c r="AH7" s="419">
        <f>SUM(552+182+0)</f>
        <v>734</v>
      </c>
      <c r="AI7" s="419">
        <f t="shared" si="6"/>
        <v>853</v>
      </c>
      <c r="AK7" s="417" t="s">
        <v>1668</v>
      </c>
      <c r="AL7" s="418">
        <f>SUM(54+86+0)</f>
        <v>140</v>
      </c>
      <c r="AM7" s="419">
        <f>SUM(666+221+0)</f>
        <v>887</v>
      </c>
      <c r="AN7" s="419">
        <f t="shared" si="7"/>
        <v>1027</v>
      </c>
      <c r="AP7" s="417" t="s">
        <v>1668</v>
      </c>
      <c r="AQ7" s="418">
        <f>SUM(70+98+0)</f>
        <v>168</v>
      </c>
      <c r="AR7" s="419">
        <f>SUM(821+253+0)</f>
        <v>1074</v>
      </c>
      <c r="AS7" s="419">
        <f t="shared" si="8"/>
        <v>1242</v>
      </c>
      <c r="AT7" s="420">
        <f>SUM(44125+6516)</f>
        <v>50641</v>
      </c>
      <c r="AU7" s="421">
        <f>SUM(AS7/AT7)</f>
        <v>2.4525582038269385E-2</v>
      </c>
      <c r="AW7" s="413" t="s">
        <v>1668</v>
      </c>
      <c r="AX7" s="416">
        <f>SUM(86+106+0)</f>
        <v>192</v>
      </c>
      <c r="AY7" s="415">
        <f>SUM(953+291+0)</f>
        <v>1244</v>
      </c>
      <c r="AZ7" s="415">
        <f t="shared" si="9"/>
        <v>1436</v>
      </c>
      <c r="BA7" s="420">
        <f>SUM(44266+6646)</f>
        <v>50912</v>
      </c>
      <c r="BB7" s="421">
        <f>SUM(AZ7/BA7)</f>
        <v>2.8205531112507856E-2</v>
      </c>
      <c r="BC7" s="422" t="s">
        <v>1650</v>
      </c>
      <c r="BF7" s="413" t="s">
        <v>1659</v>
      </c>
      <c r="BG7" s="416">
        <v>248</v>
      </c>
      <c r="BH7" s="415">
        <v>2905</v>
      </c>
      <c r="BI7" s="415">
        <f t="shared" si="10"/>
        <v>3153</v>
      </c>
      <c r="BJ7" s="420">
        <v>214149</v>
      </c>
      <c r="BK7" s="421">
        <f>SUM(BI7/BJ7)</f>
        <v>1.4723393525068995E-2</v>
      </c>
      <c r="BL7" s="422" t="s">
        <v>1640</v>
      </c>
      <c r="BN7" s="424" t="s">
        <v>1659</v>
      </c>
      <c r="BO7" s="425">
        <v>300</v>
      </c>
      <c r="BP7" s="426">
        <v>3220</v>
      </c>
      <c r="BQ7" s="426">
        <f t="shared" si="11"/>
        <v>3520</v>
      </c>
      <c r="BR7" s="427">
        <v>213930</v>
      </c>
      <c r="BS7" s="428">
        <f>SUM(BQ7/BR7)</f>
        <v>1.6453980273921375E-2</v>
      </c>
      <c r="BT7" s="423" t="s">
        <v>1669</v>
      </c>
      <c r="BV7" s="413" t="s">
        <v>1659</v>
      </c>
      <c r="BW7" s="416">
        <v>380</v>
      </c>
      <c r="BX7" s="415">
        <v>3534</v>
      </c>
      <c r="BY7" s="415">
        <f t="shared" si="12"/>
        <v>3914</v>
      </c>
      <c r="BZ7" s="420">
        <v>215486</v>
      </c>
      <c r="CA7" s="421">
        <f>SUM(BY7/BZ7)</f>
        <v>1.8163592994440474E-2</v>
      </c>
      <c r="CB7" s="422" t="s">
        <v>1670</v>
      </c>
      <c r="CD7" s="413" t="s">
        <v>1659</v>
      </c>
      <c r="CE7" s="416">
        <v>1426</v>
      </c>
      <c r="CF7" s="415">
        <v>3891</v>
      </c>
      <c r="CG7" s="415">
        <f t="shared" si="13"/>
        <v>5317</v>
      </c>
      <c r="CH7" s="420">
        <v>216185</v>
      </c>
      <c r="CI7" s="421">
        <f>SUM(CG7/CH7)</f>
        <v>2.4594675856326756E-2</v>
      </c>
      <c r="CJ7" s="422" t="s">
        <v>1671</v>
      </c>
    </row>
    <row r="8" spans="2:88">
      <c r="B8" s="413" t="s">
        <v>1677</v>
      </c>
      <c r="C8" s="414">
        <f>SUM(166+0+0)</f>
        <v>166</v>
      </c>
      <c r="D8" s="415">
        <f>SUM(3523+0+0)</f>
        <v>3523</v>
      </c>
      <c r="E8" s="415">
        <f t="shared" si="0"/>
        <v>3689</v>
      </c>
      <c r="G8" s="413" t="s">
        <v>1677</v>
      </c>
      <c r="H8" s="414">
        <f>SUM(239+0+0)</f>
        <v>239</v>
      </c>
      <c r="I8" s="415">
        <f>SUM(3765+0+0)</f>
        <v>3765</v>
      </c>
      <c r="J8" s="415">
        <f t="shared" si="1"/>
        <v>4004</v>
      </c>
      <c r="L8" s="413" t="s">
        <v>1677</v>
      </c>
      <c r="M8" s="416">
        <f>SUM(1229+0+0)</f>
        <v>1229</v>
      </c>
      <c r="N8" s="415">
        <f>SUM(4422+0+0)</f>
        <v>4422</v>
      </c>
      <c r="O8" s="415">
        <f t="shared" si="2"/>
        <v>5651</v>
      </c>
      <c r="Q8" s="417" t="s">
        <v>1677</v>
      </c>
      <c r="R8" s="418">
        <f>SUM(1441+0+0)</f>
        <v>1441</v>
      </c>
      <c r="S8" s="419">
        <f>SUM(4808+0+0)</f>
        <v>4808</v>
      </c>
      <c r="T8" s="419">
        <f t="shared" si="3"/>
        <v>6249</v>
      </c>
      <c r="V8" s="413" t="s">
        <v>1677</v>
      </c>
      <c r="W8" s="416">
        <f>SUM(1622+0+0)</f>
        <v>1622</v>
      </c>
      <c r="X8" s="415">
        <f>SUM(5176+0+0)</f>
        <v>5176</v>
      </c>
      <c r="Y8" s="415">
        <f t="shared" si="4"/>
        <v>6798</v>
      </c>
      <c r="AA8" s="413" t="s">
        <v>1677</v>
      </c>
      <c r="AB8" s="416">
        <f>SUM(2181+0+0)</f>
        <v>2181</v>
      </c>
      <c r="AC8" s="415">
        <f>SUM(6191+0+0)</f>
        <v>6191</v>
      </c>
      <c r="AD8" s="415">
        <f t="shared" si="5"/>
        <v>8372</v>
      </c>
      <c r="AF8" s="417" t="s">
        <v>1677</v>
      </c>
      <c r="AG8" s="418">
        <f>SUM(2831+0+0)</f>
        <v>2831</v>
      </c>
      <c r="AH8" s="419">
        <f>SUM(7405+0+0)</f>
        <v>7405</v>
      </c>
      <c r="AI8" s="419">
        <f t="shared" si="6"/>
        <v>10236</v>
      </c>
      <c r="AK8" s="417" t="s">
        <v>1677</v>
      </c>
      <c r="AL8" s="418">
        <f>SUM(3190+0+0)</f>
        <v>3190</v>
      </c>
      <c r="AM8" s="419">
        <f>SUM(8701+0+0)</f>
        <v>8701</v>
      </c>
      <c r="AN8" s="419">
        <f t="shared" si="7"/>
        <v>11891</v>
      </c>
      <c r="AP8" s="417" t="s">
        <v>1677</v>
      </c>
      <c r="AQ8" s="418">
        <f>SUM(3652+0+0)</f>
        <v>3652</v>
      </c>
      <c r="AR8" s="419">
        <f>SUM(10188+0+0)</f>
        <v>10188</v>
      </c>
      <c r="AS8" s="419">
        <f t="shared" si="8"/>
        <v>13840</v>
      </c>
      <c r="AW8" s="413" t="s">
        <v>1677</v>
      </c>
      <c r="AX8" s="416">
        <f>SUM(4027+0+0)</f>
        <v>4027</v>
      </c>
      <c r="AY8" s="415">
        <f>SUM(11745+0+0)</f>
        <v>11745</v>
      </c>
      <c r="AZ8" s="415">
        <f t="shared" si="9"/>
        <v>15772</v>
      </c>
      <c r="BA8" s="691"/>
      <c r="BB8" s="692"/>
      <c r="BC8" s="693"/>
      <c r="BF8" s="413" t="s">
        <v>1668</v>
      </c>
      <c r="BG8" s="416">
        <v>100</v>
      </c>
      <c r="BH8" s="415">
        <v>1098</v>
      </c>
      <c r="BI8" s="415">
        <f t="shared" si="10"/>
        <v>1198</v>
      </c>
      <c r="BJ8" s="420">
        <v>44435</v>
      </c>
      <c r="BK8" s="421">
        <f>SUM(BI8/BJ8)</f>
        <v>2.6960729154945427E-2</v>
      </c>
      <c r="BL8" s="422" t="s">
        <v>1640</v>
      </c>
      <c r="BN8" s="424" t="s">
        <v>1668</v>
      </c>
      <c r="BO8" s="425">
        <v>118</v>
      </c>
      <c r="BP8" s="426">
        <v>1216</v>
      </c>
      <c r="BQ8" s="426">
        <f t="shared" si="11"/>
        <v>1334</v>
      </c>
      <c r="BR8" s="427">
        <v>44403</v>
      </c>
      <c r="BS8" s="428">
        <f>SUM(BQ8/BR8)</f>
        <v>3.0043015111591558E-2</v>
      </c>
      <c r="BT8" s="423" t="s">
        <v>1678</v>
      </c>
      <c r="BV8" s="413" t="s">
        <v>1668</v>
      </c>
      <c r="BW8" s="416">
        <v>151</v>
      </c>
      <c r="BX8" s="415">
        <v>1314</v>
      </c>
      <c r="BY8" s="415">
        <f t="shared" si="12"/>
        <v>1465</v>
      </c>
      <c r="BZ8" s="420">
        <v>44577</v>
      </c>
      <c r="CA8" s="421">
        <f>SUM(BY8/BZ8)</f>
        <v>3.2864481683379319E-2</v>
      </c>
      <c r="CB8" s="422" t="s">
        <v>1679</v>
      </c>
      <c r="CD8" s="413" t="s">
        <v>1668</v>
      </c>
      <c r="CE8" s="416">
        <v>376</v>
      </c>
      <c r="CF8" s="415">
        <v>1420</v>
      </c>
      <c r="CG8" s="415">
        <f t="shared" si="13"/>
        <v>1796</v>
      </c>
      <c r="CH8" s="420">
        <v>44829</v>
      </c>
      <c r="CI8" s="421">
        <f>SUM(CG8/CH8)</f>
        <v>4.0063351848134018E-2</v>
      </c>
      <c r="CJ8" s="422" t="s">
        <v>1680</v>
      </c>
    </row>
    <row r="9" spans="2:88">
      <c r="B9" s="413" t="s">
        <v>1686</v>
      </c>
      <c r="C9" s="429"/>
      <c r="D9" s="430"/>
      <c r="E9" s="431">
        <f>SUM(E3:E8)</f>
        <v>39025</v>
      </c>
      <c r="G9" s="413" t="s">
        <v>1687</v>
      </c>
      <c r="H9" s="414">
        <v>30</v>
      </c>
      <c r="I9" s="415">
        <v>926</v>
      </c>
      <c r="J9" s="415">
        <f t="shared" si="1"/>
        <v>956</v>
      </c>
      <c r="L9" s="413" t="s">
        <v>1687</v>
      </c>
      <c r="M9" s="416">
        <v>278</v>
      </c>
      <c r="N9" s="415">
        <v>1047</v>
      </c>
      <c r="O9" s="415">
        <f t="shared" si="2"/>
        <v>1325</v>
      </c>
      <c r="Q9" s="417" t="s">
        <v>1687</v>
      </c>
      <c r="R9" s="418">
        <v>418</v>
      </c>
      <c r="S9" s="419">
        <v>1201</v>
      </c>
      <c r="T9" s="419">
        <f t="shared" si="3"/>
        <v>1619</v>
      </c>
      <c r="V9" s="413" t="s">
        <v>1687</v>
      </c>
      <c r="W9" s="416">
        <f>SUM(544+0+0)</f>
        <v>544</v>
      </c>
      <c r="X9" s="415">
        <f>SUM(1316+0+0)</f>
        <v>1316</v>
      </c>
      <c r="Y9" s="415">
        <f t="shared" si="4"/>
        <v>1860</v>
      </c>
      <c r="AA9" s="413" t="s">
        <v>1687</v>
      </c>
      <c r="AB9" s="416">
        <f>SUM(836+0+0)</f>
        <v>836</v>
      </c>
      <c r="AC9" s="415">
        <f>SUM(1471+0+0)</f>
        <v>1471</v>
      </c>
      <c r="AD9" s="415">
        <f t="shared" si="5"/>
        <v>2307</v>
      </c>
      <c r="AF9" s="417" t="s">
        <v>1687</v>
      </c>
      <c r="AG9" s="418">
        <f>SUM(1164+0+0)</f>
        <v>1164</v>
      </c>
      <c r="AH9" s="419">
        <f>SUM(1658+0+0)</f>
        <v>1658</v>
      </c>
      <c r="AI9" s="419">
        <f t="shared" si="6"/>
        <v>2822</v>
      </c>
      <c r="AK9" s="417" t="s">
        <v>1687</v>
      </c>
      <c r="AL9" s="418">
        <f>SUM(1461+0+0)</f>
        <v>1461</v>
      </c>
      <c r="AM9" s="419">
        <f>SUM(1887+0+0)</f>
        <v>1887</v>
      </c>
      <c r="AN9" s="419">
        <f t="shared" si="7"/>
        <v>3348</v>
      </c>
      <c r="AP9" s="417" t="s">
        <v>1687</v>
      </c>
      <c r="AQ9" s="418">
        <f>SUM(1762+0+0)</f>
        <v>1762</v>
      </c>
      <c r="AR9" s="419">
        <v>2291</v>
      </c>
      <c r="AS9" s="419">
        <f t="shared" si="8"/>
        <v>4053</v>
      </c>
      <c r="AW9" s="413" t="s">
        <v>1687</v>
      </c>
      <c r="AX9" s="416">
        <f>SUM(2067+0+0)</f>
        <v>2067</v>
      </c>
      <c r="AY9" s="415">
        <f>SUM(2613+0+0)</f>
        <v>2613</v>
      </c>
      <c r="AZ9" s="415">
        <f t="shared" si="9"/>
        <v>4680</v>
      </c>
      <c r="BA9" s="694"/>
      <c r="BB9" s="575"/>
      <c r="BC9" s="576"/>
      <c r="BF9" s="413" t="s">
        <v>1677</v>
      </c>
      <c r="BG9" s="416">
        <v>4365</v>
      </c>
      <c r="BH9" s="415">
        <v>13285</v>
      </c>
      <c r="BI9" s="415">
        <f t="shared" si="10"/>
        <v>17650</v>
      </c>
      <c r="BJ9" s="695"/>
      <c r="BK9" s="696"/>
      <c r="BL9" s="697"/>
      <c r="BN9" s="424" t="s">
        <v>1677</v>
      </c>
      <c r="BO9" s="425">
        <v>4842</v>
      </c>
      <c r="BP9" s="426">
        <v>14910</v>
      </c>
      <c r="BQ9" s="426">
        <f t="shared" si="11"/>
        <v>19752</v>
      </c>
      <c r="BR9" s="695"/>
      <c r="BS9" s="699"/>
      <c r="BT9" s="700"/>
      <c r="BV9" s="413" t="s">
        <v>1677</v>
      </c>
      <c r="BW9" s="416">
        <v>5423</v>
      </c>
      <c r="BX9" s="415">
        <v>16639</v>
      </c>
      <c r="BY9" s="415">
        <f t="shared" si="12"/>
        <v>22062</v>
      </c>
      <c r="BZ9" s="695"/>
      <c r="CA9" s="696"/>
      <c r="CB9" s="697"/>
      <c r="CD9" s="413" t="s">
        <v>1688</v>
      </c>
      <c r="CE9" s="416">
        <v>36642</v>
      </c>
      <c r="CF9" s="415">
        <v>20054</v>
      </c>
      <c r="CG9" s="415">
        <f t="shared" si="13"/>
        <v>56696</v>
      </c>
      <c r="CH9" s="695"/>
      <c r="CI9" s="696"/>
      <c r="CJ9" s="697"/>
    </row>
    <row r="10" spans="2:88" ht="15" thickBot="1">
      <c r="B10" s="432"/>
      <c r="C10" s="433"/>
      <c r="D10" s="434"/>
      <c r="E10" s="432"/>
      <c r="G10" s="413" t="s">
        <v>1686</v>
      </c>
      <c r="H10" s="429"/>
      <c r="I10" s="430"/>
      <c r="J10" s="431">
        <f>SUM(J3:J8)</f>
        <v>41197</v>
      </c>
      <c r="L10" s="413" t="s">
        <v>1686</v>
      </c>
      <c r="M10" s="425"/>
      <c r="N10" s="430"/>
      <c r="O10" s="431">
        <f>SUM(O3:O9)</f>
        <v>52436</v>
      </c>
      <c r="Q10" s="417" t="s">
        <v>1686</v>
      </c>
      <c r="R10" s="435"/>
      <c r="S10" s="436"/>
      <c r="T10" s="431">
        <f>SUM(T3:T9)</f>
        <v>56167</v>
      </c>
      <c r="V10" s="413" t="s">
        <v>1686</v>
      </c>
      <c r="W10" s="425"/>
      <c r="X10" s="430"/>
      <c r="Y10" s="431">
        <f>SUM(Y3:Y9)</f>
        <v>59446</v>
      </c>
      <c r="AA10" s="413" t="s">
        <v>1686</v>
      </c>
      <c r="AB10" s="425"/>
      <c r="AC10" s="430"/>
      <c r="AD10" s="431">
        <f>SUM(AD3:AD9)</f>
        <v>65889</v>
      </c>
      <c r="AF10" s="709" t="s">
        <v>1686</v>
      </c>
      <c r="AG10" s="710"/>
      <c r="AH10" s="710"/>
      <c r="AI10" s="431">
        <f>SUM(AI3:AI9)</f>
        <v>74606</v>
      </c>
      <c r="AK10" s="711" t="s">
        <v>1686</v>
      </c>
      <c r="AL10" s="712"/>
      <c r="AM10" s="713"/>
      <c r="AN10" s="431">
        <f>SUM(AN3:AN9)</f>
        <v>83979</v>
      </c>
      <c r="AP10" s="709" t="s">
        <v>1686</v>
      </c>
      <c r="AQ10" s="710"/>
      <c r="AR10" s="710"/>
      <c r="AS10" s="431">
        <f>SUM(AS3:AS9)</f>
        <v>95585</v>
      </c>
      <c r="AW10" s="714" t="s">
        <v>1686</v>
      </c>
      <c r="AX10" s="710"/>
      <c r="AY10" s="710"/>
      <c r="AZ10" s="431">
        <f>SUM(AZ3:AZ9)</f>
        <v>107343</v>
      </c>
      <c r="BA10" s="694"/>
      <c r="BB10" s="575"/>
      <c r="BC10" s="576"/>
      <c r="BF10" s="413" t="s">
        <v>1687</v>
      </c>
      <c r="BG10" s="416">
        <v>2466</v>
      </c>
      <c r="BH10" s="415">
        <v>3203</v>
      </c>
      <c r="BI10" s="415">
        <f t="shared" si="10"/>
        <v>5669</v>
      </c>
      <c r="BJ10" s="698"/>
      <c r="BK10" s="581"/>
      <c r="BL10" s="582"/>
      <c r="BN10" s="424" t="s">
        <v>1687</v>
      </c>
      <c r="BO10" s="425">
        <v>2884</v>
      </c>
      <c r="BP10" s="426">
        <v>3735</v>
      </c>
      <c r="BQ10" s="426">
        <f t="shared" si="11"/>
        <v>6619</v>
      </c>
      <c r="BR10" s="701"/>
      <c r="BS10" s="586"/>
      <c r="BT10" s="587"/>
      <c r="BV10" s="413" t="s">
        <v>1687</v>
      </c>
      <c r="BW10" s="416">
        <v>3451</v>
      </c>
      <c r="BX10" s="415">
        <v>4461</v>
      </c>
      <c r="BY10" s="415">
        <f t="shared" si="12"/>
        <v>7912</v>
      </c>
      <c r="BZ10" s="698"/>
      <c r="CA10" s="581"/>
      <c r="CB10" s="582"/>
      <c r="CD10" s="559" t="s">
        <v>1686</v>
      </c>
      <c r="CE10" s="560"/>
      <c r="CF10" s="560"/>
      <c r="CG10" s="121">
        <f>SUM(CG4:CG9)</f>
        <v>127302</v>
      </c>
      <c r="CH10" s="568"/>
      <c r="CI10" s="569"/>
      <c r="CJ10" s="570"/>
    </row>
    <row r="11" spans="2:88" ht="12.75" customHeight="1" thickTop="1" thickBot="1">
      <c r="B11" s="432"/>
      <c r="C11" s="433"/>
      <c r="D11" s="434"/>
      <c r="E11" s="432"/>
      <c r="G11" s="432"/>
      <c r="H11" s="433"/>
      <c r="I11" s="434"/>
      <c r="J11" s="432"/>
      <c r="L11" s="432"/>
      <c r="M11" s="437"/>
      <c r="N11" s="434"/>
      <c r="O11" s="432"/>
      <c r="Q11" s="438"/>
      <c r="R11" s="439"/>
      <c r="S11" s="440"/>
      <c r="T11" s="438"/>
      <c r="V11" s="432"/>
      <c r="W11" s="437"/>
      <c r="X11" s="434"/>
      <c r="Y11" s="432"/>
      <c r="AA11" s="432"/>
      <c r="AB11" s="437"/>
      <c r="AC11" s="434"/>
      <c r="AD11" s="432"/>
      <c r="AF11" s="441"/>
      <c r="AG11" s="442"/>
      <c r="AH11" s="442"/>
      <c r="AI11" s="443"/>
      <c r="AK11" s="715"/>
      <c r="AL11" s="716"/>
      <c r="AM11" s="716"/>
      <c r="AN11" s="717"/>
      <c r="AP11" s="715"/>
      <c r="AQ11" s="716"/>
      <c r="AR11" s="716"/>
      <c r="AS11" s="717"/>
      <c r="AW11" s="718"/>
      <c r="AX11" s="716"/>
      <c r="AY11" s="716"/>
      <c r="AZ11" s="717"/>
      <c r="BA11" s="694"/>
      <c r="BB11" s="575"/>
      <c r="BC11" s="576"/>
      <c r="BF11" s="559" t="s">
        <v>1686</v>
      </c>
      <c r="BG11" s="560"/>
      <c r="BH11" s="560"/>
      <c r="BI11" s="121">
        <f>SUM(BI4:BI10)</f>
        <v>72059</v>
      </c>
      <c r="BJ11" s="568"/>
      <c r="BK11" s="569"/>
      <c r="BL11" s="570"/>
      <c r="BN11" s="604" t="s">
        <v>1686</v>
      </c>
      <c r="BO11" s="605"/>
      <c r="BP11" s="605"/>
      <c r="BQ11" s="121">
        <f>SUM(BQ4:BQ10)</f>
        <v>79528</v>
      </c>
      <c r="BR11" s="588"/>
      <c r="BS11" s="589"/>
      <c r="BT11" s="590"/>
      <c r="BV11" s="559" t="s">
        <v>1686</v>
      </c>
      <c r="BW11" s="560"/>
      <c r="BX11" s="560"/>
      <c r="BY11" s="121">
        <f>SUM(BY4:BY10)</f>
        <v>87794</v>
      </c>
      <c r="BZ11" s="568"/>
      <c r="CA11" s="569"/>
      <c r="CB11" s="570"/>
      <c r="CD11" s="561" t="s">
        <v>1690</v>
      </c>
      <c r="CE11" s="562"/>
      <c r="CF11" s="562"/>
      <c r="CG11" s="562"/>
      <c r="CH11" s="562"/>
      <c r="CI11" s="562"/>
      <c r="CJ11" s="563"/>
    </row>
    <row r="12" spans="2:88" ht="15" thickTop="1">
      <c r="B12" s="444" t="s">
        <v>1691</v>
      </c>
      <c r="C12" s="414"/>
      <c r="D12" s="413"/>
      <c r="E12" s="413"/>
      <c r="G12" s="444" t="s">
        <v>1691</v>
      </c>
      <c r="H12" s="414"/>
      <c r="I12" s="413"/>
      <c r="J12" s="413"/>
      <c r="L12" s="444" t="s">
        <v>1691</v>
      </c>
      <c r="M12" s="416"/>
      <c r="N12" s="413"/>
      <c r="O12" s="413"/>
      <c r="Q12" s="445" t="s">
        <v>1691</v>
      </c>
      <c r="R12" s="418"/>
      <c r="S12" s="417"/>
      <c r="T12" s="417"/>
      <c r="V12" s="444" t="s">
        <v>1691</v>
      </c>
      <c r="W12" s="416"/>
      <c r="X12" s="413"/>
      <c r="Y12" s="413"/>
      <c r="AA12" s="444" t="s">
        <v>1691</v>
      </c>
      <c r="AB12" s="416"/>
      <c r="AC12" s="413"/>
      <c r="AD12" s="413"/>
      <c r="AF12" s="446" t="s">
        <v>1691</v>
      </c>
      <c r="AG12" s="447"/>
      <c r="AH12" s="447"/>
      <c r="AI12" s="447"/>
      <c r="AK12" s="704" t="s">
        <v>1691</v>
      </c>
      <c r="AL12" s="705"/>
      <c r="AM12" s="705"/>
      <c r="AN12" s="706"/>
      <c r="AP12" s="707" t="s">
        <v>1691</v>
      </c>
      <c r="AQ12" s="708"/>
      <c r="AR12" s="708"/>
      <c r="AS12" s="708"/>
      <c r="AW12" s="707" t="s">
        <v>1691</v>
      </c>
      <c r="AX12" s="708"/>
      <c r="AY12" s="708"/>
      <c r="AZ12" s="708"/>
      <c r="BA12" s="694"/>
      <c r="BB12" s="575"/>
      <c r="BC12" s="576"/>
      <c r="BF12" s="561" t="s">
        <v>1690</v>
      </c>
      <c r="BG12" s="562"/>
      <c r="BH12" s="562"/>
      <c r="BI12" s="562"/>
      <c r="BJ12" s="562"/>
      <c r="BK12" s="562"/>
      <c r="BL12" s="563"/>
      <c r="BN12" s="561" t="s">
        <v>1692</v>
      </c>
      <c r="BO12" s="562"/>
      <c r="BP12" s="562"/>
      <c r="BQ12" s="562"/>
      <c r="BR12" s="562"/>
      <c r="BS12" s="562"/>
      <c r="BT12" s="564"/>
      <c r="BV12" s="561" t="s">
        <v>1690</v>
      </c>
      <c r="BW12" s="562"/>
      <c r="BX12" s="562"/>
      <c r="BY12" s="562"/>
      <c r="BZ12" s="562"/>
      <c r="CA12" s="562"/>
      <c r="CB12" s="563"/>
      <c r="CD12" s="92" t="s">
        <v>1635</v>
      </c>
      <c r="CE12" s="93">
        <v>28457</v>
      </c>
      <c r="CF12" s="94">
        <v>14181</v>
      </c>
      <c r="CG12" s="94">
        <f>SUM(CE12:CF12)</f>
        <v>42638</v>
      </c>
      <c r="CH12" s="129">
        <f>SUM(154831+85257+33940)</f>
        <v>274028</v>
      </c>
      <c r="CI12" s="96">
        <f>SUM(CG12/CH12)</f>
        <v>0.15559723823842819</v>
      </c>
      <c r="CJ12" s="422" t="s">
        <v>1693</v>
      </c>
    </row>
    <row r="13" spans="2:88">
      <c r="B13" s="413" t="s">
        <v>1635</v>
      </c>
      <c r="C13" s="414">
        <v>0</v>
      </c>
      <c r="D13" s="415">
        <v>22828</v>
      </c>
      <c r="E13" s="415">
        <f t="shared" ref="E13:E18" si="14">SUM(C13:D13)</f>
        <v>22828</v>
      </c>
      <c r="G13" s="413" t="s">
        <v>1635</v>
      </c>
      <c r="H13" s="414">
        <v>0</v>
      </c>
      <c r="I13" s="415">
        <v>23464</v>
      </c>
      <c r="J13" s="415">
        <f t="shared" ref="J13:J19" si="15">SUM(H13:I13)</f>
        <v>23464</v>
      </c>
      <c r="L13" s="413" t="s">
        <v>1635</v>
      </c>
      <c r="M13" s="416">
        <v>0</v>
      </c>
      <c r="N13" s="415">
        <v>24061</v>
      </c>
      <c r="O13" s="415">
        <f t="shared" ref="O13:O19" si="16">SUM(M13:N13)</f>
        <v>24061</v>
      </c>
      <c r="Q13" s="417" t="s">
        <v>1635</v>
      </c>
      <c r="R13" s="418">
        <v>0</v>
      </c>
      <c r="S13" s="419">
        <v>24513</v>
      </c>
      <c r="T13" s="419">
        <f t="shared" ref="T13:T19" si="17">SUM(R13:S13)</f>
        <v>24513</v>
      </c>
      <c r="V13" s="413" t="s">
        <v>1635</v>
      </c>
      <c r="W13" s="416">
        <v>0</v>
      </c>
      <c r="X13" s="415">
        <v>24867</v>
      </c>
      <c r="Y13" s="415">
        <f t="shared" ref="Y13:Y19" si="18">SUM(W13:X13)</f>
        <v>24867</v>
      </c>
      <c r="AA13" s="413" t="s">
        <v>1635</v>
      </c>
      <c r="AB13" s="416">
        <v>0</v>
      </c>
      <c r="AC13" s="415">
        <v>25209</v>
      </c>
      <c r="AD13" s="415">
        <f t="shared" ref="AD13:AD19" si="19">SUM(AB13:AC13)</f>
        <v>25209</v>
      </c>
      <c r="AF13" s="417" t="s">
        <v>1635</v>
      </c>
      <c r="AG13" s="418">
        <v>0</v>
      </c>
      <c r="AH13" s="419">
        <v>25676</v>
      </c>
      <c r="AI13" s="419">
        <f t="shared" ref="AI13:AI19" si="20">SUM(AG13:AH13)</f>
        <v>25676</v>
      </c>
      <c r="AK13" s="417" t="s">
        <v>1635</v>
      </c>
      <c r="AL13" s="418">
        <v>0</v>
      </c>
      <c r="AM13" s="419">
        <v>26124</v>
      </c>
      <c r="AN13" s="419">
        <f t="shared" ref="AN13:AN19" si="21">SUM(AL13:AM13)</f>
        <v>26124</v>
      </c>
      <c r="AP13" s="417" t="s">
        <v>1635</v>
      </c>
      <c r="AQ13" s="418">
        <v>0</v>
      </c>
      <c r="AR13" s="419">
        <v>26687</v>
      </c>
      <c r="AS13" s="419">
        <f t="shared" ref="AS13:AS19" si="22">SUM(AQ13:AR13)</f>
        <v>26687</v>
      </c>
      <c r="AW13" s="413" t="s">
        <v>1635</v>
      </c>
      <c r="AX13" s="416">
        <v>0</v>
      </c>
      <c r="AY13" s="415">
        <v>27204</v>
      </c>
      <c r="AZ13" s="415">
        <f t="shared" ref="AZ13:AZ19" si="23">SUM(AX13:AY13)</f>
        <v>27204</v>
      </c>
      <c r="BA13" s="694"/>
      <c r="BB13" s="575"/>
      <c r="BC13" s="576"/>
      <c r="BF13" s="92" t="s">
        <v>1635</v>
      </c>
      <c r="BG13" s="93">
        <v>3938</v>
      </c>
      <c r="BH13" s="94">
        <v>10139</v>
      </c>
      <c r="BI13" s="94">
        <f>SUM(BG13:BH13)</f>
        <v>14077</v>
      </c>
      <c r="BJ13" s="129">
        <f>SUM(157537+82102+33867)</f>
        <v>273506</v>
      </c>
      <c r="BK13" s="96">
        <f>SUM(BI13/BJ13)</f>
        <v>5.1468706353791138E-2</v>
      </c>
      <c r="BL13" s="422" t="s">
        <v>1640</v>
      </c>
      <c r="BN13" s="98" t="s">
        <v>1635</v>
      </c>
      <c r="BO13" s="99">
        <v>4418</v>
      </c>
      <c r="BP13" s="100">
        <v>11392</v>
      </c>
      <c r="BQ13" s="100">
        <f>SUM(BO13:BP13)</f>
        <v>15810</v>
      </c>
      <c r="BR13" s="130">
        <f>SUM(157820+82393+33875)</f>
        <v>274088</v>
      </c>
      <c r="BS13" s="102">
        <f>SUM(BQ13/BR13)</f>
        <v>5.7682204255567554E-2</v>
      </c>
      <c r="BT13" s="423" t="s">
        <v>1699</v>
      </c>
      <c r="BV13" s="92" t="s">
        <v>1635</v>
      </c>
      <c r="BW13" s="93">
        <v>5205</v>
      </c>
      <c r="BX13" s="94">
        <v>12581</v>
      </c>
      <c r="BY13" s="94">
        <f>SUM(BW13:BX13)</f>
        <v>17786</v>
      </c>
      <c r="BZ13" s="129">
        <f>SUM(155731+84955+33958)</f>
        <v>274644</v>
      </c>
      <c r="CA13" s="96">
        <f>SUM(BY13/BZ13)</f>
        <v>6.4760198657170739E-2</v>
      </c>
      <c r="CB13" s="422" t="s">
        <v>1700</v>
      </c>
      <c r="CD13" s="413" t="s">
        <v>1638</v>
      </c>
      <c r="CE13" s="416">
        <v>9129</v>
      </c>
      <c r="CF13" s="415">
        <v>6461</v>
      </c>
      <c r="CG13" s="415">
        <f>SUM(CE13:CF13)</f>
        <v>15590</v>
      </c>
      <c r="CH13" s="129">
        <f>SUM(47452+52692+17642)</f>
        <v>117786</v>
      </c>
      <c r="CI13" s="421">
        <f>SUM(CG13/CH13)</f>
        <v>0.132358684393731</v>
      </c>
      <c r="CJ13" s="422" t="s">
        <v>1701</v>
      </c>
    </row>
    <row r="14" spans="2:88">
      <c r="B14" s="413" t="s">
        <v>1638</v>
      </c>
      <c r="C14" s="414">
        <v>0</v>
      </c>
      <c r="D14" s="415">
        <v>15662</v>
      </c>
      <c r="E14" s="415">
        <f t="shared" si="14"/>
        <v>15662</v>
      </c>
      <c r="G14" s="413" t="s">
        <v>1638</v>
      </c>
      <c r="H14" s="414">
        <v>0</v>
      </c>
      <c r="I14" s="415">
        <v>16071</v>
      </c>
      <c r="J14" s="415">
        <f t="shared" si="15"/>
        <v>16071</v>
      </c>
      <c r="L14" s="413" t="s">
        <v>1638</v>
      </c>
      <c r="M14" s="416">
        <v>0</v>
      </c>
      <c r="N14" s="415">
        <v>16428</v>
      </c>
      <c r="O14" s="415">
        <f t="shared" si="16"/>
        <v>16428</v>
      </c>
      <c r="Q14" s="417" t="s">
        <v>1638</v>
      </c>
      <c r="R14" s="418">
        <v>0</v>
      </c>
      <c r="S14" s="419">
        <v>16707</v>
      </c>
      <c r="T14" s="419">
        <f t="shared" si="17"/>
        <v>16707</v>
      </c>
      <c r="V14" s="413" t="s">
        <v>1638</v>
      </c>
      <c r="W14" s="416">
        <v>0</v>
      </c>
      <c r="X14" s="415">
        <v>16898</v>
      </c>
      <c r="Y14" s="415">
        <f t="shared" si="18"/>
        <v>16898</v>
      </c>
      <c r="AA14" s="413" t="s">
        <v>1638</v>
      </c>
      <c r="AB14" s="416">
        <v>0</v>
      </c>
      <c r="AC14" s="415">
        <v>17125</v>
      </c>
      <c r="AD14" s="415">
        <f t="shared" si="19"/>
        <v>17125</v>
      </c>
      <c r="AF14" s="417" t="s">
        <v>1638</v>
      </c>
      <c r="AG14" s="418">
        <v>0</v>
      </c>
      <c r="AH14" s="419">
        <v>17434</v>
      </c>
      <c r="AI14" s="419">
        <f t="shared" si="20"/>
        <v>17434</v>
      </c>
      <c r="AK14" s="417" t="s">
        <v>1638</v>
      </c>
      <c r="AL14" s="418">
        <v>0</v>
      </c>
      <c r="AM14" s="419">
        <v>17726</v>
      </c>
      <c r="AN14" s="419">
        <f t="shared" si="21"/>
        <v>17726</v>
      </c>
      <c r="AP14" s="417" t="s">
        <v>1638</v>
      </c>
      <c r="AQ14" s="418">
        <v>0</v>
      </c>
      <c r="AR14" s="419">
        <v>18088</v>
      </c>
      <c r="AS14" s="419">
        <f t="shared" si="22"/>
        <v>18088</v>
      </c>
      <c r="AW14" s="413" t="s">
        <v>1638</v>
      </c>
      <c r="AX14" s="416">
        <v>0</v>
      </c>
      <c r="AY14" s="415">
        <v>18482</v>
      </c>
      <c r="AZ14" s="415">
        <f t="shared" si="23"/>
        <v>18482</v>
      </c>
      <c r="BA14" s="694"/>
      <c r="BB14" s="575"/>
      <c r="BC14" s="576"/>
      <c r="BF14" s="413" t="s">
        <v>1638</v>
      </c>
      <c r="BG14" s="416">
        <v>1573</v>
      </c>
      <c r="BH14" s="415">
        <v>4420</v>
      </c>
      <c r="BI14" s="415">
        <f>SUM(BG14:BH14)</f>
        <v>5993</v>
      </c>
      <c r="BJ14" s="129">
        <f>SUM(46551+54072+17841)</f>
        <v>118464</v>
      </c>
      <c r="BK14" s="421">
        <f>SUM(BI14/BJ14)</f>
        <v>5.0589208535926529E-2</v>
      </c>
      <c r="BL14" s="422" t="s">
        <v>1640</v>
      </c>
      <c r="BN14" s="424" t="s">
        <v>1638</v>
      </c>
      <c r="BO14" s="425">
        <v>1779</v>
      </c>
      <c r="BP14" s="426">
        <v>5072</v>
      </c>
      <c r="BQ14" s="426">
        <f>SUM(BO14:BP14)</f>
        <v>6851</v>
      </c>
      <c r="BR14" s="130">
        <f>SUM(46750+53246+17752)</f>
        <v>117748</v>
      </c>
      <c r="BS14" s="428">
        <f>SUM(BQ14/BR14)</f>
        <v>5.8183578489655878E-2</v>
      </c>
      <c r="BT14" s="423" t="s">
        <v>1707</v>
      </c>
      <c r="BV14" s="413" t="s">
        <v>1638</v>
      </c>
      <c r="BW14" s="416">
        <v>2153</v>
      </c>
      <c r="BX14" s="415">
        <v>5718</v>
      </c>
      <c r="BY14" s="415">
        <f>SUM(BW14:BX14)</f>
        <v>7871</v>
      </c>
      <c r="BZ14" s="129">
        <f>SUM(46953+52879+17686)</f>
        <v>117518</v>
      </c>
      <c r="CA14" s="421">
        <f>SUM(BY14/BZ14)</f>
        <v>6.6976973740192985E-2</v>
      </c>
      <c r="CB14" s="422" t="s">
        <v>1708</v>
      </c>
      <c r="CD14" s="413" t="s">
        <v>1649</v>
      </c>
      <c r="CE14" s="416">
        <v>10269</v>
      </c>
      <c r="CF14" s="415">
        <v>8174</v>
      </c>
      <c r="CG14" s="415">
        <f>SUM(CE14:CF14)</f>
        <v>18443</v>
      </c>
      <c r="CH14" s="129">
        <f>SUM(57498+54628+12353)</f>
        <v>124479</v>
      </c>
      <c r="CI14" s="421">
        <f>SUM(CG14/CH14)</f>
        <v>0.14816153728741394</v>
      </c>
      <c r="CJ14" s="422" t="s">
        <v>1709</v>
      </c>
    </row>
    <row r="15" spans="2:88">
      <c r="B15" s="413" t="s">
        <v>1649</v>
      </c>
      <c r="C15" s="414">
        <v>0</v>
      </c>
      <c r="D15" s="415">
        <v>9914</v>
      </c>
      <c r="E15" s="415">
        <f t="shared" si="14"/>
        <v>9914</v>
      </c>
      <c r="G15" s="413" t="s">
        <v>1649</v>
      </c>
      <c r="H15" s="414">
        <v>0</v>
      </c>
      <c r="I15" s="415">
        <v>10242</v>
      </c>
      <c r="J15" s="415">
        <f t="shared" si="15"/>
        <v>10242</v>
      </c>
      <c r="L15" s="413" t="s">
        <v>1649</v>
      </c>
      <c r="M15" s="416">
        <v>0</v>
      </c>
      <c r="N15" s="415">
        <v>10462</v>
      </c>
      <c r="O15" s="415">
        <f t="shared" si="16"/>
        <v>10462</v>
      </c>
      <c r="Q15" s="417" t="s">
        <v>1649</v>
      </c>
      <c r="R15" s="418">
        <v>0</v>
      </c>
      <c r="S15" s="419">
        <v>10611</v>
      </c>
      <c r="T15" s="419">
        <f t="shared" si="17"/>
        <v>10611</v>
      </c>
      <c r="V15" s="413" t="s">
        <v>1649</v>
      </c>
      <c r="W15" s="416">
        <v>0</v>
      </c>
      <c r="X15" s="415">
        <v>10765</v>
      </c>
      <c r="Y15" s="415">
        <f t="shared" si="18"/>
        <v>10765</v>
      </c>
      <c r="AA15" s="413" t="s">
        <v>1649</v>
      </c>
      <c r="AB15" s="416">
        <v>0</v>
      </c>
      <c r="AC15" s="415">
        <v>10915</v>
      </c>
      <c r="AD15" s="415">
        <f t="shared" si="19"/>
        <v>10915</v>
      </c>
      <c r="AF15" s="417" t="s">
        <v>1649</v>
      </c>
      <c r="AG15" s="418">
        <v>0</v>
      </c>
      <c r="AH15" s="419">
        <v>11101</v>
      </c>
      <c r="AI15" s="419">
        <f t="shared" si="20"/>
        <v>11101</v>
      </c>
      <c r="AK15" s="417" t="s">
        <v>1649</v>
      </c>
      <c r="AL15" s="418">
        <v>0</v>
      </c>
      <c r="AM15" s="419">
        <v>11304</v>
      </c>
      <c r="AN15" s="419">
        <f t="shared" si="21"/>
        <v>11304</v>
      </c>
      <c r="AP15" s="417" t="s">
        <v>1649</v>
      </c>
      <c r="AQ15" s="418">
        <v>0</v>
      </c>
      <c r="AR15" s="419">
        <v>11538</v>
      </c>
      <c r="AS15" s="419">
        <f t="shared" si="22"/>
        <v>11538</v>
      </c>
      <c r="AW15" s="413" t="s">
        <v>1649</v>
      </c>
      <c r="AX15" s="416">
        <v>0</v>
      </c>
      <c r="AY15" s="415">
        <v>11826</v>
      </c>
      <c r="AZ15" s="415">
        <f t="shared" si="23"/>
        <v>11826</v>
      </c>
      <c r="BA15" s="694"/>
      <c r="BB15" s="575"/>
      <c r="BC15" s="576"/>
      <c r="BF15" s="413" t="s">
        <v>1649</v>
      </c>
      <c r="BG15" s="416">
        <v>1646</v>
      </c>
      <c r="BH15" s="415">
        <v>5864</v>
      </c>
      <c r="BI15" s="415">
        <f>SUM(BG15:BH15)</f>
        <v>7510</v>
      </c>
      <c r="BJ15" s="129">
        <f>SUM(57305+57028+12284)</f>
        <v>126617</v>
      </c>
      <c r="BK15" s="421">
        <f>SUM(BI15/BJ15)</f>
        <v>5.9312730518018907E-2</v>
      </c>
      <c r="BL15" s="422" t="s">
        <v>1640</v>
      </c>
      <c r="BN15" s="424" t="s">
        <v>1649</v>
      </c>
      <c r="BO15" s="425">
        <v>1862</v>
      </c>
      <c r="BP15" s="426">
        <v>6581</v>
      </c>
      <c r="BQ15" s="426">
        <f>SUM(BO15:BP15)</f>
        <v>8443</v>
      </c>
      <c r="BR15" s="130">
        <f>SUM(57238+56003+12350)</f>
        <v>125591</v>
      </c>
      <c r="BS15" s="428">
        <f>SUM(BQ15/BR15)</f>
        <v>6.7226154740387442E-2</v>
      </c>
      <c r="BT15" s="423" t="s">
        <v>1715</v>
      </c>
      <c r="BV15" s="413" t="s">
        <v>1649</v>
      </c>
      <c r="BW15" s="416">
        <v>2226</v>
      </c>
      <c r="BX15" s="415">
        <v>7283</v>
      </c>
      <c r="BY15" s="415">
        <f>SUM(BW15:BX15)</f>
        <v>9509</v>
      </c>
      <c r="BZ15" s="129">
        <f>SUM(57280+55218+12364)</f>
        <v>124862</v>
      </c>
      <c r="CA15" s="421">
        <f>SUM(BY15/BZ15)</f>
        <v>7.6156076308244308E-2</v>
      </c>
      <c r="CB15" s="422" t="s">
        <v>1716</v>
      </c>
      <c r="CD15" s="413" t="s">
        <v>1659</v>
      </c>
      <c r="CE15" s="416">
        <v>11782</v>
      </c>
      <c r="CF15" s="415">
        <v>2894</v>
      </c>
      <c r="CG15" s="415">
        <f>SUM(CE15:CF15)</f>
        <v>14676</v>
      </c>
      <c r="CH15" s="129">
        <f>SUM(29976+57494+117)</f>
        <v>87587</v>
      </c>
      <c r="CI15" s="421">
        <f>SUM(CG15/CH15)</f>
        <v>0.16755911265370432</v>
      </c>
      <c r="CJ15" s="422" t="s">
        <v>1717</v>
      </c>
    </row>
    <row r="16" spans="2:88">
      <c r="B16" s="413" t="s">
        <v>1659</v>
      </c>
      <c r="C16" s="414">
        <v>0</v>
      </c>
      <c r="D16" s="415">
        <v>3251</v>
      </c>
      <c r="E16" s="415">
        <f t="shared" si="14"/>
        <v>3251</v>
      </c>
      <c r="G16" s="413" t="s">
        <v>1659</v>
      </c>
      <c r="H16" s="414">
        <v>0</v>
      </c>
      <c r="I16" s="415">
        <v>3342</v>
      </c>
      <c r="J16" s="415">
        <f t="shared" si="15"/>
        <v>3342</v>
      </c>
      <c r="L16" s="413" t="s">
        <v>1659</v>
      </c>
      <c r="M16" s="416">
        <v>0</v>
      </c>
      <c r="N16" s="415">
        <v>3399</v>
      </c>
      <c r="O16" s="415">
        <f t="shared" si="16"/>
        <v>3399</v>
      </c>
      <c r="Q16" s="417" t="s">
        <v>1659</v>
      </c>
      <c r="R16" s="418">
        <v>0</v>
      </c>
      <c r="S16" s="419">
        <v>3454</v>
      </c>
      <c r="T16" s="419">
        <f t="shared" si="17"/>
        <v>3454</v>
      </c>
      <c r="V16" s="413" t="s">
        <v>1659</v>
      </c>
      <c r="W16" s="416">
        <v>0</v>
      </c>
      <c r="X16" s="415">
        <v>3487</v>
      </c>
      <c r="Y16" s="415">
        <f t="shared" si="18"/>
        <v>3487</v>
      </c>
      <c r="AA16" s="413" t="s">
        <v>1659</v>
      </c>
      <c r="AB16" s="416">
        <v>0</v>
      </c>
      <c r="AC16" s="415">
        <v>3532</v>
      </c>
      <c r="AD16" s="415">
        <f t="shared" si="19"/>
        <v>3532</v>
      </c>
      <c r="AF16" s="417" t="s">
        <v>1659</v>
      </c>
      <c r="AG16" s="418">
        <v>0</v>
      </c>
      <c r="AH16" s="419">
        <v>3599</v>
      </c>
      <c r="AI16" s="419">
        <f t="shared" si="20"/>
        <v>3599</v>
      </c>
      <c r="AK16" s="417" t="s">
        <v>1659</v>
      </c>
      <c r="AL16" s="418">
        <v>0</v>
      </c>
      <c r="AM16" s="419">
        <v>3668</v>
      </c>
      <c r="AN16" s="419">
        <f t="shared" si="21"/>
        <v>3668</v>
      </c>
      <c r="AP16" s="417" t="s">
        <v>1659</v>
      </c>
      <c r="AQ16" s="418">
        <v>0</v>
      </c>
      <c r="AR16" s="419">
        <v>3742</v>
      </c>
      <c r="AS16" s="419">
        <f t="shared" si="22"/>
        <v>3742</v>
      </c>
      <c r="AW16" s="413" t="s">
        <v>1659</v>
      </c>
      <c r="AX16" s="416">
        <v>0</v>
      </c>
      <c r="AY16" s="415">
        <v>3803</v>
      </c>
      <c r="AZ16" s="415">
        <f t="shared" si="23"/>
        <v>3803</v>
      </c>
      <c r="BA16" s="694"/>
      <c r="BB16" s="575"/>
      <c r="BC16" s="576"/>
      <c r="BF16" s="413" t="s">
        <v>1659</v>
      </c>
      <c r="BG16" s="416">
        <v>1713</v>
      </c>
      <c r="BH16" s="415">
        <v>1782</v>
      </c>
      <c r="BI16" s="415">
        <f>SUM(BG16:BH16)</f>
        <v>3495</v>
      </c>
      <c r="BJ16" s="129">
        <f>SUM(30572+54488+128)</f>
        <v>85188</v>
      </c>
      <c r="BK16" s="421">
        <f>SUM(BI16/BJ16)</f>
        <v>4.1026905197915201E-2</v>
      </c>
      <c r="BL16" s="422" t="s">
        <v>1640</v>
      </c>
      <c r="BN16" s="424" t="s">
        <v>1659</v>
      </c>
      <c r="BO16" s="425">
        <v>1943</v>
      </c>
      <c r="BP16" s="426">
        <v>2097</v>
      </c>
      <c r="BQ16" s="426">
        <f>SUM(BO16:BP16)</f>
        <v>4040</v>
      </c>
      <c r="BR16" s="130">
        <f>SUM(30469+54726+132)</f>
        <v>85327</v>
      </c>
      <c r="BS16" s="428">
        <f>SUM(BQ16/BR16)</f>
        <v>4.7347264054754062E-2</v>
      </c>
      <c r="BT16" s="423" t="s">
        <v>1723</v>
      </c>
      <c r="BV16" s="413" t="s">
        <v>1659</v>
      </c>
      <c r="BW16" s="416">
        <v>2304</v>
      </c>
      <c r="BX16" s="415">
        <v>2425</v>
      </c>
      <c r="BY16" s="415">
        <f>SUM(BW16:BX16)</f>
        <v>4729</v>
      </c>
      <c r="BZ16" s="129">
        <f>SUM(30282+55535+107)</f>
        <v>85924</v>
      </c>
      <c r="CA16" s="421">
        <f>SUM(BY16/BZ16)</f>
        <v>5.5037009450211817E-2</v>
      </c>
      <c r="CB16" s="422" t="s">
        <v>1724</v>
      </c>
      <c r="CD16" s="413" t="s">
        <v>1668</v>
      </c>
      <c r="CE16" s="416">
        <v>724</v>
      </c>
      <c r="CF16" s="415">
        <v>479</v>
      </c>
      <c r="CG16" s="415">
        <f>SUM(CE16:CF16)</f>
        <v>1203</v>
      </c>
      <c r="CH16" s="129">
        <f>SUM(6644+2538+279)</f>
        <v>9461</v>
      </c>
      <c r="CI16" s="448">
        <f>SUM(CG16/CH16)</f>
        <v>0.12715357784589368</v>
      </c>
      <c r="CJ16" s="422" t="s">
        <v>1725</v>
      </c>
    </row>
    <row r="17" spans="2:88" ht="15" thickBot="1">
      <c r="B17" s="413" t="s">
        <v>1668</v>
      </c>
      <c r="C17" s="414">
        <v>0</v>
      </c>
      <c r="D17" s="415">
        <v>661</v>
      </c>
      <c r="E17" s="415">
        <f t="shared" si="14"/>
        <v>661</v>
      </c>
      <c r="G17" s="413" t="s">
        <v>1668</v>
      </c>
      <c r="H17" s="414">
        <v>0</v>
      </c>
      <c r="I17" s="415">
        <v>686</v>
      </c>
      <c r="J17" s="415">
        <f t="shared" si="15"/>
        <v>686</v>
      </c>
      <c r="L17" s="413" t="s">
        <v>1668</v>
      </c>
      <c r="M17" s="416">
        <v>0</v>
      </c>
      <c r="N17" s="415">
        <v>710</v>
      </c>
      <c r="O17" s="415">
        <f t="shared" si="16"/>
        <v>710</v>
      </c>
      <c r="Q17" s="417" t="s">
        <v>1668</v>
      </c>
      <c r="R17" s="418">
        <v>0</v>
      </c>
      <c r="S17" s="419">
        <v>721</v>
      </c>
      <c r="T17" s="419">
        <f t="shared" si="17"/>
        <v>721</v>
      </c>
      <c r="V17" s="413" t="s">
        <v>1668</v>
      </c>
      <c r="W17" s="416">
        <v>0</v>
      </c>
      <c r="X17" s="415">
        <v>726</v>
      </c>
      <c r="Y17" s="415">
        <f t="shared" si="18"/>
        <v>726</v>
      </c>
      <c r="AA17" s="413" t="s">
        <v>1668</v>
      </c>
      <c r="AB17" s="416">
        <v>0</v>
      </c>
      <c r="AC17" s="415">
        <v>731</v>
      </c>
      <c r="AD17" s="415">
        <f t="shared" si="19"/>
        <v>731</v>
      </c>
      <c r="AF17" s="417" t="s">
        <v>1668</v>
      </c>
      <c r="AG17" s="418">
        <v>0</v>
      </c>
      <c r="AH17" s="419">
        <v>736</v>
      </c>
      <c r="AI17" s="419">
        <f t="shared" si="20"/>
        <v>736</v>
      </c>
      <c r="AK17" s="417" t="s">
        <v>1668</v>
      </c>
      <c r="AL17" s="418">
        <v>0</v>
      </c>
      <c r="AM17" s="419">
        <v>742</v>
      </c>
      <c r="AN17" s="419">
        <f t="shared" si="21"/>
        <v>742</v>
      </c>
      <c r="AP17" s="417" t="s">
        <v>1668</v>
      </c>
      <c r="AQ17" s="418">
        <v>0</v>
      </c>
      <c r="AR17" s="419">
        <v>748</v>
      </c>
      <c r="AS17" s="419">
        <f t="shared" si="22"/>
        <v>748</v>
      </c>
      <c r="AW17" s="413" t="s">
        <v>1668</v>
      </c>
      <c r="AX17" s="416">
        <v>0</v>
      </c>
      <c r="AY17" s="415">
        <v>749</v>
      </c>
      <c r="AZ17" s="415">
        <f t="shared" si="23"/>
        <v>749</v>
      </c>
      <c r="BA17" s="694"/>
      <c r="BB17" s="575"/>
      <c r="BC17" s="576"/>
      <c r="BF17" s="413" t="s">
        <v>1668</v>
      </c>
      <c r="BG17" s="416">
        <v>120</v>
      </c>
      <c r="BH17" s="415">
        <v>328</v>
      </c>
      <c r="BI17" s="415">
        <f>SUM(BG17:BH17)</f>
        <v>448</v>
      </c>
      <c r="BJ17" s="129">
        <f>SUM(6644+2650+280)</f>
        <v>9574</v>
      </c>
      <c r="BK17" s="448">
        <f>SUM(BI17/BJ17)</f>
        <v>4.6793398788385211E-2</v>
      </c>
      <c r="BL17" s="422" t="s">
        <v>1640</v>
      </c>
      <c r="BN17" s="424" t="s">
        <v>1668</v>
      </c>
      <c r="BO17" s="425">
        <v>145</v>
      </c>
      <c r="BP17" s="426">
        <v>372</v>
      </c>
      <c r="BQ17" s="426">
        <f>SUM(BO17:BP17)</f>
        <v>517</v>
      </c>
      <c r="BR17" s="130">
        <f>SUM(6670+2566+289)</f>
        <v>9525</v>
      </c>
      <c r="BS17" s="449">
        <f>SUM(BQ17/BR17)</f>
        <v>5.4278215223097115E-2</v>
      </c>
      <c r="BT17" s="423" t="s">
        <v>1731</v>
      </c>
      <c r="BV17" s="413" t="s">
        <v>1668</v>
      </c>
      <c r="BW17" s="416">
        <v>175</v>
      </c>
      <c r="BX17" s="415">
        <v>424</v>
      </c>
      <c r="BY17" s="415">
        <f>SUM(BW17:BX17)</f>
        <v>599</v>
      </c>
      <c r="BZ17" s="129">
        <f>SUM(6605+2562+276)</f>
        <v>9443</v>
      </c>
      <c r="CA17" s="448">
        <f>SUM(BY17/BZ17)</f>
        <v>6.3433230964735784E-2</v>
      </c>
      <c r="CB17" s="422" t="s">
        <v>1732</v>
      </c>
      <c r="CD17" s="559" t="s">
        <v>1686</v>
      </c>
      <c r="CE17" s="560"/>
      <c r="CF17" s="560"/>
      <c r="CG17" s="121">
        <f>SUM(CG12:CG16)</f>
        <v>92550</v>
      </c>
      <c r="CH17" s="606"/>
      <c r="CI17" s="607"/>
      <c r="CJ17" s="608"/>
    </row>
    <row r="18" spans="2:88" ht="16" thickTop="1" thickBot="1">
      <c r="B18" s="413" t="s">
        <v>1677</v>
      </c>
      <c r="C18" s="414">
        <v>0</v>
      </c>
      <c r="D18" s="415">
        <v>888</v>
      </c>
      <c r="E18" s="415">
        <f t="shared" si="14"/>
        <v>888</v>
      </c>
      <c r="G18" s="413" t="s">
        <v>1677</v>
      </c>
      <c r="H18" s="414">
        <v>0</v>
      </c>
      <c r="I18" s="415">
        <v>925</v>
      </c>
      <c r="J18" s="415">
        <f t="shared" si="15"/>
        <v>925</v>
      </c>
      <c r="L18" s="413" t="s">
        <v>1677</v>
      </c>
      <c r="M18" s="416">
        <v>0</v>
      </c>
      <c r="N18" s="415">
        <v>943</v>
      </c>
      <c r="O18" s="415">
        <f t="shared" si="16"/>
        <v>943</v>
      </c>
      <c r="Q18" s="417" t="s">
        <v>1677</v>
      </c>
      <c r="R18" s="418">
        <v>0</v>
      </c>
      <c r="S18" s="419">
        <v>951</v>
      </c>
      <c r="T18" s="419">
        <f t="shared" si="17"/>
        <v>951</v>
      </c>
      <c r="V18" s="413" t="s">
        <v>1677</v>
      </c>
      <c r="W18" s="416">
        <v>0</v>
      </c>
      <c r="X18" s="415">
        <v>966</v>
      </c>
      <c r="Y18" s="415">
        <f t="shared" si="18"/>
        <v>966</v>
      </c>
      <c r="AA18" s="413" t="s">
        <v>1677</v>
      </c>
      <c r="AB18" s="416">
        <v>0</v>
      </c>
      <c r="AC18" s="415">
        <v>988</v>
      </c>
      <c r="AD18" s="415">
        <f t="shared" si="19"/>
        <v>988</v>
      </c>
      <c r="AF18" s="417" t="s">
        <v>1677</v>
      </c>
      <c r="AG18" s="418">
        <v>0</v>
      </c>
      <c r="AH18" s="419">
        <v>1006</v>
      </c>
      <c r="AI18" s="419">
        <f t="shared" si="20"/>
        <v>1006</v>
      </c>
      <c r="AK18" s="417" t="s">
        <v>1677</v>
      </c>
      <c r="AL18" s="418">
        <v>0</v>
      </c>
      <c r="AM18" s="419">
        <v>1023</v>
      </c>
      <c r="AN18" s="419">
        <f t="shared" si="21"/>
        <v>1023</v>
      </c>
      <c r="AP18" s="417" t="s">
        <v>1677</v>
      </c>
      <c r="AQ18" s="418">
        <v>0</v>
      </c>
      <c r="AR18" s="419">
        <v>1052</v>
      </c>
      <c r="AS18" s="419">
        <f t="shared" si="22"/>
        <v>1052</v>
      </c>
      <c r="AW18" s="413" t="s">
        <v>1677</v>
      </c>
      <c r="AX18" s="416">
        <v>0</v>
      </c>
      <c r="AY18" s="415">
        <v>1083</v>
      </c>
      <c r="AZ18" s="415">
        <f t="shared" si="23"/>
        <v>1083</v>
      </c>
      <c r="BA18" s="694"/>
      <c r="BB18" s="575"/>
      <c r="BC18" s="576"/>
      <c r="BF18" s="559" t="s">
        <v>1686</v>
      </c>
      <c r="BG18" s="560"/>
      <c r="BH18" s="560"/>
      <c r="BI18" s="121">
        <f>SUM(BI13:BI17)</f>
        <v>31523</v>
      </c>
      <c r="BJ18" s="606"/>
      <c r="BK18" s="607"/>
      <c r="BL18" s="608"/>
      <c r="BN18" s="604" t="s">
        <v>1686</v>
      </c>
      <c r="BO18" s="605"/>
      <c r="BP18" s="605"/>
      <c r="BQ18" s="121">
        <f>SUM(BQ13:BQ17)</f>
        <v>35661</v>
      </c>
      <c r="BR18" s="614"/>
      <c r="BS18" s="615"/>
      <c r="BT18" s="616"/>
      <c r="BV18" s="559" t="s">
        <v>1686</v>
      </c>
      <c r="BW18" s="560"/>
      <c r="BX18" s="560"/>
      <c r="BY18" s="121">
        <f>SUM(BY13:BY17)</f>
        <v>40494</v>
      </c>
      <c r="BZ18" s="606"/>
      <c r="CA18" s="607"/>
      <c r="CB18" s="608"/>
      <c r="CD18" s="609" t="s">
        <v>1733</v>
      </c>
      <c r="CE18" s="610"/>
      <c r="CF18" s="610"/>
      <c r="CG18" s="610"/>
      <c r="CH18" s="610"/>
      <c r="CI18" s="610"/>
      <c r="CJ18" s="611"/>
    </row>
    <row r="19" spans="2:88" ht="15" thickTop="1">
      <c r="B19" s="413" t="s">
        <v>1686</v>
      </c>
      <c r="C19" s="429"/>
      <c r="D19" s="415"/>
      <c r="E19" s="431">
        <f>SUM(E13:E18)</f>
        <v>53204</v>
      </c>
      <c r="G19" s="413" t="s">
        <v>1687</v>
      </c>
      <c r="H19" s="414">
        <v>0</v>
      </c>
      <c r="I19" s="415">
        <v>519</v>
      </c>
      <c r="J19" s="415">
        <f t="shared" si="15"/>
        <v>519</v>
      </c>
      <c r="L19" s="413" t="s">
        <v>1687</v>
      </c>
      <c r="M19" s="416">
        <v>0</v>
      </c>
      <c r="N19" s="415">
        <v>593</v>
      </c>
      <c r="O19" s="415">
        <f t="shared" si="16"/>
        <v>593</v>
      </c>
      <c r="Q19" s="417" t="s">
        <v>1687</v>
      </c>
      <c r="R19" s="418">
        <v>0</v>
      </c>
      <c r="S19" s="419">
        <v>648</v>
      </c>
      <c r="T19" s="419">
        <f t="shared" si="17"/>
        <v>648</v>
      </c>
      <c r="V19" s="413" t="s">
        <v>1687</v>
      </c>
      <c r="W19" s="416">
        <v>0</v>
      </c>
      <c r="X19" s="415">
        <v>707</v>
      </c>
      <c r="Y19" s="415">
        <f t="shared" si="18"/>
        <v>707</v>
      </c>
      <c r="AA19" s="413" t="s">
        <v>1687</v>
      </c>
      <c r="AB19" s="416">
        <v>0</v>
      </c>
      <c r="AC19" s="415">
        <v>755</v>
      </c>
      <c r="AD19" s="415">
        <f t="shared" si="19"/>
        <v>755</v>
      </c>
      <c r="AF19" s="417" t="s">
        <v>1687</v>
      </c>
      <c r="AG19" s="418">
        <v>0</v>
      </c>
      <c r="AH19" s="419">
        <v>807</v>
      </c>
      <c r="AI19" s="419">
        <f t="shared" si="20"/>
        <v>807</v>
      </c>
      <c r="AK19" s="417" t="s">
        <v>1687</v>
      </c>
      <c r="AL19" s="418">
        <v>0</v>
      </c>
      <c r="AM19" s="419">
        <v>852</v>
      </c>
      <c r="AN19" s="419">
        <f t="shared" si="21"/>
        <v>852</v>
      </c>
      <c r="AP19" s="417" t="s">
        <v>1687</v>
      </c>
      <c r="AQ19" s="418">
        <v>0</v>
      </c>
      <c r="AR19" s="419">
        <v>927</v>
      </c>
      <c r="AS19" s="419">
        <f t="shared" si="22"/>
        <v>927</v>
      </c>
      <c r="AW19" s="413" t="s">
        <v>1687</v>
      </c>
      <c r="AX19" s="416">
        <v>0</v>
      </c>
      <c r="AY19" s="415">
        <v>958</v>
      </c>
      <c r="AZ19" s="415">
        <f t="shared" si="23"/>
        <v>958</v>
      </c>
      <c r="BA19" s="694"/>
      <c r="BB19" s="575"/>
      <c r="BC19" s="576"/>
      <c r="BF19" s="609" t="s">
        <v>1733</v>
      </c>
      <c r="BG19" s="610"/>
      <c r="BH19" s="610"/>
      <c r="BI19" s="610"/>
      <c r="BJ19" s="610"/>
      <c r="BK19" s="610"/>
      <c r="BL19" s="611"/>
      <c r="BN19" s="609" t="s">
        <v>1733</v>
      </c>
      <c r="BO19" s="612"/>
      <c r="BP19" s="612"/>
      <c r="BQ19" s="612"/>
      <c r="BR19" s="612"/>
      <c r="BS19" s="612"/>
      <c r="BT19" s="613"/>
      <c r="BV19" s="609" t="s">
        <v>1733</v>
      </c>
      <c r="BW19" s="610"/>
      <c r="BX19" s="610"/>
      <c r="BY19" s="610"/>
      <c r="BZ19" s="610"/>
      <c r="CA19" s="610"/>
      <c r="CB19" s="611"/>
      <c r="CD19" s="92" t="s">
        <v>1635</v>
      </c>
      <c r="CE19" s="93">
        <v>34301</v>
      </c>
      <c r="CF19" s="94">
        <v>12682</v>
      </c>
      <c r="CG19" s="94">
        <f>SUM(CE19:CF19)</f>
        <v>46983</v>
      </c>
      <c r="CH19" s="420">
        <v>250143</v>
      </c>
      <c r="CI19" s="421">
        <f>SUM(CG19/CH19)</f>
        <v>0.18782456434919226</v>
      </c>
      <c r="CJ19" s="422" t="s">
        <v>1734</v>
      </c>
    </row>
    <row r="20" spans="2:88">
      <c r="B20" s="432"/>
      <c r="C20" s="433"/>
      <c r="D20" s="434"/>
      <c r="E20" s="432"/>
      <c r="G20" s="413" t="s">
        <v>1686</v>
      </c>
      <c r="H20" s="429"/>
      <c r="I20" s="415"/>
      <c r="J20" s="431">
        <f>SUM(J13:J18)</f>
        <v>54730</v>
      </c>
      <c r="L20" s="413" t="s">
        <v>1686</v>
      </c>
      <c r="M20" s="425"/>
      <c r="N20" s="415"/>
      <c r="O20" s="431">
        <f>SUM(O13:O19)</f>
        <v>56596</v>
      </c>
      <c r="Q20" s="417" t="s">
        <v>1686</v>
      </c>
      <c r="R20" s="435"/>
      <c r="S20" s="419"/>
      <c r="T20" s="431">
        <f>SUM(T13:T19)</f>
        <v>57605</v>
      </c>
      <c r="V20" s="413" t="s">
        <v>1686</v>
      </c>
      <c r="W20" s="425"/>
      <c r="X20" s="415"/>
      <c r="Y20" s="431">
        <f>SUM(Y13:Y19)</f>
        <v>58416</v>
      </c>
      <c r="AA20" s="413" t="s">
        <v>1686</v>
      </c>
      <c r="AB20" s="425"/>
      <c r="AC20" s="415"/>
      <c r="AD20" s="431">
        <f>SUM(AD13:AD19)</f>
        <v>59255</v>
      </c>
      <c r="AF20" s="709" t="s">
        <v>1686</v>
      </c>
      <c r="AG20" s="710"/>
      <c r="AH20" s="710"/>
      <c r="AI20" s="431">
        <f>SUM(AI13:AI19)</f>
        <v>60359</v>
      </c>
      <c r="AK20" s="711" t="s">
        <v>1686</v>
      </c>
      <c r="AL20" s="712"/>
      <c r="AM20" s="713"/>
      <c r="AN20" s="431">
        <f>SUM(AN13:AN19)</f>
        <v>61439</v>
      </c>
      <c r="AP20" s="709" t="s">
        <v>1686</v>
      </c>
      <c r="AQ20" s="710"/>
      <c r="AR20" s="710"/>
      <c r="AS20" s="431">
        <f>SUM(AS13:AS19)</f>
        <v>62782</v>
      </c>
      <c r="AW20" s="714" t="s">
        <v>1686</v>
      </c>
      <c r="AX20" s="710"/>
      <c r="AY20" s="710"/>
      <c r="AZ20" s="431">
        <f>SUM(AZ13:AZ19)</f>
        <v>64105</v>
      </c>
      <c r="BA20" s="577"/>
      <c r="BB20" s="578"/>
      <c r="BC20" s="579"/>
      <c r="BF20" s="92" t="s">
        <v>1635</v>
      </c>
      <c r="BG20" s="93">
        <v>2702</v>
      </c>
      <c r="BH20" s="94">
        <v>8773</v>
      </c>
      <c r="BI20" s="94">
        <f>SUM(BG20:BH20)</f>
        <v>11475</v>
      </c>
      <c r="BJ20" s="420">
        <v>261920</v>
      </c>
      <c r="BK20" s="421">
        <f>SUM(BI20/BJ20)</f>
        <v>4.3811087354917531E-2</v>
      </c>
      <c r="BL20" s="422" t="s">
        <v>1640</v>
      </c>
      <c r="BN20" s="98" t="s">
        <v>1635</v>
      </c>
      <c r="BO20" s="99">
        <v>3008</v>
      </c>
      <c r="BP20" s="100">
        <v>9971</v>
      </c>
      <c r="BQ20" s="100">
        <f>SUM(BO20:BP20)</f>
        <v>12979</v>
      </c>
      <c r="BR20" s="427">
        <v>257010</v>
      </c>
      <c r="BS20" s="428">
        <f>SUM(BQ20/BR20)</f>
        <v>5.0499980545504065E-2</v>
      </c>
      <c r="BT20" s="423" t="s">
        <v>1740</v>
      </c>
      <c r="BV20" s="92" t="s">
        <v>1635</v>
      </c>
      <c r="BW20" s="93">
        <v>3552</v>
      </c>
      <c r="BX20" s="94">
        <v>11303</v>
      </c>
      <c r="BY20" s="94">
        <f>SUM(BW20:BX20)</f>
        <v>14855</v>
      </c>
      <c r="BZ20" s="420">
        <v>252327</v>
      </c>
      <c r="CA20" s="421">
        <f>SUM(BY20/BZ20)</f>
        <v>5.8872019244868762E-2</v>
      </c>
      <c r="CB20" s="422" t="s">
        <v>1741</v>
      </c>
      <c r="CD20" s="413" t="s">
        <v>1649</v>
      </c>
      <c r="CE20" s="416">
        <v>10484</v>
      </c>
      <c r="CF20" s="415">
        <v>5800</v>
      </c>
      <c r="CG20" s="415">
        <f>SUM(CE20:CF20)</f>
        <v>16284</v>
      </c>
      <c r="CH20" s="420">
        <v>77283</v>
      </c>
      <c r="CI20" s="421">
        <f>SUM(CG20/CH20)</f>
        <v>0.21070610612942045</v>
      </c>
      <c r="CJ20" s="422" t="s">
        <v>1742</v>
      </c>
    </row>
    <row r="21" spans="2:88" ht="14.25" customHeight="1" thickBot="1">
      <c r="B21" s="432"/>
      <c r="C21" s="433"/>
      <c r="D21" s="434"/>
      <c r="E21" s="432"/>
      <c r="G21" s="432"/>
      <c r="H21" s="433"/>
      <c r="I21" s="434"/>
      <c r="J21" s="432"/>
      <c r="L21" s="432"/>
      <c r="M21" s="437"/>
      <c r="N21" s="434"/>
      <c r="O21" s="432"/>
      <c r="Q21" s="438"/>
      <c r="R21" s="439"/>
      <c r="S21" s="440"/>
      <c r="T21" s="438"/>
      <c r="V21" s="432"/>
      <c r="W21" s="437"/>
      <c r="X21" s="434"/>
      <c r="Y21" s="432"/>
      <c r="AA21" s="432"/>
      <c r="AB21" s="437"/>
      <c r="AC21" s="434"/>
      <c r="AD21" s="432"/>
      <c r="AF21" s="441"/>
      <c r="AG21" s="442"/>
      <c r="AH21" s="442"/>
      <c r="AI21" s="443"/>
      <c r="AK21" s="450"/>
      <c r="AL21" s="451"/>
      <c r="AM21" s="451"/>
      <c r="AN21" s="452"/>
      <c r="AP21" s="715"/>
      <c r="AQ21" s="716"/>
      <c r="AR21" s="716"/>
      <c r="AS21" s="717"/>
      <c r="AW21" s="718"/>
      <c r="AX21" s="716"/>
      <c r="AY21" s="716"/>
      <c r="AZ21" s="716"/>
      <c r="BA21" s="716"/>
      <c r="BB21" s="716"/>
      <c r="BC21" s="717"/>
      <c r="BF21" s="413" t="s">
        <v>1649</v>
      </c>
      <c r="BG21" s="416">
        <v>530</v>
      </c>
      <c r="BH21" s="415">
        <v>4098</v>
      </c>
      <c r="BI21" s="415">
        <f>SUM(BG21:BH21)</f>
        <v>4628</v>
      </c>
      <c r="BJ21" s="420">
        <v>77832</v>
      </c>
      <c r="BK21" s="421">
        <f>SUM(BI21/BJ21)</f>
        <v>5.9461404049748173E-2</v>
      </c>
      <c r="BL21" s="422" t="s">
        <v>1640</v>
      </c>
      <c r="BN21" s="424" t="s">
        <v>1649</v>
      </c>
      <c r="BO21" s="425">
        <v>624</v>
      </c>
      <c r="BP21" s="426">
        <v>4619</v>
      </c>
      <c r="BQ21" s="426">
        <f>SUM(BO21:BP21)</f>
        <v>5243</v>
      </c>
      <c r="BR21" s="427">
        <v>77508</v>
      </c>
      <c r="BS21" s="428">
        <f>SUM(BQ21/BR21)</f>
        <v>6.7644630231718017E-2</v>
      </c>
      <c r="BT21" s="423" t="s">
        <v>1748</v>
      </c>
      <c r="BV21" s="413" t="s">
        <v>1649</v>
      </c>
      <c r="BW21" s="416">
        <v>726</v>
      </c>
      <c r="BX21" s="415">
        <v>5213</v>
      </c>
      <c r="BY21" s="415">
        <f>SUM(BW21:BX21)</f>
        <v>5939</v>
      </c>
      <c r="BZ21" s="420">
        <v>77194</v>
      </c>
      <c r="CA21" s="421">
        <f>SUM(BY21/BZ21)</f>
        <v>7.6936031297769256E-2</v>
      </c>
      <c r="CB21" s="422" t="s">
        <v>1749</v>
      </c>
      <c r="CD21" s="559" t="s">
        <v>1686</v>
      </c>
      <c r="CE21" s="560"/>
      <c r="CF21" s="560"/>
      <c r="CG21" s="121">
        <f>SUM(CG19:CG20)</f>
        <v>63267</v>
      </c>
      <c r="CH21" s="606"/>
      <c r="CI21" s="607"/>
      <c r="CJ21" s="608"/>
    </row>
    <row r="22" spans="2:88" ht="16" thickTop="1" thickBot="1">
      <c r="B22" s="444" t="s">
        <v>1750</v>
      </c>
      <c r="C22" s="453"/>
      <c r="D22" s="454"/>
      <c r="E22" s="413"/>
      <c r="G22" s="444" t="s">
        <v>1750</v>
      </c>
      <c r="H22" s="453"/>
      <c r="I22" s="454"/>
      <c r="J22" s="413"/>
      <c r="L22" s="444" t="s">
        <v>1750</v>
      </c>
      <c r="M22" s="455"/>
      <c r="N22" s="454"/>
      <c r="O22" s="413"/>
      <c r="Q22" s="445" t="s">
        <v>1750</v>
      </c>
      <c r="R22" s="456"/>
      <c r="S22" s="457"/>
      <c r="T22" s="417"/>
      <c r="V22" s="444" t="s">
        <v>1750</v>
      </c>
      <c r="W22" s="455"/>
      <c r="X22" s="454"/>
      <c r="Y22" s="413"/>
      <c r="AA22" s="444" t="s">
        <v>1750</v>
      </c>
      <c r="AB22" s="455"/>
      <c r="AC22" s="454"/>
      <c r="AD22" s="413"/>
      <c r="AF22" s="446" t="s">
        <v>1750</v>
      </c>
      <c r="AG22" s="447"/>
      <c r="AH22" s="447"/>
      <c r="AI22" s="447"/>
      <c r="AK22" s="446" t="s">
        <v>1750</v>
      </c>
      <c r="AL22" s="458"/>
      <c r="AM22" s="458"/>
      <c r="AN22" s="458"/>
      <c r="AP22" s="707" t="s">
        <v>1750</v>
      </c>
      <c r="AQ22" s="708"/>
      <c r="AR22" s="708"/>
      <c r="AS22" s="708"/>
      <c r="AW22" s="707" t="s">
        <v>1750</v>
      </c>
      <c r="AX22" s="708"/>
      <c r="AY22" s="708"/>
      <c r="AZ22" s="708"/>
      <c r="BA22" s="141"/>
      <c r="BB22" s="141"/>
      <c r="BC22" s="459"/>
      <c r="BF22" s="559" t="s">
        <v>1686</v>
      </c>
      <c r="BG22" s="560"/>
      <c r="BH22" s="560"/>
      <c r="BI22" s="121">
        <f>SUM(BI20:BI21)</f>
        <v>16103</v>
      </c>
      <c r="BJ22" s="606"/>
      <c r="BK22" s="607"/>
      <c r="BL22" s="608"/>
      <c r="BN22" s="604" t="s">
        <v>1686</v>
      </c>
      <c r="BO22" s="605"/>
      <c r="BP22" s="605"/>
      <c r="BQ22" s="121">
        <f>SUM(BQ20:BQ21)</f>
        <v>18222</v>
      </c>
      <c r="BR22" s="614"/>
      <c r="BS22" s="615"/>
      <c r="BT22" s="616"/>
      <c r="BV22" s="559" t="s">
        <v>1686</v>
      </c>
      <c r="BW22" s="560"/>
      <c r="BX22" s="560"/>
      <c r="BY22" s="121">
        <f>SUM(BY20:BY21)</f>
        <v>20794</v>
      </c>
      <c r="BZ22" s="606"/>
      <c r="CA22" s="607"/>
      <c r="CB22" s="608"/>
      <c r="CD22" s="617" t="s">
        <v>1751</v>
      </c>
      <c r="CE22" s="618"/>
      <c r="CF22" s="618"/>
      <c r="CG22" s="618"/>
      <c r="CH22" s="619"/>
      <c r="CI22" s="619"/>
      <c r="CJ22" s="620"/>
    </row>
    <row r="23" spans="2:88" ht="15" thickTop="1">
      <c r="B23" s="413" t="s">
        <v>1635</v>
      </c>
      <c r="C23" s="453">
        <v>159</v>
      </c>
      <c r="D23" s="460">
        <v>12896</v>
      </c>
      <c r="E23" s="415">
        <f t="shared" ref="E23:E28" si="24">SUM(C23:D23)</f>
        <v>13055</v>
      </c>
      <c r="G23" s="413" t="s">
        <v>1635</v>
      </c>
      <c r="H23" s="453">
        <v>215</v>
      </c>
      <c r="I23" s="460">
        <v>13459</v>
      </c>
      <c r="J23" s="415">
        <f t="shared" ref="J23:J28" si="25">SUM(H23:I23)</f>
        <v>13674</v>
      </c>
      <c r="L23" s="413" t="s">
        <v>1635</v>
      </c>
      <c r="M23" s="455">
        <v>971</v>
      </c>
      <c r="N23" s="460">
        <v>14654</v>
      </c>
      <c r="O23" s="415">
        <f t="shared" ref="O23:O28" si="26">SUM(M23:N23)</f>
        <v>15625</v>
      </c>
      <c r="Q23" s="417" t="s">
        <v>1635</v>
      </c>
      <c r="R23" s="456">
        <v>1189</v>
      </c>
      <c r="S23" s="461">
        <v>15437</v>
      </c>
      <c r="T23" s="419">
        <f t="shared" ref="T23:T28" si="27">SUM(R23:S23)</f>
        <v>16626</v>
      </c>
      <c r="V23" s="413" t="s">
        <v>1635</v>
      </c>
      <c r="W23" s="455">
        <v>1410</v>
      </c>
      <c r="X23" s="460">
        <v>16165</v>
      </c>
      <c r="Y23" s="415">
        <f t="shared" ref="Y23:Y28" si="28">SUM(W23:X23)</f>
        <v>17575</v>
      </c>
      <c r="AA23" s="413" t="s">
        <v>1635</v>
      </c>
      <c r="AB23" s="455">
        <v>2024</v>
      </c>
      <c r="AC23" s="460">
        <v>17805</v>
      </c>
      <c r="AD23" s="415">
        <f t="shared" ref="AD23:AD28" si="29">SUM(AB23:AC23)</f>
        <v>19829</v>
      </c>
      <c r="AF23" s="417" t="s">
        <v>1635</v>
      </c>
      <c r="AG23" s="456">
        <v>2721</v>
      </c>
      <c r="AH23" s="461">
        <v>19679</v>
      </c>
      <c r="AI23" s="419">
        <f t="shared" ref="AI23:AI28" si="30">SUM(AG23:AH23)</f>
        <v>22400</v>
      </c>
      <c r="AK23" s="417" t="s">
        <v>1635</v>
      </c>
      <c r="AL23" s="456">
        <v>3280</v>
      </c>
      <c r="AM23" s="461">
        <v>21531</v>
      </c>
      <c r="AN23" s="419">
        <f t="shared" ref="AN23:AN28" si="31">SUM(AL23:AM23)</f>
        <v>24811</v>
      </c>
      <c r="AP23" s="417" t="s">
        <v>1635</v>
      </c>
      <c r="AQ23" s="456">
        <v>3883</v>
      </c>
      <c r="AR23" s="461">
        <v>23629</v>
      </c>
      <c r="AS23" s="419">
        <f t="shared" ref="AS23:AS28" si="32">SUM(AQ23:AR23)</f>
        <v>27512</v>
      </c>
      <c r="AW23" s="413" t="s">
        <v>1635</v>
      </c>
      <c r="AX23" s="455">
        <v>4488</v>
      </c>
      <c r="AY23" s="460">
        <v>25704</v>
      </c>
      <c r="AZ23" s="415">
        <f t="shared" ref="AZ23:AZ28" si="33">SUM(AX23:AY23)</f>
        <v>30192</v>
      </c>
      <c r="BA23" s="95">
        <v>2029295</v>
      </c>
      <c r="BB23" s="96">
        <f>SUM(AZ23/BA23)</f>
        <v>1.4878073419586605E-2</v>
      </c>
      <c r="BC23" s="422" t="s">
        <v>1752</v>
      </c>
      <c r="BF23" s="617" t="s">
        <v>1751</v>
      </c>
      <c r="BG23" s="618"/>
      <c r="BH23" s="618"/>
      <c r="BI23" s="618"/>
      <c r="BJ23" s="619"/>
      <c r="BK23" s="619"/>
      <c r="BL23" s="620"/>
      <c r="BN23" s="617" t="s">
        <v>1751</v>
      </c>
      <c r="BO23" s="618"/>
      <c r="BP23" s="618"/>
      <c r="BQ23" s="618"/>
      <c r="BR23" s="621"/>
      <c r="BS23" s="621"/>
      <c r="BT23" s="622"/>
      <c r="BV23" s="617" t="s">
        <v>1751</v>
      </c>
      <c r="BW23" s="618"/>
      <c r="BX23" s="618"/>
      <c r="BY23" s="618"/>
      <c r="BZ23" s="619"/>
      <c r="CA23" s="619"/>
      <c r="CB23" s="620"/>
      <c r="CD23" s="413" t="s">
        <v>1635</v>
      </c>
      <c r="CE23" s="455">
        <v>36259</v>
      </c>
      <c r="CF23" s="460">
        <v>34944</v>
      </c>
      <c r="CG23" s="415">
        <f t="shared" ref="CG23:CG28" si="34">SUM(CE23:CF23)</f>
        <v>71203</v>
      </c>
      <c r="CH23" s="129">
        <v>754755</v>
      </c>
      <c r="CI23" s="96">
        <f>SUM(CG23/CH23)</f>
        <v>9.4339222661658423E-2</v>
      </c>
      <c r="CJ23" s="422" t="s">
        <v>1753</v>
      </c>
    </row>
    <row r="24" spans="2:88">
      <c r="B24" s="413" t="s">
        <v>1638</v>
      </c>
      <c r="C24" s="453">
        <v>114</v>
      </c>
      <c r="D24" s="460">
        <v>14265</v>
      </c>
      <c r="E24" s="415">
        <f t="shared" si="24"/>
        <v>14379</v>
      </c>
      <c r="G24" s="413" t="s">
        <v>1638</v>
      </c>
      <c r="H24" s="453">
        <v>171</v>
      </c>
      <c r="I24" s="460">
        <v>14830</v>
      </c>
      <c r="J24" s="415">
        <f t="shared" si="25"/>
        <v>15001</v>
      </c>
      <c r="L24" s="413" t="s">
        <v>1638</v>
      </c>
      <c r="M24" s="455">
        <v>671</v>
      </c>
      <c r="N24" s="460">
        <v>15621</v>
      </c>
      <c r="O24" s="415">
        <f t="shared" si="26"/>
        <v>16292</v>
      </c>
      <c r="Q24" s="417" t="s">
        <v>1638</v>
      </c>
      <c r="R24" s="456">
        <v>799</v>
      </c>
      <c r="S24" s="461">
        <v>16282</v>
      </c>
      <c r="T24" s="419">
        <f t="shared" si="27"/>
        <v>17081</v>
      </c>
      <c r="V24" s="413" t="s">
        <v>1638</v>
      </c>
      <c r="W24" s="455">
        <v>912</v>
      </c>
      <c r="X24" s="460">
        <v>16885</v>
      </c>
      <c r="Y24" s="415">
        <f t="shared" si="28"/>
        <v>17797</v>
      </c>
      <c r="AA24" s="413" t="s">
        <v>1638</v>
      </c>
      <c r="AB24" s="455">
        <v>1243</v>
      </c>
      <c r="AC24" s="460">
        <v>18284</v>
      </c>
      <c r="AD24" s="415">
        <f t="shared" si="29"/>
        <v>19527</v>
      </c>
      <c r="AF24" s="417" t="s">
        <v>1638</v>
      </c>
      <c r="AG24" s="456">
        <v>1661</v>
      </c>
      <c r="AH24" s="461">
        <v>19897</v>
      </c>
      <c r="AI24" s="419">
        <f t="shared" si="30"/>
        <v>21558</v>
      </c>
      <c r="AK24" s="417" t="s">
        <v>1638</v>
      </c>
      <c r="AL24" s="456">
        <v>2020</v>
      </c>
      <c r="AM24" s="461">
        <v>21337</v>
      </c>
      <c r="AN24" s="419">
        <f t="shared" si="31"/>
        <v>23357</v>
      </c>
      <c r="AP24" s="417" t="s">
        <v>1638</v>
      </c>
      <c r="AQ24" s="456">
        <v>2382</v>
      </c>
      <c r="AR24" s="461">
        <v>23243</v>
      </c>
      <c r="AS24" s="419">
        <f t="shared" si="32"/>
        <v>25625</v>
      </c>
      <c r="AW24" s="413" t="s">
        <v>1638</v>
      </c>
      <c r="AX24" s="455">
        <v>2809</v>
      </c>
      <c r="AY24" s="460">
        <v>25105</v>
      </c>
      <c r="AZ24" s="415">
        <f t="shared" si="33"/>
        <v>27914</v>
      </c>
      <c r="BA24" s="420">
        <v>976989</v>
      </c>
      <c r="BB24" s="421">
        <f>SUM(AZ24/BA24)</f>
        <v>2.857145781579936E-2</v>
      </c>
      <c r="BC24" s="422" t="s">
        <v>1759</v>
      </c>
      <c r="BF24" s="413" t="s">
        <v>1635</v>
      </c>
      <c r="BG24" s="455">
        <v>4967</v>
      </c>
      <c r="BH24" s="460">
        <v>27775</v>
      </c>
      <c r="BI24" s="415">
        <f t="shared" ref="BI24:BI29" si="35">SUM(BG24:BH24)</f>
        <v>32742</v>
      </c>
      <c r="BJ24" s="129">
        <v>751083</v>
      </c>
      <c r="BK24" s="96">
        <f>SUM(BI24/BJ24)</f>
        <v>4.3593051633441314E-2</v>
      </c>
      <c r="BL24" s="422" t="s">
        <v>1640</v>
      </c>
      <c r="BN24" s="424" t="s">
        <v>1635</v>
      </c>
      <c r="BO24" s="462">
        <v>5574</v>
      </c>
      <c r="BP24" s="463">
        <v>29990</v>
      </c>
      <c r="BQ24" s="426">
        <f t="shared" ref="BQ24:BQ29" si="36">SUM(BO24:BP24)</f>
        <v>35564</v>
      </c>
      <c r="BR24" s="130">
        <v>752726</v>
      </c>
      <c r="BS24" s="102">
        <f>SUM(BQ24/BR24)</f>
        <v>4.7246939789511722E-2</v>
      </c>
      <c r="BT24" s="423" t="s">
        <v>1760</v>
      </c>
      <c r="BV24" s="413" t="s">
        <v>1635</v>
      </c>
      <c r="BW24" s="455">
        <v>6268</v>
      </c>
      <c r="BX24" s="460">
        <v>32085</v>
      </c>
      <c r="BY24" s="415">
        <f t="shared" ref="BY24:BY29" si="37">SUM(BW24:BX24)</f>
        <v>38353</v>
      </c>
      <c r="BZ24" s="129">
        <v>753478</v>
      </c>
      <c r="CA24" s="96">
        <f>SUM(BY24/BZ24)</f>
        <v>5.0901287097964376E-2</v>
      </c>
      <c r="CB24" s="422" t="s">
        <v>1761</v>
      </c>
      <c r="CD24" s="413" t="s">
        <v>1638</v>
      </c>
      <c r="CE24" s="455">
        <v>22328</v>
      </c>
      <c r="CF24" s="460">
        <v>19903</v>
      </c>
      <c r="CG24" s="415">
        <f t="shared" si="34"/>
        <v>42231</v>
      </c>
      <c r="CH24" s="129">
        <v>505268</v>
      </c>
      <c r="CI24" s="421">
        <f>SUM(CG24/CH24)</f>
        <v>8.3581386511712596E-2</v>
      </c>
      <c r="CJ24" s="422" t="s">
        <v>1667</v>
      </c>
    </row>
    <row r="25" spans="2:88">
      <c r="B25" s="413" t="s">
        <v>1649</v>
      </c>
      <c r="C25" s="453">
        <v>73</v>
      </c>
      <c r="D25" s="460">
        <v>7692</v>
      </c>
      <c r="E25" s="415">
        <f t="shared" si="24"/>
        <v>7765</v>
      </c>
      <c r="G25" s="413" t="s">
        <v>1649</v>
      </c>
      <c r="H25" s="453">
        <v>114</v>
      </c>
      <c r="I25" s="460">
        <v>8059</v>
      </c>
      <c r="J25" s="415">
        <f t="shared" si="25"/>
        <v>8173</v>
      </c>
      <c r="L25" s="413" t="s">
        <v>1649</v>
      </c>
      <c r="M25" s="455">
        <v>548</v>
      </c>
      <c r="N25" s="460">
        <v>8503</v>
      </c>
      <c r="O25" s="415">
        <f t="shared" si="26"/>
        <v>9051</v>
      </c>
      <c r="Q25" s="417" t="s">
        <v>1649</v>
      </c>
      <c r="R25" s="456">
        <v>649</v>
      </c>
      <c r="S25" s="461">
        <v>8934</v>
      </c>
      <c r="T25" s="419">
        <f t="shared" si="27"/>
        <v>9583</v>
      </c>
      <c r="V25" s="413" t="s">
        <v>1649</v>
      </c>
      <c r="W25" s="455">
        <v>741</v>
      </c>
      <c r="X25" s="460">
        <v>9329</v>
      </c>
      <c r="Y25" s="415">
        <f t="shared" si="28"/>
        <v>10070</v>
      </c>
      <c r="AA25" s="413" t="s">
        <v>1649</v>
      </c>
      <c r="AB25" s="455">
        <v>1034</v>
      </c>
      <c r="AC25" s="460">
        <v>10146</v>
      </c>
      <c r="AD25" s="415">
        <f t="shared" si="29"/>
        <v>11180</v>
      </c>
      <c r="AF25" s="417" t="s">
        <v>1649</v>
      </c>
      <c r="AG25" s="456">
        <v>1439</v>
      </c>
      <c r="AH25" s="461">
        <v>11126</v>
      </c>
      <c r="AI25" s="419">
        <f t="shared" si="30"/>
        <v>12565</v>
      </c>
      <c r="AK25" s="417" t="s">
        <v>1649</v>
      </c>
      <c r="AL25" s="456">
        <v>1766</v>
      </c>
      <c r="AM25" s="461">
        <v>12186</v>
      </c>
      <c r="AN25" s="419">
        <f t="shared" si="31"/>
        <v>13952</v>
      </c>
      <c r="AP25" s="417" t="s">
        <v>1649</v>
      </c>
      <c r="AQ25" s="456">
        <v>2089</v>
      </c>
      <c r="AR25" s="461">
        <v>13392</v>
      </c>
      <c r="AS25" s="419">
        <f t="shared" si="32"/>
        <v>15481</v>
      </c>
      <c r="AW25" s="413" t="s">
        <v>1649</v>
      </c>
      <c r="AX25" s="455">
        <v>2426</v>
      </c>
      <c r="AY25" s="460">
        <v>14466</v>
      </c>
      <c r="AZ25" s="415">
        <f t="shared" si="33"/>
        <v>16892</v>
      </c>
      <c r="BA25" s="420">
        <v>1269304</v>
      </c>
      <c r="BB25" s="421">
        <f>SUM(AZ25/BA25)</f>
        <v>1.330808064892256E-2</v>
      </c>
      <c r="BC25" s="422" t="s">
        <v>1766</v>
      </c>
      <c r="BF25" s="413" t="s">
        <v>1638</v>
      </c>
      <c r="BG25" s="455">
        <v>2721</v>
      </c>
      <c r="BH25" s="460">
        <v>15655</v>
      </c>
      <c r="BI25" s="415">
        <f t="shared" si="35"/>
        <v>18376</v>
      </c>
      <c r="BJ25" s="129">
        <v>504286</v>
      </c>
      <c r="BK25" s="421">
        <f>SUM(BI25/BJ25)</f>
        <v>3.6439639410969171E-2</v>
      </c>
      <c r="BL25" s="422" t="s">
        <v>1640</v>
      </c>
      <c r="BN25" s="424" t="s">
        <v>1638</v>
      </c>
      <c r="BO25" s="462">
        <v>3058</v>
      </c>
      <c r="BP25" s="463">
        <v>17017</v>
      </c>
      <c r="BQ25" s="426">
        <f t="shared" si="36"/>
        <v>20075</v>
      </c>
      <c r="BR25" s="130">
        <v>505054</v>
      </c>
      <c r="BS25" s="428">
        <f>SUM(BQ25/BR25)</f>
        <v>3.9748224942283403E-2</v>
      </c>
      <c r="BT25" s="423" t="s">
        <v>1767</v>
      </c>
      <c r="BV25" s="413" t="s">
        <v>1638</v>
      </c>
      <c r="BW25" s="455">
        <v>3442</v>
      </c>
      <c r="BX25" s="460">
        <v>18330</v>
      </c>
      <c r="BY25" s="415">
        <f t="shared" si="37"/>
        <v>21772</v>
      </c>
      <c r="BZ25" s="129">
        <v>505354</v>
      </c>
      <c r="CA25" s="421">
        <f>SUM(BY25/BZ25)</f>
        <v>4.308267076148601E-2</v>
      </c>
      <c r="CB25" s="422" t="s">
        <v>1768</v>
      </c>
      <c r="CD25" s="413" t="s">
        <v>1649</v>
      </c>
      <c r="CE25" s="455">
        <v>21001</v>
      </c>
      <c r="CF25" s="460">
        <v>33201</v>
      </c>
      <c r="CG25" s="415">
        <f t="shared" si="34"/>
        <v>54202</v>
      </c>
      <c r="CH25" s="129">
        <v>685724</v>
      </c>
      <c r="CI25" s="421">
        <f>SUM(CG25/CH25)</f>
        <v>7.904346355093303E-2</v>
      </c>
      <c r="CJ25" s="422" t="s">
        <v>1769</v>
      </c>
    </row>
    <row r="26" spans="2:88">
      <c r="B26" s="413" t="s">
        <v>1659</v>
      </c>
      <c r="C26" s="453">
        <v>41</v>
      </c>
      <c r="D26" s="460">
        <v>1665</v>
      </c>
      <c r="E26" s="415">
        <f t="shared" si="24"/>
        <v>1706</v>
      </c>
      <c r="G26" s="413" t="s">
        <v>1659</v>
      </c>
      <c r="H26" s="453">
        <v>57</v>
      </c>
      <c r="I26" s="460">
        <v>1738</v>
      </c>
      <c r="J26" s="415">
        <f t="shared" si="25"/>
        <v>1795</v>
      </c>
      <c r="L26" s="413" t="s">
        <v>1659</v>
      </c>
      <c r="M26" s="455">
        <v>255</v>
      </c>
      <c r="N26" s="460">
        <v>1857</v>
      </c>
      <c r="O26" s="415">
        <f t="shared" si="26"/>
        <v>2112</v>
      </c>
      <c r="Q26" s="417" t="s">
        <v>1659</v>
      </c>
      <c r="R26" s="456">
        <v>305</v>
      </c>
      <c r="S26" s="461">
        <v>2040</v>
      </c>
      <c r="T26" s="419">
        <f t="shared" si="27"/>
        <v>2345</v>
      </c>
      <c r="V26" s="413" t="s">
        <v>1659</v>
      </c>
      <c r="W26" s="455">
        <v>327</v>
      </c>
      <c r="X26" s="460">
        <v>2159</v>
      </c>
      <c r="Y26" s="415">
        <f t="shared" si="28"/>
        <v>2486</v>
      </c>
      <c r="AA26" s="413" t="s">
        <v>1659</v>
      </c>
      <c r="AB26" s="455">
        <v>424</v>
      </c>
      <c r="AC26" s="460">
        <v>2394</v>
      </c>
      <c r="AD26" s="415">
        <f t="shared" si="29"/>
        <v>2818</v>
      </c>
      <c r="AF26" s="417" t="s">
        <v>1659</v>
      </c>
      <c r="AG26" s="456">
        <v>549</v>
      </c>
      <c r="AH26" s="461">
        <v>2696</v>
      </c>
      <c r="AI26" s="419">
        <f t="shared" si="30"/>
        <v>3245</v>
      </c>
      <c r="AK26" s="417" t="s">
        <v>1659</v>
      </c>
      <c r="AL26" s="456">
        <v>648</v>
      </c>
      <c r="AM26" s="461">
        <v>2949</v>
      </c>
      <c r="AN26" s="419">
        <f t="shared" si="31"/>
        <v>3597</v>
      </c>
      <c r="AP26" s="417" t="s">
        <v>1659</v>
      </c>
      <c r="AQ26" s="456">
        <v>753</v>
      </c>
      <c r="AR26" s="461">
        <v>3247</v>
      </c>
      <c r="AS26" s="419">
        <f t="shared" si="32"/>
        <v>4000</v>
      </c>
      <c r="AW26" s="413" t="s">
        <v>1659</v>
      </c>
      <c r="AX26" s="455">
        <v>839</v>
      </c>
      <c r="AY26" s="460">
        <v>3553</v>
      </c>
      <c r="AZ26" s="415">
        <f t="shared" si="33"/>
        <v>4392</v>
      </c>
      <c r="BA26" s="420">
        <v>420989</v>
      </c>
      <c r="BB26" s="421">
        <f>SUM(AZ26/BA26)</f>
        <v>1.0432576623142172E-2</v>
      </c>
      <c r="BC26" s="422" t="s">
        <v>1775</v>
      </c>
      <c r="BF26" s="413" t="s">
        <v>1649</v>
      </c>
      <c r="BG26" s="455">
        <v>3120</v>
      </c>
      <c r="BH26" s="460">
        <v>27031</v>
      </c>
      <c r="BI26" s="415">
        <f t="shared" si="35"/>
        <v>30151</v>
      </c>
      <c r="BJ26" s="129">
        <v>684531</v>
      </c>
      <c r="BK26" s="421">
        <f>SUM(BI26/BJ26)</f>
        <v>4.4046215584100649E-2</v>
      </c>
      <c r="BL26" s="422" t="s">
        <v>1640</v>
      </c>
      <c r="BN26" s="424" t="s">
        <v>1649</v>
      </c>
      <c r="BO26" s="462">
        <v>3467</v>
      </c>
      <c r="BP26" s="463">
        <v>29035</v>
      </c>
      <c r="BQ26" s="426">
        <f t="shared" si="36"/>
        <v>32502</v>
      </c>
      <c r="BR26" s="130">
        <v>685352</v>
      </c>
      <c r="BS26" s="428">
        <f>SUM(BQ26/BR26)</f>
        <v>4.7423805577279994E-2</v>
      </c>
      <c r="BT26" s="423" t="s">
        <v>1776</v>
      </c>
      <c r="BV26" s="413" t="s">
        <v>1649</v>
      </c>
      <c r="BW26" s="455">
        <v>3911</v>
      </c>
      <c r="BX26" s="460">
        <v>30932</v>
      </c>
      <c r="BY26" s="415">
        <f t="shared" si="37"/>
        <v>34843</v>
      </c>
      <c r="BZ26" s="129">
        <v>685339</v>
      </c>
      <c r="CA26" s="421">
        <f>SUM(BY26/BZ26)</f>
        <v>5.0840532933336638E-2</v>
      </c>
      <c r="CB26" s="422" t="s">
        <v>1777</v>
      </c>
      <c r="CD26" s="413" t="s">
        <v>1659</v>
      </c>
      <c r="CE26" s="455">
        <v>7038</v>
      </c>
      <c r="CF26" s="460">
        <v>5019</v>
      </c>
      <c r="CG26" s="415">
        <f t="shared" si="34"/>
        <v>12057</v>
      </c>
      <c r="CH26" s="129">
        <v>120137</v>
      </c>
      <c r="CI26" s="421">
        <f>SUM(CG26/CH26)</f>
        <v>0.10036042185171928</v>
      </c>
      <c r="CJ26" s="422" t="s">
        <v>1778</v>
      </c>
    </row>
    <row r="27" spans="2:88">
      <c r="B27" s="413" t="s">
        <v>1668</v>
      </c>
      <c r="C27" s="453">
        <v>15</v>
      </c>
      <c r="D27" s="460">
        <v>385</v>
      </c>
      <c r="E27" s="415">
        <f t="shared" si="24"/>
        <v>400</v>
      </c>
      <c r="G27" s="413" t="s">
        <v>1668</v>
      </c>
      <c r="H27" s="453">
        <v>23</v>
      </c>
      <c r="I27" s="460">
        <v>399</v>
      </c>
      <c r="J27" s="415">
        <f t="shared" si="25"/>
        <v>422</v>
      </c>
      <c r="L27" s="413" t="s">
        <v>1668</v>
      </c>
      <c r="M27" s="455">
        <v>61</v>
      </c>
      <c r="N27" s="460">
        <v>420</v>
      </c>
      <c r="O27" s="415">
        <f t="shared" si="26"/>
        <v>481</v>
      </c>
      <c r="Q27" s="417" t="s">
        <v>1668</v>
      </c>
      <c r="R27" s="456">
        <v>72</v>
      </c>
      <c r="S27" s="461">
        <v>436</v>
      </c>
      <c r="T27" s="419">
        <f t="shared" si="27"/>
        <v>508</v>
      </c>
      <c r="V27" s="413" t="s">
        <v>1668</v>
      </c>
      <c r="W27" s="455">
        <v>87</v>
      </c>
      <c r="X27" s="460">
        <v>459</v>
      </c>
      <c r="Y27" s="415">
        <f t="shared" si="28"/>
        <v>546</v>
      </c>
      <c r="AA27" s="413" t="s">
        <v>1668</v>
      </c>
      <c r="AB27" s="455">
        <v>139</v>
      </c>
      <c r="AC27" s="460">
        <v>502</v>
      </c>
      <c r="AD27" s="415">
        <f t="shared" si="29"/>
        <v>641</v>
      </c>
      <c r="AF27" s="417" t="s">
        <v>1668</v>
      </c>
      <c r="AG27" s="456">
        <v>206</v>
      </c>
      <c r="AH27" s="461">
        <v>549</v>
      </c>
      <c r="AI27" s="419">
        <f t="shared" si="30"/>
        <v>755</v>
      </c>
      <c r="AK27" s="417" t="s">
        <v>1668</v>
      </c>
      <c r="AL27" s="456">
        <v>246</v>
      </c>
      <c r="AM27" s="461">
        <v>593</v>
      </c>
      <c r="AN27" s="419">
        <f t="shared" si="31"/>
        <v>839</v>
      </c>
      <c r="AP27" s="417" t="s">
        <v>1668</v>
      </c>
      <c r="AQ27" s="456">
        <v>291</v>
      </c>
      <c r="AR27" s="461">
        <v>646</v>
      </c>
      <c r="AS27" s="419">
        <f t="shared" si="32"/>
        <v>937</v>
      </c>
      <c r="AW27" s="413" t="s">
        <v>1668</v>
      </c>
      <c r="AX27" s="455">
        <v>337</v>
      </c>
      <c r="AY27" s="460">
        <v>688</v>
      </c>
      <c r="AZ27" s="415">
        <f t="shared" si="33"/>
        <v>1025</v>
      </c>
      <c r="BA27" s="464">
        <v>93802</v>
      </c>
      <c r="BB27" s="448">
        <f>SUM(AZ27/BA27)</f>
        <v>1.0927272339608964E-2</v>
      </c>
      <c r="BC27" s="422" t="s">
        <v>1783</v>
      </c>
      <c r="BF27" s="413" t="s">
        <v>1659</v>
      </c>
      <c r="BG27" s="455">
        <v>938</v>
      </c>
      <c r="BH27" s="460">
        <v>3887</v>
      </c>
      <c r="BI27" s="415">
        <f t="shared" si="35"/>
        <v>4825</v>
      </c>
      <c r="BJ27" s="129">
        <v>119773</v>
      </c>
      <c r="BK27" s="421">
        <f>SUM(BI27/BJ27)</f>
        <v>4.0284538251525802E-2</v>
      </c>
      <c r="BL27" s="422" t="s">
        <v>1640</v>
      </c>
      <c r="BN27" s="424" t="s">
        <v>1659</v>
      </c>
      <c r="BO27" s="462">
        <v>1064</v>
      </c>
      <c r="BP27" s="463">
        <v>4234</v>
      </c>
      <c r="BQ27" s="426">
        <f t="shared" si="36"/>
        <v>5298</v>
      </c>
      <c r="BR27" s="130">
        <v>119940</v>
      </c>
      <c r="BS27" s="428">
        <f>SUM(BQ27/BR27)</f>
        <v>4.4172086043021509E-2</v>
      </c>
      <c r="BT27" s="423" t="s">
        <v>1680</v>
      </c>
      <c r="BV27" s="413" t="s">
        <v>1659</v>
      </c>
      <c r="BW27" s="455">
        <v>1207</v>
      </c>
      <c r="BX27" s="460">
        <v>4581</v>
      </c>
      <c r="BY27" s="415">
        <f t="shared" si="37"/>
        <v>5788</v>
      </c>
      <c r="BZ27" s="129">
        <v>120090</v>
      </c>
      <c r="CA27" s="421">
        <f>SUM(BY27/BZ27)</f>
        <v>4.8197185444250147E-2</v>
      </c>
      <c r="CB27" s="422" t="s">
        <v>1646</v>
      </c>
      <c r="CD27" s="413" t="s">
        <v>1668</v>
      </c>
      <c r="CE27" s="455">
        <v>1947</v>
      </c>
      <c r="CF27" s="460">
        <v>994</v>
      </c>
      <c r="CG27" s="415">
        <f t="shared" si="34"/>
        <v>2941</v>
      </c>
      <c r="CH27" s="129">
        <v>40042</v>
      </c>
      <c r="CI27" s="448">
        <f>SUM(CG27/CH27)</f>
        <v>7.3447879726287399E-2</v>
      </c>
      <c r="CJ27" s="422" t="s">
        <v>1784</v>
      </c>
    </row>
    <row r="28" spans="2:88">
      <c r="B28" s="413" t="s">
        <v>1677</v>
      </c>
      <c r="C28" s="453">
        <v>0</v>
      </c>
      <c r="D28" s="460">
        <v>123</v>
      </c>
      <c r="E28" s="415">
        <f t="shared" si="24"/>
        <v>123</v>
      </c>
      <c r="G28" s="413" t="s">
        <v>1677</v>
      </c>
      <c r="H28" s="453">
        <v>0</v>
      </c>
      <c r="I28" s="460">
        <v>124</v>
      </c>
      <c r="J28" s="415">
        <f t="shared" si="25"/>
        <v>124</v>
      </c>
      <c r="L28" s="413" t="s">
        <v>1677</v>
      </c>
      <c r="M28" s="455">
        <v>5</v>
      </c>
      <c r="N28" s="460">
        <v>127</v>
      </c>
      <c r="O28" s="415">
        <f t="shared" si="26"/>
        <v>132</v>
      </c>
      <c r="Q28" s="417" t="s">
        <v>1677</v>
      </c>
      <c r="R28" s="456">
        <v>6</v>
      </c>
      <c r="S28" s="461">
        <v>128</v>
      </c>
      <c r="T28" s="419">
        <f t="shared" si="27"/>
        <v>134</v>
      </c>
      <c r="V28" s="413" t="s">
        <v>1677</v>
      </c>
      <c r="W28" s="455">
        <v>9</v>
      </c>
      <c r="X28" s="460">
        <v>134</v>
      </c>
      <c r="Y28" s="415">
        <f t="shared" si="28"/>
        <v>143</v>
      </c>
      <c r="AA28" s="413" t="s">
        <v>1677</v>
      </c>
      <c r="AB28" s="455">
        <v>12</v>
      </c>
      <c r="AC28" s="460">
        <v>137</v>
      </c>
      <c r="AD28" s="415">
        <f t="shared" si="29"/>
        <v>149</v>
      </c>
      <c r="AF28" s="417" t="s">
        <v>1677</v>
      </c>
      <c r="AG28" s="456">
        <v>15</v>
      </c>
      <c r="AH28" s="461">
        <v>138</v>
      </c>
      <c r="AI28" s="419">
        <f t="shared" si="30"/>
        <v>153</v>
      </c>
      <c r="AK28" s="417" t="s">
        <v>1677</v>
      </c>
      <c r="AL28" s="456">
        <v>21</v>
      </c>
      <c r="AM28" s="461">
        <v>141</v>
      </c>
      <c r="AN28" s="419">
        <f t="shared" si="31"/>
        <v>162</v>
      </c>
      <c r="AP28" s="417" t="s">
        <v>1677</v>
      </c>
      <c r="AQ28" s="456">
        <v>24</v>
      </c>
      <c r="AR28" s="461">
        <v>152</v>
      </c>
      <c r="AS28" s="419">
        <f t="shared" si="32"/>
        <v>176</v>
      </c>
      <c r="AW28" s="413" t="s">
        <v>1677</v>
      </c>
      <c r="AX28" s="455">
        <v>27</v>
      </c>
      <c r="AY28" s="460">
        <v>156</v>
      </c>
      <c r="AZ28" s="415">
        <f t="shared" si="33"/>
        <v>183</v>
      </c>
      <c r="BA28" s="719"/>
      <c r="BB28" s="692"/>
      <c r="BC28" s="693"/>
      <c r="BF28" s="413" t="s">
        <v>1668</v>
      </c>
      <c r="BG28" s="455">
        <v>360</v>
      </c>
      <c r="BH28" s="460">
        <v>745</v>
      </c>
      <c r="BI28" s="415">
        <f t="shared" si="35"/>
        <v>1105</v>
      </c>
      <c r="BJ28" s="129">
        <v>39882</v>
      </c>
      <c r="BK28" s="448">
        <f>SUM(BI28/BJ28)</f>
        <v>2.7706734867860187E-2</v>
      </c>
      <c r="BL28" s="422" t="s">
        <v>1640</v>
      </c>
      <c r="BN28" s="424" t="s">
        <v>1668</v>
      </c>
      <c r="BO28" s="462">
        <v>401</v>
      </c>
      <c r="BP28" s="463">
        <v>803</v>
      </c>
      <c r="BQ28" s="426">
        <f t="shared" si="36"/>
        <v>1204</v>
      </c>
      <c r="BR28" s="130">
        <v>39923</v>
      </c>
      <c r="BS28" s="449">
        <f>SUM(BQ28/BR28)</f>
        <v>3.0158054254439796E-2</v>
      </c>
      <c r="BT28" s="423" t="s">
        <v>1790</v>
      </c>
      <c r="BV28" s="413" t="s">
        <v>1668</v>
      </c>
      <c r="BW28" s="455">
        <v>470</v>
      </c>
      <c r="BX28" s="460">
        <v>884</v>
      </c>
      <c r="BY28" s="415">
        <f t="shared" si="37"/>
        <v>1354</v>
      </c>
      <c r="BZ28" s="129">
        <v>39979</v>
      </c>
      <c r="CA28" s="448">
        <f>SUM(BY28/BZ28)</f>
        <v>3.3867780584807022E-2</v>
      </c>
      <c r="CB28" s="422" t="s">
        <v>1791</v>
      </c>
      <c r="CD28" s="413" t="s">
        <v>1677</v>
      </c>
      <c r="CE28" s="455">
        <v>108</v>
      </c>
      <c r="CF28" s="460">
        <v>182</v>
      </c>
      <c r="CG28" s="415">
        <f t="shared" si="34"/>
        <v>290</v>
      </c>
      <c r="CH28" s="720"/>
      <c r="CI28" s="696"/>
      <c r="CJ28" s="697"/>
    </row>
    <row r="29" spans="2:88" ht="15" thickBot="1">
      <c r="B29" s="413" t="s">
        <v>1686</v>
      </c>
      <c r="C29" s="465"/>
      <c r="D29" s="460"/>
      <c r="E29" s="431">
        <f>SUM(E23:E28)</f>
        <v>37428</v>
      </c>
      <c r="G29" s="413" t="s">
        <v>1686</v>
      </c>
      <c r="H29" s="465"/>
      <c r="I29" s="460"/>
      <c r="J29" s="431">
        <f>SUM(J23:J28)</f>
        <v>39189</v>
      </c>
      <c r="L29" s="413" t="s">
        <v>1686</v>
      </c>
      <c r="M29" s="462"/>
      <c r="N29" s="460"/>
      <c r="O29" s="431">
        <f>SUM(O23:O28)</f>
        <v>43693</v>
      </c>
      <c r="Q29" s="417" t="s">
        <v>1686</v>
      </c>
      <c r="R29" s="466"/>
      <c r="S29" s="461"/>
      <c r="T29" s="431">
        <f>SUM(T23:T28)</f>
        <v>46277</v>
      </c>
      <c r="V29" s="413" t="s">
        <v>1686</v>
      </c>
      <c r="W29" s="462"/>
      <c r="X29" s="460"/>
      <c r="Y29" s="431">
        <f>SUM(Y23:Y28)</f>
        <v>48617</v>
      </c>
      <c r="AA29" s="413" t="s">
        <v>1686</v>
      </c>
      <c r="AB29" s="462"/>
      <c r="AC29" s="460"/>
      <c r="AD29" s="431">
        <f>SUM(AD23:AD28)</f>
        <v>54144</v>
      </c>
      <c r="AF29" s="709" t="s">
        <v>1686</v>
      </c>
      <c r="AG29" s="710"/>
      <c r="AH29" s="710"/>
      <c r="AI29" s="431">
        <f>SUM(AI23:AI28)</f>
        <v>60676</v>
      </c>
      <c r="AK29" s="711" t="s">
        <v>1686</v>
      </c>
      <c r="AL29" s="712"/>
      <c r="AM29" s="713"/>
      <c r="AN29" s="431">
        <f>SUM(AN23:AN28)</f>
        <v>66718</v>
      </c>
      <c r="AP29" s="709" t="s">
        <v>1686</v>
      </c>
      <c r="AQ29" s="710"/>
      <c r="AR29" s="710"/>
      <c r="AS29" s="431">
        <f>SUM(AS23:AS28)</f>
        <v>73731</v>
      </c>
      <c r="AW29" s="714" t="s">
        <v>1686</v>
      </c>
      <c r="AX29" s="710"/>
      <c r="AY29" s="710"/>
      <c r="AZ29" s="431">
        <f>SUM(AZ23:AZ28)</f>
        <v>80598</v>
      </c>
      <c r="BA29" s="694"/>
      <c r="BB29" s="575"/>
      <c r="BC29" s="576"/>
      <c r="BF29" s="413" t="s">
        <v>1677</v>
      </c>
      <c r="BG29" s="455">
        <v>28</v>
      </c>
      <c r="BH29" s="460">
        <v>160</v>
      </c>
      <c r="BI29" s="415">
        <f t="shared" si="35"/>
        <v>188</v>
      </c>
      <c r="BJ29" s="720"/>
      <c r="BK29" s="696"/>
      <c r="BL29" s="697"/>
      <c r="BN29" s="424" t="s">
        <v>1677</v>
      </c>
      <c r="BO29" s="462">
        <v>30</v>
      </c>
      <c r="BP29" s="463">
        <v>166</v>
      </c>
      <c r="BQ29" s="426">
        <f t="shared" si="36"/>
        <v>196</v>
      </c>
      <c r="BR29" s="721"/>
      <c r="BS29" s="699"/>
      <c r="BT29" s="700"/>
      <c r="BV29" s="413" t="s">
        <v>1677</v>
      </c>
      <c r="BW29" s="455">
        <v>35</v>
      </c>
      <c r="BX29" s="460">
        <v>173</v>
      </c>
      <c r="BY29" s="415">
        <f t="shared" si="37"/>
        <v>208</v>
      </c>
      <c r="BZ29" s="720"/>
      <c r="CA29" s="696"/>
      <c r="CB29" s="697"/>
      <c r="CD29" s="559" t="s">
        <v>1686</v>
      </c>
      <c r="CE29" s="560"/>
      <c r="CF29" s="560"/>
      <c r="CG29" s="121">
        <f>SUM(CG23:CG28)</f>
        <v>182924</v>
      </c>
      <c r="CH29" s="568"/>
      <c r="CI29" s="569"/>
      <c r="CJ29" s="570"/>
    </row>
    <row r="30" spans="2:88" ht="17.25" customHeight="1" thickTop="1" thickBot="1">
      <c r="B30" s="432"/>
      <c r="C30" s="433"/>
      <c r="D30" s="434"/>
      <c r="E30" s="432"/>
      <c r="G30" s="432"/>
      <c r="H30" s="433"/>
      <c r="I30" s="434"/>
      <c r="J30" s="432"/>
      <c r="L30" s="432"/>
      <c r="M30" s="437"/>
      <c r="N30" s="434"/>
      <c r="O30" s="432"/>
      <c r="Q30" s="438"/>
      <c r="R30" s="439"/>
      <c r="S30" s="440"/>
      <c r="T30" s="438"/>
      <c r="V30" s="432"/>
      <c r="W30" s="437"/>
      <c r="X30" s="434"/>
      <c r="Y30" s="432"/>
      <c r="AA30" s="432"/>
      <c r="AB30" s="437"/>
      <c r="AC30" s="434"/>
      <c r="AD30" s="432"/>
      <c r="AF30" s="441"/>
      <c r="AG30" s="442"/>
      <c r="AH30" s="442"/>
      <c r="AI30" s="443"/>
      <c r="AK30" s="450"/>
      <c r="AL30" s="451"/>
      <c r="AM30" s="467"/>
      <c r="AN30" s="443"/>
      <c r="AP30" s="715"/>
      <c r="AQ30" s="716"/>
      <c r="AR30" s="716"/>
      <c r="AS30" s="717"/>
      <c r="AW30" s="718"/>
      <c r="AX30" s="716"/>
      <c r="AY30" s="716"/>
      <c r="AZ30" s="717"/>
      <c r="BA30" s="694"/>
      <c r="BB30" s="575"/>
      <c r="BC30" s="576"/>
      <c r="BF30" s="559" t="s">
        <v>1686</v>
      </c>
      <c r="BG30" s="560"/>
      <c r="BH30" s="560"/>
      <c r="BI30" s="121">
        <f>SUM(BI24:BI29)</f>
        <v>87387</v>
      </c>
      <c r="BJ30" s="568"/>
      <c r="BK30" s="569"/>
      <c r="BL30" s="570"/>
      <c r="BN30" s="604" t="s">
        <v>1686</v>
      </c>
      <c r="BO30" s="605"/>
      <c r="BP30" s="605"/>
      <c r="BQ30" s="121">
        <f>SUM(BQ24:BQ29)</f>
        <v>94839</v>
      </c>
      <c r="BR30" s="588"/>
      <c r="BS30" s="589"/>
      <c r="BT30" s="590"/>
      <c r="BV30" s="559" t="s">
        <v>1686</v>
      </c>
      <c r="BW30" s="560"/>
      <c r="BX30" s="560"/>
      <c r="BY30" s="121">
        <f>SUM(BY24:BY29)</f>
        <v>102318</v>
      </c>
      <c r="BZ30" s="568"/>
      <c r="CA30" s="569"/>
      <c r="CB30" s="570"/>
      <c r="CD30" s="609" t="s">
        <v>1792</v>
      </c>
      <c r="CE30" s="625"/>
      <c r="CF30" s="625"/>
      <c r="CG30" s="625"/>
      <c r="CH30" s="626"/>
      <c r="CI30" s="626"/>
      <c r="CJ30" s="627"/>
    </row>
    <row r="31" spans="2:88" ht="16" thickTop="1" thickBot="1">
      <c r="B31" s="149" t="s">
        <v>1794</v>
      </c>
      <c r="C31" s="453">
        <f>SUM(C3:C29)</f>
        <v>755</v>
      </c>
      <c r="D31" s="468"/>
      <c r="E31" s="468"/>
      <c r="G31" s="149" t="s">
        <v>1794</v>
      </c>
      <c r="H31" s="453">
        <f>SUM(H3:H29)</f>
        <v>1193</v>
      </c>
      <c r="I31" s="468"/>
      <c r="J31" s="468"/>
      <c r="L31" s="149" t="s">
        <v>1794</v>
      </c>
      <c r="M31" s="455">
        <f>SUM(M3:M29)</f>
        <v>8370</v>
      </c>
      <c r="N31" s="469">
        <f>SUM(N3:N29)</f>
        <v>144355</v>
      </c>
      <c r="O31" s="469">
        <f>SUM(O10+O20+O29)</f>
        <v>152725</v>
      </c>
      <c r="Q31" s="470" t="s">
        <v>1794</v>
      </c>
      <c r="R31" s="456">
        <f>SUM(R3:R29)</f>
        <v>9808</v>
      </c>
      <c r="S31" s="471">
        <f>SUM(S3:S29)</f>
        <v>150241</v>
      </c>
      <c r="T31" s="471">
        <f>SUM(T10+T20+T29)</f>
        <v>160049</v>
      </c>
      <c r="V31" s="149" t="s">
        <v>1794</v>
      </c>
      <c r="W31" s="455">
        <f>SUM(W3:W29)</f>
        <v>10971</v>
      </c>
      <c r="X31" s="469">
        <f>SUM(X3:X29)</f>
        <v>155508</v>
      </c>
      <c r="Y31" s="469">
        <f>SUM(Y10+Y20+Y29)</f>
        <v>166479</v>
      </c>
      <c r="AA31" s="149" t="s">
        <v>1794</v>
      </c>
      <c r="AB31" s="455">
        <f>SUM(AB3:AB29)</f>
        <v>14554</v>
      </c>
      <c r="AC31" s="469">
        <f>SUM(AC3:AC29)</f>
        <v>164734</v>
      </c>
      <c r="AD31" s="469">
        <f>SUM(AD10+AD20+AD29)</f>
        <v>179288</v>
      </c>
      <c r="AF31" s="472" t="s">
        <v>1795</v>
      </c>
      <c r="AG31" s="456">
        <f>SUM(AG3:AG29)</f>
        <v>19135</v>
      </c>
      <c r="AH31" s="461">
        <f>SUM(AH3:AH29)</f>
        <v>176506</v>
      </c>
      <c r="AI31" s="461">
        <f>SUM(AI10+AI20+AI29)</f>
        <v>195641</v>
      </c>
      <c r="AK31" s="472" t="s">
        <v>1795</v>
      </c>
      <c r="AL31" s="456">
        <f>SUM(AL3:AL29)</f>
        <v>22778</v>
      </c>
      <c r="AM31" s="461">
        <f>SUM(AM3:AM29)</f>
        <v>189358</v>
      </c>
      <c r="AN31" s="461">
        <f>SUM(AN10+AN20+AN29)</f>
        <v>212136</v>
      </c>
      <c r="AP31" s="472" t="s">
        <v>1795</v>
      </c>
      <c r="AQ31" s="456">
        <f>SUM(AQ3:AQ29)</f>
        <v>26415</v>
      </c>
      <c r="AR31" s="461">
        <f>SUM(AR3:AR29)</f>
        <v>205683</v>
      </c>
      <c r="AS31" s="461">
        <f>SUM(AS10+AS20+AS29)</f>
        <v>232098</v>
      </c>
      <c r="AW31" s="472" t="s">
        <v>1795</v>
      </c>
      <c r="AX31" s="455">
        <f>SUM(AX3:AX29)</f>
        <v>30255</v>
      </c>
      <c r="AY31" s="460">
        <f>SUM(AY3:AY29)</f>
        <v>221791</v>
      </c>
      <c r="AZ31" s="460">
        <f>SUM(AZ10+AZ20+AZ29)</f>
        <v>252046</v>
      </c>
      <c r="BA31" s="694"/>
      <c r="BB31" s="575"/>
      <c r="BC31" s="576"/>
      <c r="BF31" s="609" t="s">
        <v>1792</v>
      </c>
      <c r="BG31" s="625"/>
      <c r="BH31" s="625"/>
      <c r="BI31" s="625"/>
      <c r="BJ31" s="626"/>
      <c r="BK31" s="626"/>
      <c r="BL31" s="627"/>
      <c r="BN31" s="609" t="s">
        <v>1792</v>
      </c>
      <c r="BO31" s="625"/>
      <c r="BP31" s="625"/>
      <c r="BQ31" s="625"/>
      <c r="BR31" s="629"/>
      <c r="BS31" s="629"/>
      <c r="BT31" s="630"/>
      <c r="BV31" s="609" t="s">
        <v>1792</v>
      </c>
      <c r="BW31" s="625"/>
      <c r="BX31" s="625"/>
      <c r="BY31" s="625"/>
      <c r="BZ31" s="626"/>
      <c r="CA31" s="626"/>
      <c r="CB31" s="627"/>
      <c r="CD31" s="413" t="s">
        <v>1635</v>
      </c>
      <c r="CE31" s="416">
        <v>0</v>
      </c>
      <c r="CF31" s="415">
        <v>30562</v>
      </c>
      <c r="CG31" s="415">
        <f t="shared" ref="CG31:CG36" si="38">SUM(CE31:CF31)</f>
        <v>30562</v>
      </c>
      <c r="CH31" s="722" t="s">
        <v>1796</v>
      </c>
      <c r="CI31" s="723"/>
      <c r="CJ31" s="724"/>
    </row>
    <row r="32" spans="2:88" ht="15" thickBot="1">
      <c r="B32" s="153" t="s">
        <v>167</v>
      </c>
      <c r="C32" s="154">
        <v>1947</v>
      </c>
      <c r="D32" s="155">
        <v>1563</v>
      </c>
      <c r="E32" s="155">
        <f>SUM(C32:D32)</f>
        <v>3510</v>
      </c>
      <c r="G32" s="153" t="s">
        <v>167</v>
      </c>
      <c r="H32" s="154">
        <v>2520</v>
      </c>
      <c r="I32" s="155">
        <v>1863</v>
      </c>
      <c r="J32" s="155">
        <f>SUM(H32:I32)</f>
        <v>4383</v>
      </c>
      <c r="L32" s="473" t="s">
        <v>167</v>
      </c>
      <c r="M32" s="154">
        <v>8283</v>
      </c>
      <c r="N32" s="155">
        <v>2443</v>
      </c>
      <c r="O32" s="474">
        <f>SUM(M32:N32)</f>
        <v>10726</v>
      </c>
      <c r="Q32" s="473" t="s">
        <v>167</v>
      </c>
      <c r="R32" s="154">
        <v>10006</v>
      </c>
      <c r="S32" s="155">
        <v>2820</v>
      </c>
      <c r="T32" s="474">
        <f>SUM(R32:S32)</f>
        <v>12826</v>
      </c>
      <c r="V32" s="473" t="s">
        <v>167</v>
      </c>
      <c r="W32" s="154">
        <v>12061</v>
      </c>
      <c r="X32" s="155">
        <v>3210</v>
      </c>
      <c r="Y32" s="474">
        <f>SUM(W32:X32)</f>
        <v>15271</v>
      </c>
      <c r="AA32" s="473" t="s">
        <v>167</v>
      </c>
      <c r="AB32" s="154">
        <v>18247</v>
      </c>
      <c r="AC32" s="155">
        <v>4461</v>
      </c>
      <c r="AD32" s="474">
        <f>SUM(AB32:AC32)</f>
        <v>22708</v>
      </c>
      <c r="AF32" s="475" t="s">
        <v>1798</v>
      </c>
      <c r="AG32" s="429">
        <v>25268</v>
      </c>
      <c r="AH32" s="465">
        <v>6071</v>
      </c>
      <c r="AI32" s="465">
        <f>SUM(AG32:AH32)</f>
        <v>31339</v>
      </c>
      <c r="AK32" s="475" t="s">
        <v>1798</v>
      </c>
      <c r="AL32" s="429">
        <v>30045</v>
      </c>
      <c r="AM32" s="465">
        <v>8266</v>
      </c>
      <c r="AN32" s="465">
        <f>SUM(AL32:AM32)</f>
        <v>38311</v>
      </c>
      <c r="AP32" s="475" t="s">
        <v>1798</v>
      </c>
      <c r="AQ32" s="429">
        <v>35412</v>
      </c>
      <c r="AR32" s="465">
        <v>11022</v>
      </c>
      <c r="AS32" s="465">
        <f>SUM(AQ32:AR32)</f>
        <v>46434</v>
      </c>
      <c r="AW32" s="475" t="s">
        <v>1798</v>
      </c>
      <c r="AX32" s="429">
        <v>40810</v>
      </c>
      <c r="AY32" s="465">
        <v>13859</v>
      </c>
      <c r="AZ32" s="465">
        <f>SUM(AX32:AY32)</f>
        <v>54669</v>
      </c>
      <c r="BA32" s="577"/>
      <c r="BB32" s="578"/>
      <c r="BC32" s="579"/>
      <c r="BF32" s="413" t="s">
        <v>1635</v>
      </c>
      <c r="BG32" s="416">
        <v>0</v>
      </c>
      <c r="BH32" s="415">
        <v>27770</v>
      </c>
      <c r="BI32" s="415">
        <f t="shared" ref="BI32:BI38" si="39">SUM(BG32:BH32)</f>
        <v>27770</v>
      </c>
      <c r="BJ32" s="722" t="s">
        <v>1796</v>
      </c>
      <c r="BK32" s="723"/>
      <c r="BL32" s="724"/>
      <c r="BN32" s="424" t="s">
        <v>1635</v>
      </c>
      <c r="BO32" s="425">
        <v>0</v>
      </c>
      <c r="BP32" s="426">
        <v>28347</v>
      </c>
      <c r="BQ32" s="426">
        <f t="shared" ref="BQ32:BQ38" si="40">SUM(BO32:BP32)</f>
        <v>28347</v>
      </c>
      <c r="BR32" s="722" t="s">
        <v>1796</v>
      </c>
      <c r="BS32" s="723"/>
      <c r="BT32" s="724"/>
      <c r="BV32" s="413" t="s">
        <v>1635</v>
      </c>
      <c r="BW32" s="416">
        <v>0</v>
      </c>
      <c r="BX32" s="415">
        <v>28911</v>
      </c>
      <c r="BY32" s="415">
        <f t="shared" ref="BY32:BY38" si="41">SUM(BW32:BX32)</f>
        <v>28911</v>
      </c>
      <c r="BZ32" s="722" t="s">
        <v>1796</v>
      </c>
      <c r="CA32" s="723"/>
      <c r="CB32" s="724"/>
      <c r="CD32" s="413" t="s">
        <v>1638</v>
      </c>
      <c r="CE32" s="416">
        <v>0</v>
      </c>
      <c r="CF32" s="415">
        <v>13370</v>
      </c>
      <c r="CG32" s="415">
        <f t="shared" si="38"/>
        <v>13370</v>
      </c>
      <c r="CH32" s="725"/>
      <c r="CI32" s="635"/>
      <c r="CJ32" s="636"/>
    </row>
    <row r="33" spans="1:88" ht="15" thickBot="1">
      <c r="B33" s="159" t="s">
        <v>1634</v>
      </c>
      <c r="C33" s="160">
        <f>SUM(C31+C32)</f>
        <v>2702</v>
      </c>
      <c r="D33" s="161">
        <f>SUM(D3:D32)</f>
        <v>130465</v>
      </c>
      <c r="E33" s="162">
        <f>SUM(C33:D33)</f>
        <v>133167</v>
      </c>
      <c r="G33" s="159" t="s">
        <v>1634</v>
      </c>
      <c r="H33" s="160">
        <f>SUM(H31+H32)</f>
        <v>3713</v>
      </c>
      <c r="I33" s="161">
        <f>SUM(I3:I32)</f>
        <v>137261</v>
      </c>
      <c r="J33" s="162">
        <f>SUM(H33:I33)</f>
        <v>140974</v>
      </c>
      <c r="L33" s="476" t="s">
        <v>1634</v>
      </c>
      <c r="M33" s="160">
        <f>SUM(M31+M32)</f>
        <v>16653</v>
      </c>
      <c r="N33" s="164">
        <f>SUM(N31+N32)</f>
        <v>146798</v>
      </c>
      <c r="O33" s="477">
        <f>SUM(M33:N33)</f>
        <v>163451</v>
      </c>
      <c r="Q33" s="478" t="s">
        <v>1634</v>
      </c>
      <c r="R33" s="479">
        <f>SUM(R31+R32)</f>
        <v>19814</v>
      </c>
      <c r="S33" s="480">
        <f>SUM(S31+S32)</f>
        <v>153061</v>
      </c>
      <c r="T33" s="481">
        <f>SUM(R33:S33)</f>
        <v>172875</v>
      </c>
      <c r="V33" s="476" t="s">
        <v>1634</v>
      </c>
      <c r="W33" s="166">
        <f>SUM(W31+W32)</f>
        <v>23032</v>
      </c>
      <c r="X33" s="167">
        <f>SUM(X31+X32)</f>
        <v>158718</v>
      </c>
      <c r="Y33" s="482">
        <f>SUM(W33:X33)</f>
        <v>181750</v>
      </c>
      <c r="AA33" s="476" t="s">
        <v>1634</v>
      </c>
      <c r="AB33" s="166">
        <f>SUM(AB31+AB32)</f>
        <v>32801</v>
      </c>
      <c r="AC33" s="167">
        <f>SUM(AC31+AC32)</f>
        <v>169195</v>
      </c>
      <c r="AD33" s="483">
        <f>SUM(AB33:AC33)</f>
        <v>201996</v>
      </c>
      <c r="AF33" s="484" t="s">
        <v>1799</v>
      </c>
      <c r="AG33" s="485">
        <f>SUM(AG31+AG32)</f>
        <v>44403</v>
      </c>
      <c r="AH33" s="486">
        <f>SUM(AH31+AH32)</f>
        <v>182577</v>
      </c>
      <c r="AI33" s="487">
        <f>SUM(AG33:AH33)</f>
        <v>226980</v>
      </c>
      <c r="AK33" s="484" t="s">
        <v>1799</v>
      </c>
      <c r="AL33" s="488">
        <f>SUM(AL31+AL32)</f>
        <v>52823</v>
      </c>
      <c r="AM33" s="488">
        <f>SUM(AM31+AM32)</f>
        <v>197624</v>
      </c>
      <c r="AN33" s="487">
        <f>SUM(AL33:AM33)</f>
        <v>250447</v>
      </c>
      <c r="AP33" s="484" t="s">
        <v>1799</v>
      </c>
      <c r="AQ33" s="488">
        <f>SUM(AQ31+AQ32)</f>
        <v>61827</v>
      </c>
      <c r="AR33" s="488">
        <f>SUM(AR31+AR32)</f>
        <v>216705</v>
      </c>
      <c r="AS33" s="487">
        <f>SUM(AQ33:AR33)</f>
        <v>278532</v>
      </c>
      <c r="AW33" s="484" t="s">
        <v>1799</v>
      </c>
      <c r="AX33" s="489">
        <f>SUM(AX31+AX32)</f>
        <v>71065</v>
      </c>
      <c r="AY33" s="489">
        <f>SUM(AY31+AY32)</f>
        <v>235650</v>
      </c>
      <c r="AZ33" s="490">
        <f>SUM(AX33:AY33)</f>
        <v>306715</v>
      </c>
      <c r="BF33" s="413" t="s">
        <v>1638</v>
      </c>
      <c r="BG33" s="416">
        <v>0</v>
      </c>
      <c r="BH33" s="415">
        <v>12105</v>
      </c>
      <c r="BI33" s="415">
        <f t="shared" si="39"/>
        <v>12105</v>
      </c>
      <c r="BJ33" s="725"/>
      <c r="BK33" s="635"/>
      <c r="BL33" s="636"/>
      <c r="BN33" s="424" t="s">
        <v>1638</v>
      </c>
      <c r="BO33" s="425">
        <v>0</v>
      </c>
      <c r="BP33" s="426">
        <v>12352</v>
      </c>
      <c r="BQ33" s="426">
        <f t="shared" si="40"/>
        <v>12352</v>
      </c>
      <c r="BR33" s="725"/>
      <c r="BS33" s="635"/>
      <c r="BT33" s="636"/>
      <c r="BV33" s="413" t="s">
        <v>1638</v>
      </c>
      <c r="BW33" s="416">
        <v>0</v>
      </c>
      <c r="BX33" s="415">
        <v>12610</v>
      </c>
      <c r="BY33" s="415">
        <f t="shared" si="41"/>
        <v>12610</v>
      </c>
      <c r="BZ33" s="725"/>
      <c r="CA33" s="635"/>
      <c r="CB33" s="636"/>
      <c r="CD33" s="413" t="s">
        <v>1649</v>
      </c>
      <c r="CE33" s="416">
        <v>0</v>
      </c>
      <c r="CF33" s="415">
        <v>20834</v>
      </c>
      <c r="CG33" s="415">
        <f t="shared" si="38"/>
        <v>20834</v>
      </c>
      <c r="CH33" s="725"/>
      <c r="CI33" s="635"/>
      <c r="CJ33" s="636"/>
    </row>
    <row r="34" spans="1:88">
      <c r="BF34" s="413" t="s">
        <v>1649</v>
      </c>
      <c r="BG34" s="416">
        <v>0</v>
      </c>
      <c r="BH34" s="415">
        <v>18926</v>
      </c>
      <c r="BI34" s="415">
        <f t="shared" si="39"/>
        <v>18926</v>
      </c>
      <c r="BJ34" s="725"/>
      <c r="BK34" s="635"/>
      <c r="BL34" s="636"/>
      <c r="BN34" s="424" t="s">
        <v>1649</v>
      </c>
      <c r="BO34" s="425">
        <v>0</v>
      </c>
      <c r="BP34" s="426">
        <v>19351</v>
      </c>
      <c r="BQ34" s="426">
        <f t="shared" si="40"/>
        <v>19351</v>
      </c>
      <c r="BR34" s="725"/>
      <c r="BS34" s="635"/>
      <c r="BT34" s="636"/>
      <c r="BV34" s="413" t="s">
        <v>1649</v>
      </c>
      <c r="BW34" s="416">
        <v>0</v>
      </c>
      <c r="BX34" s="415">
        <v>19726</v>
      </c>
      <c r="BY34" s="415">
        <f t="shared" si="41"/>
        <v>19726</v>
      </c>
      <c r="BZ34" s="725"/>
      <c r="CA34" s="635"/>
      <c r="CB34" s="636"/>
      <c r="CD34" s="413" t="s">
        <v>1659</v>
      </c>
      <c r="CE34" s="416">
        <v>0</v>
      </c>
      <c r="CF34" s="415">
        <v>4280</v>
      </c>
      <c r="CG34" s="415">
        <f t="shared" si="38"/>
        <v>4280</v>
      </c>
      <c r="CH34" s="725"/>
      <c r="CI34" s="635"/>
      <c r="CJ34" s="636"/>
    </row>
    <row r="35" spans="1:88">
      <c r="A35" s="175" t="s">
        <v>1800</v>
      </c>
      <c r="F35" s="175"/>
      <c r="G35" s="175"/>
      <c r="BF35" s="413" t="s">
        <v>1659</v>
      </c>
      <c r="BG35" s="416">
        <v>0</v>
      </c>
      <c r="BH35" s="415">
        <v>3888</v>
      </c>
      <c r="BI35" s="415">
        <f t="shared" si="39"/>
        <v>3888</v>
      </c>
      <c r="BJ35" s="725"/>
      <c r="BK35" s="635"/>
      <c r="BL35" s="636"/>
      <c r="BN35" s="424" t="s">
        <v>1659</v>
      </c>
      <c r="BO35" s="425">
        <v>0</v>
      </c>
      <c r="BP35" s="426">
        <v>3950</v>
      </c>
      <c r="BQ35" s="426">
        <f t="shared" si="40"/>
        <v>3950</v>
      </c>
      <c r="BR35" s="725"/>
      <c r="BS35" s="635"/>
      <c r="BT35" s="636"/>
      <c r="BV35" s="413" t="s">
        <v>1659</v>
      </c>
      <c r="BW35" s="416">
        <v>0</v>
      </c>
      <c r="BX35" s="415">
        <v>4029</v>
      </c>
      <c r="BY35" s="415">
        <f t="shared" si="41"/>
        <v>4029</v>
      </c>
      <c r="BZ35" s="725"/>
      <c r="CA35" s="635"/>
      <c r="CB35" s="636"/>
      <c r="CD35" s="413" t="s">
        <v>1668</v>
      </c>
      <c r="CE35" s="416">
        <v>0</v>
      </c>
      <c r="CF35" s="415">
        <v>822</v>
      </c>
      <c r="CG35" s="415">
        <f t="shared" si="38"/>
        <v>822</v>
      </c>
      <c r="CH35" s="725"/>
      <c r="CI35" s="635"/>
      <c r="CJ35" s="636"/>
    </row>
    <row r="36" spans="1:88" ht="15" thickBot="1">
      <c r="BF36" s="413" t="s">
        <v>1668</v>
      </c>
      <c r="BG36" s="416">
        <v>0</v>
      </c>
      <c r="BH36" s="415">
        <v>758</v>
      </c>
      <c r="BI36" s="415">
        <f t="shared" si="39"/>
        <v>758</v>
      </c>
      <c r="BJ36" s="725"/>
      <c r="BK36" s="635"/>
      <c r="BL36" s="636"/>
      <c r="BN36" s="424" t="s">
        <v>1668</v>
      </c>
      <c r="BO36" s="425">
        <v>0</v>
      </c>
      <c r="BP36" s="426">
        <v>776</v>
      </c>
      <c r="BQ36" s="426">
        <f t="shared" si="40"/>
        <v>776</v>
      </c>
      <c r="BR36" s="725"/>
      <c r="BS36" s="635"/>
      <c r="BT36" s="636"/>
      <c r="BV36" s="413" t="s">
        <v>1668</v>
      </c>
      <c r="BW36" s="416">
        <v>0</v>
      </c>
      <c r="BX36" s="415">
        <v>785</v>
      </c>
      <c r="BY36" s="415">
        <f t="shared" si="41"/>
        <v>785</v>
      </c>
      <c r="BZ36" s="725"/>
      <c r="CA36" s="635"/>
      <c r="CB36" s="636"/>
      <c r="CD36" s="413" t="s">
        <v>1688</v>
      </c>
      <c r="CE36" s="416">
        <v>0</v>
      </c>
      <c r="CF36" s="415">
        <v>1368</v>
      </c>
      <c r="CG36" s="415">
        <f t="shared" si="38"/>
        <v>1368</v>
      </c>
      <c r="CH36" s="698"/>
      <c r="CI36" s="581"/>
      <c r="CJ36" s="582"/>
    </row>
    <row r="37" spans="1:88" ht="16" thickBot="1">
      <c r="A37" t="s">
        <v>1801</v>
      </c>
      <c r="B37" s="176">
        <v>126650</v>
      </c>
      <c r="E37" t="s">
        <v>1802</v>
      </c>
      <c r="BF37" s="413" t="s">
        <v>1677</v>
      </c>
      <c r="BG37" s="416">
        <v>0</v>
      </c>
      <c r="BH37" s="415">
        <v>1107</v>
      </c>
      <c r="BI37" s="415">
        <f t="shared" si="39"/>
        <v>1107</v>
      </c>
      <c r="BJ37" s="698"/>
      <c r="BK37" s="581"/>
      <c r="BL37" s="582"/>
      <c r="BN37" s="424" t="s">
        <v>1677</v>
      </c>
      <c r="BO37" s="425">
        <v>0</v>
      </c>
      <c r="BP37" s="426">
        <v>1133</v>
      </c>
      <c r="BQ37" s="426">
        <f t="shared" si="40"/>
        <v>1133</v>
      </c>
      <c r="BR37" s="701"/>
      <c r="BS37" s="586"/>
      <c r="BT37" s="587"/>
      <c r="BV37" s="413" t="s">
        <v>1677</v>
      </c>
      <c r="BW37" s="416">
        <v>0</v>
      </c>
      <c r="BX37" s="415">
        <v>1150</v>
      </c>
      <c r="BY37" s="415">
        <f t="shared" si="41"/>
        <v>1150</v>
      </c>
      <c r="BZ37" s="698"/>
      <c r="CA37" s="581"/>
      <c r="CB37" s="582"/>
      <c r="CD37" s="559" t="s">
        <v>1686</v>
      </c>
      <c r="CE37" s="560"/>
      <c r="CF37" s="560"/>
      <c r="CG37" s="121">
        <f>SUM(CG31:CG36)</f>
        <v>71236</v>
      </c>
      <c r="CH37" s="568"/>
      <c r="CI37" s="569"/>
      <c r="CJ37" s="570"/>
    </row>
    <row r="38" spans="1:88" ht="17" thickTop="1" thickBot="1">
      <c r="A38" t="s">
        <v>1803</v>
      </c>
      <c r="B38" s="177">
        <v>163451</v>
      </c>
      <c r="D38" s="178">
        <f>B38-B37</f>
        <v>36801</v>
      </c>
      <c r="E38" s="179">
        <f>D38/B37</f>
        <v>0.29057244374259772</v>
      </c>
      <c r="BF38" s="413" t="s">
        <v>1687</v>
      </c>
      <c r="BG38" s="416">
        <v>0</v>
      </c>
      <c r="BH38" s="415">
        <v>1024</v>
      </c>
      <c r="BI38" s="415">
        <f t="shared" si="39"/>
        <v>1024</v>
      </c>
      <c r="BJ38" s="698"/>
      <c r="BK38" s="581"/>
      <c r="BL38" s="582"/>
      <c r="BN38" s="424" t="s">
        <v>1687</v>
      </c>
      <c r="BO38" s="425">
        <v>0</v>
      </c>
      <c r="BP38" s="426">
        <v>1116</v>
      </c>
      <c r="BQ38" s="426">
        <f t="shared" si="40"/>
        <v>1116</v>
      </c>
      <c r="BR38" s="701"/>
      <c r="BS38" s="586"/>
      <c r="BT38" s="587"/>
      <c r="BV38" s="413" t="s">
        <v>1687</v>
      </c>
      <c r="BW38" s="416">
        <v>0</v>
      </c>
      <c r="BX38" s="415">
        <v>1196</v>
      </c>
      <c r="BY38" s="415">
        <f t="shared" si="41"/>
        <v>1196</v>
      </c>
      <c r="BZ38" s="698"/>
      <c r="CA38" s="581"/>
      <c r="CB38" s="582"/>
      <c r="CD38" s="180" t="s">
        <v>1804</v>
      </c>
      <c r="CE38" s="181">
        <f>SUM(CE4:CE37)</f>
        <v>243165</v>
      </c>
      <c r="CF38" s="182">
        <f>SUM(CF4:CF37)</f>
        <v>294114</v>
      </c>
      <c r="CG38" s="182">
        <f>SUM(CG10+CG17+CG21+CG29+CG37)</f>
        <v>537279</v>
      </c>
      <c r="CH38" s="638"/>
      <c r="CI38" s="639"/>
      <c r="CJ38" s="640"/>
    </row>
    <row r="39" spans="1:88" ht="16" thickBot="1">
      <c r="A39" t="s">
        <v>1805</v>
      </c>
      <c r="B39" s="176">
        <v>201996</v>
      </c>
      <c r="D39" s="178">
        <f>B39-B38</f>
        <v>38545</v>
      </c>
      <c r="E39" s="179">
        <f>D39/B38</f>
        <v>0.23581990933062508</v>
      </c>
      <c r="BF39" s="559" t="s">
        <v>1686</v>
      </c>
      <c r="BG39" s="560"/>
      <c r="BH39" s="560"/>
      <c r="BI39" s="121">
        <f>SUM(BI32:BI38)</f>
        <v>65578</v>
      </c>
      <c r="BJ39" s="568"/>
      <c r="BK39" s="569"/>
      <c r="BL39" s="570"/>
      <c r="BN39" s="604" t="s">
        <v>1686</v>
      </c>
      <c r="BO39" s="605"/>
      <c r="BP39" s="605"/>
      <c r="BQ39" s="121">
        <f>SUM(BQ32:BQ38)</f>
        <v>67025</v>
      </c>
      <c r="BR39" s="588"/>
      <c r="BS39" s="589"/>
      <c r="BT39" s="590"/>
      <c r="BV39" s="559" t="s">
        <v>1686</v>
      </c>
      <c r="BW39" s="560"/>
      <c r="BX39" s="560"/>
      <c r="BY39" s="121">
        <f>SUM(BY32:BY38)</f>
        <v>68407</v>
      </c>
      <c r="BZ39" s="568"/>
      <c r="CA39" s="569"/>
      <c r="CB39" s="570"/>
      <c r="CD39" s="491" t="s">
        <v>1798</v>
      </c>
      <c r="CE39" s="429">
        <v>273412</v>
      </c>
      <c r="CF39" s="465">
        <v>32275</v>
      </c>
      <c r="CG39" s="465">
        <f>SUM(CE39:CF39)</f>
        <v>305687</v>
      </c>
      <c r="CH39" s="698"/>
      <c r="CI39" s="641"/>
      <c r="CJ39" s="582"/>
    </row>
    <row r="40" spans="1:88" ht="17" thickTop="1" thickBot="1">
      <c r="A40" t="s">
        <v>1806</v>
      </c>
      <c r="B40" s="176">
        <v>278532</v>
      </c>
      <c r="D40" s="178">
        <f>B40-B39</f>
        <v>76536</v>
      </c>
      <c r="E40" s="179">
        <f>D40/B39</f>
        <v>0.37889859205132775</v>
      </c>
      <c r="BF40" s="180" t="s">
        <v>1804</v>
      </c>
      <c r="BG40" s="181">
        <f>SUM(BG4:BG39)</f>
        <v>33770</v>
      </c>
      <c r="BH40" s="182">
        <f>SUM(BH4:BH39)</f>
        <v>238880</v>
      </c>
      <c r="BI40" s="182">
        <f>SUM(BI11+BI18+BI22+BI30+BI39)</f>
        <v>272650</v>
      </c>
      <c r="BJ40" s="638"/>
      <c r="BK40" s="639"/>
      <c r="BL40" s="640"/>
      <c r="BN40" s="180" t="s">
        <v>1804</v>
      </c>
      <c r="BO40" s="184">
        <f>SUM(BO4:BO39)</f>
        <v>38151</v>
      </c>
      <c r="BP40" s="185">
        <f>SUM(BP4:BP39)</f>
        <v>257124</v>
      </c>
      <c r="BQ40" s="185">
        <f>SUM(BQ11+BQ18+BQ22+BQ30+BQ39)</f>
        <v>295275</v>
      </c>
      <c r="BR40" s="645"/>
      <c r="BS40" s="646"/>
      <c r="BT40" s="647"/>
      <c r="BV40" s="180" t="s">
        <v>1804</v>
      </c>
      <c r="BW40" s="181">
        <f>SUM(BW4:BW39)</f>
        <v>44436</v>
      </c>
      <c r="BX40" s="182">
        <f>SUM(BX4:BX39)</f>
        <v>275371</v>
      </c>
      <c r="BY40" s="182">
        <f>SUM(BY11+BY18+BY22+BY30+BY39)</f>
        <v>319807</v>
      </c>
      <c r="BZ40" s="638"/>
      <c r="CA40" s="639"/>
      <c r="CB40" s="640"/>
      <c r="CD40" s="492" t="s">
        <v>1799</v>
      </c>
      <c r="CE40" s="489">
        <f>SUM(CE38+CE39)</f>
        <v>516577</v>
      </c>
      <c r="CF40" s="489">
        <f>SUM(CF38+CF39)</f>
        <v>326389</v>
      </c>
      <c r="CG40" s="490">
        <f>SUM(CE40:CF40)</f>
        <v>842966</v>
      </c>
      <c r="CH40" s="642"/>
      <c r="CI40" s="643"/>
      <c r="CJ40" s="644"/>
    </row>
    <row r="41" spans="1:88">
      <c r="BF41" s="491" t="s">
        <v>1798</v>
      </c>
      <c r="BG41" s="429">
        <v>46190</v>
      </c>
      <c r="BH41" s="465">
        <v>16641</v>
      </c>
      <c r="BI41" s="465">
        <f>SUM(BG41:BH41)</f>
        <v>62831</v>
      </c>
      <c r="BJ41" s="698"/>
      <c r="BK41" s="641"/>
      <c r="BL41" s="582"/>
      <c r="BN41" s="491" t="s">
        <v>1798</v>
      </c>
      <c r="BO41" s="429">
        <v>52033</v>
      </c>
      <c r="BP41" s="465">
        <v>20848</v>
      </c>
      <c r="BQ41" s="465">
        <f>SUM(BO41:BP41)</f>
        <v>72881</v>
      </c>
      <c r="BR41" s="701"/>
      <c r="BS41" s="648"/>
      <c r="BT41" s="587"/>
      <c r="BV41" s="491" t="s">
        <v>1798</v>
      </c>
      <c r="BW41" s="429">
        <v>60733</v>
      </c>
      <c r="BX41" s="465">
        <v>24660</v>
      </c>
      <c r="BY41" s="465">
        <f>SUM(BW41:BX41)</f>
        <v>85393</v>
      </c>
      <c r="BZ41" s="698"/>
      <c r="CA41" s="641"/>
      <c r="CB41" s="582"/>
    </row>
    <row r="42" spans="1:88">
      <c r="BF42" s="492" t="s">
        <v>1799</v>
      </c>
      <c r="BG42" s="489">
        <f>SUM(BG40+BG41)</f>
        <v>79960</v>
      </c>
      <c r="BH42" s="489">
        <f>SUM(BH40+BH41)</f>
        <v>255521</v>
      </c>
      <c r="BI42" s="490">
        <f>SUM(BG42:BH42)</f>
        <v>335481</v>
      </c>
      <c r="BJ42" s="642"/>
      <c r="BK42" s="643"/>
      <c r="BL42" s="644"/>
      <c r="BN42" s="492" t="s">
        <v>1799</v>
      </c>
      <c r="BO42" s="490">
        <f>SUM(BO40+BO41)</f>
        <v>90184</v>
      </c>
      <c r="BP42" s="490">
        <f>SUM(BP40+BP41)</f>
        <v>277972</v>
      </c>
      <c r="BQ42" s="490">
        <f>SUM(BO42:BP42)</f>
        <v>368156</v>
      </c>
      <c r="BR42" s="649"/>
      <c r="BS42" s="650"/>
      <c r="BT42" s="651"/>
      <c r="BV42" s="492" t="s">
        <v>1799</v>
      </c>
      <c r="BW42" s="489">
        <f>SUM(BW40+BW41)</f>
        <v>105169</v>
      </c>
      <c r="BX42" s="489">
        <f>SUM(BX40+BX41)</f>
        <v>300031</v>
      </c>
      <c r="BY42" s="490">
        <f>SUM(BW42:BX42)</f>
        <v>405200</v>
      </c>
      <c r="BZ42" s="642"/>
      <c r="CA42" s="643"/>
      <c r="CB42" s="644"/>
    </row>
  </sheetData>
  <mergeCells count="119">
    <mergeCell ref="BJ37:BL39"/>
    <mergeCell ref="BR37:BT39"/>
    <mergeCell ref="BZ37:CB39"/>
    <mergeCell ref="CD37:CF37"/>
    <mergeCell ref="CH38:CJ40"/>
    <mergeCell ref="BF39:BH39"/>
    <mergeCell ref="BN39:BP39"/>
    <mergeCell ref="BV39:BX39"/>
    <mergeCell ref="BJ40:BL42"/>
    <mergeCell ref="BR40:BT42"/>
    <mergeCell ref="BZ40:CB42"/>
    <mergeCell ref="AP30:AS30"/>
    <mergeCell ref="AW30:AZ30"/>
    <mergeCell ref="BF30:BH30"/>
    <mergeCell ref="BN30:BP30"/>
    <mergeCell ref="BV30:BX30"/>
    <mergeCell ref="CD30:CJ30"/>
    <mergeCell ref="BA28:BC32"/>
    <mergeCell ref="CH28:CJ29"/>
    <mergeCell ref="AF29:AH29"/>
    <mergeCell ref="AK29:AM29"/>
    <mergeCell ref="AP29:AR29"/>
    <mergeCell ref="AW29:AY29"/>
    <mergeCell ref="BJ29:BL30"/>
    <mergeCell ref="BR29:BT30"/>
    <mergeCell ref="BZ29:CB30"/>
    <mergeCell ref="CD29:CF29"/>
    <mergeCell ref="BF31:BL31"/>
    <mergeCell ref="BN31:BT31"/>
    <mergeCell ref="BV31:CB31"/>
    <mergeCell ref="CH31:CJ35"/>
    <mergeCell ref="BJ32:BL36"/>
    <mergeCell ref="BR32:BT36"/>
    <mergeCell ref="BZ32:CB36"/>
    <mergeCell ref="CH36:CJ37"/>
    <mergeCell ref="BV22:BX22"/>
    <mergeCell ref="BZ22:CB22"/>
    <mergeCell ref="CD22:CJ22"/>
    <mergeCell ref="BF23:BL23"/>
    <mergeCell ref="BN23:BT23"/>
    <mergeCell ref="BV23:CB23"/>
    <mergeCell ref="AP21:AS21"/>
    <mergeCell ref="AW21:BC21"/>
    <mergeCell ref="CD21:CF21"/>
    <mergeCell ref="CH21:CJ21"/>
    <mergeCell ref="AP22:AS22"/>
    <mergeCell ref="AW22:AZ22"/>
    <mergeCell ref="BF22:BH22"/>
    <mergeCell ref="BJ22:BL22"/>
    <mergeCell ref="BN22:BP22"/>
    <mergeCell ref="BR22:BT22"/>
    <mergeCell ref="BF19:BL19"/>
    <mergeCell ref="BN19:BT19"/>
    <mergeCell ref="BV19:CB19"/>
    <mergeCell ref="AF20:AH20"/>
    <mergeCell ref="AK20:AM20"/>
    <mergeCell ref="AP20:AR20"/>
    <mergeCell ref="AW20:AY20"/>
    <mergeCell ref="CD17:CF17"/>
    <mergeCell ref="CH17:CJ17"/>
    <mergeCell ref="BF18:BH18"/>
    <mergeCell ref="BJ18:BL18"/>
    <mergeCell ref="BN18:BP18"/>
    <mergeCell ref="BR18:BT18"/>
    <mergeCell ref="BV18:BX18"/>
    <mergeCell ref="BZ18:CB18"/>
    <mergeCell ref="CD18:CJ18"/>
    <mergeCell ref="BV11:BX11"/>
    <mergeCell ref="CD11:CJ11"/>
    <mergeCell ref="AK12:AN12"/>
    <mergeCell ref="AP12:AS12"/>
    <mergeCell ref="AW12:AZ12"/>
    <mergeCell ref="BF12:BL12"/>
    <mergeCell ref="BN12:BT12"/>
    <mergeCell ref="BV12:CB12"/>
    <mergeCell ref="AF10:AH10"/>
    <mergeCell ref="AK10:AM10"/>
    <mergeCell ref="AP10:AR10"/>
    <mergeCell ref="AW10:AY10"/>
    <mergeCell ref="CD10:CF10"/>
    <mergeCell ref="AK11:AN11"/>
    <mergeCell ref="AP11:AS11"/>
    <mergeCell ref="AW11:AZ11"/>
    <mergeCell ref="BF11:BH11"/>
    <mergeCell ref="BN11:BP11"/>
    <mergeCell ref="CJ1:CJ2"/>
    <mergeCell ref="BF3:BL3"/>
    <mergeCell ref="BN3:BT3"/>
    <mergeCell ref="BV3:CB3"/>
    <mergeCell ref="CD3:CJ3"/>
    <mergeCell ref="BA8:BC20"/>
    <mergeCell ref="BJ9:BL11"/>
    <mergeCell ref="BR9:BT11"/>
    <mergeCell ref="BZ9:CB11"/>
    <mergeCell ref="CH9:CJ10"/>
    <mergeCell ref="BZ1:BZ2"/>
    <mergeCell ref="CA1:CA2"/>
    <mergeCell ref="CB1:CB2"/>
    <mergeCell ref="CE1:CG1"/>
    <mergeCell ref="CH1:CH2"/>
    <mergeCell ref="CI1:CI2"/>
    <mergeCell ref="BL1:BL2"/>
    <mergeCell ref="BO1:BQ1"/>
    <mergeCell ref="BR1:BR2"/>
    <mergeCell ref="BS1:BS2"/>
    <mergeCell ref="BT1:BT2"/>
    <mergeCell ref="BW1:BY1"/>
    <mergeCell ref="BA1:BA2"/>
    <mergeCell ref="BB1:BB2"/>
    <mergeCell ref="BC1:BC2"/>
    <mergeCell ref="BG1:BI1"/>
    <mergeCell ref="BJ1:BJ2"/>
    <mergeCell ref="BK1:BK2"/>
    <mergeCell ref="AG1:AI1"/>
    <mergeCell ref="AL1:AN1"/>
    <mergeCell ref="AQ1:AS1"/>
    <mergeCell ref="AT1:AT2"/>
    <mergeCell ref="AU1:AU2"/>
    <mergeCell ref="AX1:AZ1"/>
  </mergeCells>
  <pageMargins left="0.7" right="0.7" top="0.75" bottom="0.75"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57"/>
  <sheetViews>
    <sheetView zoomScale="125" zoomScaleNormal="125" zoomScalePageLayoutView="125" workbookViewId="0">
      <selection activeCell="AA7" sqref="AA7"/>
    </sheetView>
  </sheetViews>
  <sheetFormatPr baseColWidth="10" defaultColWidth="8.83203125" defaultRowHeight="14" x14ac:dyDescent="0"/>
  <cols>
    <col min="1" max="1" width="19.5" customWidth="1"/>
    <col min="2" max="14" width="10.33203125" hidden="1" customWidth="1"/>
    <col min="15" max="29" width="10.33203125" customWidth="1"/>
    <col min="32" max="32" width="10.5" customWidth="1"/>
    <col min="33" max="33" width="17.1640625" customWidth="1"/>
    <col min="34" max="34" width="20" customWidth="1"/>
    <col min="35" max="35" width="18.83203125" bestFit="1" customWidth="1"/>
    <col min="36" max="36" width="77.83203125" hidden="1" customWidth="1"/>
    <col min="257" max="257" width="19.5" customWidth="1"/>
    <col min="258" max="270" width="0" hidden="1" customWidth="1"/>
    <col min="271" max="285" width="10.33203125" customWidth="1"/>
    <col min="288" max="288" width="10.5" customWidth="1"/>
    <col min="289" max="289" width="17.1640625" customWidth="1"/>
    <col min="290" max="290" width="20" customWidth="1"/>
    <col min="291" max="291" width="18.83203125" bestFit="1" customWidth="1"/>
    <col min="292" max="292" width="0" hidden="1" customWidth="1"/>
    <col min="513" max="513" width="19.5" customWidth="1"/>
    <col min="514" max="526" width="0" hidden="1" customWidth="1"/>
    <col min="527" max="541" width="10.33203125" customWidth="1"/>
    <col min="544" max="544" width="10.5" customWidth="1"/>
    <col min="545" max="545" width="17.1640625" customWidth="1"/>
    <col min="546" max="546" width="20" customWidth="1"/>
    <col min="547" max="547" width="18.83203125" bestFit="1" customWidth="1"/>
    <col min="548" max="548" width="0" hidden="1" customWidth="1"/>
    <col min="769" max="769" width="19.5" customWidth="1"/>
    <col min="770" max="782" width="0" hidden="1" customWidth="1"/>
    <col min="783" max="797" width="10.33203125" customWidth="1"/>
    <col min="800" max="800" width="10.5" customWidth="1"/>
    <col min="801" max="801" width="17.1640625" customWidth="1"/>
    <col min="802" max="802" width="20" customWidth="1"/>
    <col min="803" max="803" width="18.83203125" bestFit="1" customWidth="1"/>
    <col min="804" max="804" width="0" hidden="1" customWidth="1"/>
    <col min="1025" max="1025" width="19.5" customWidth="1"/>
    <col min="1026" max="1038" width="0" hidden="1" customWidth="1"/>
    <col min="1039" max="1053" width="10.33203125" customWidth="1"/>
    <col min="1056" max="1056" width="10.5" customWidth="1"/>
    <col min="1057" max="1057" width="17.1640625" customWidth="1"/>
    <col min="1058" max="1058" width="20" customWidth="1"/>
    <col min="1059" max="1059" width="18.83203125" bestFit="1" customWidth="1"/>
    <col min="1060" max="1060" width="0" hidden="1" customWidth="1"/>
    <col min="1281" max="1281" width="19.5" customWidth="1"/>
    <col min="1282" max="1294" width="0" hidden="1" customWidth="1"/>
    <col min="1295" max="1309" width="10.33203125" customWidth="1"/>
    <col min="1312" max="1312" width="10.5" customWidth="1"/>
    <col min="1313" max="1313" width="17.1640625" customWidth="1"/>
    <col min="1314" max="1314" width="20" customWidth="1"/>
    <col min="1315" max="1315" width="18.83203125" bestFit="1" customWidth="1"/>
    <col min="1316" max="1316" width="0" hidden="1" customWidth="1"/>
    <col min="1537" max="1537" width="19.5" customWidth="1"/>
    <col min="1538" max="1550" width="0" hidden="1" customWidth="1"/>
    <col min="1551" max="1565" width="10.33203125" customWidth="1"/>
    <col min="1568" max="1568" width="10.5" customWidth="1"/>
    <col min="1569" max="1569" width="17.1640625" customWidth="1"/>
    <col min="1570" max="1570" width="20" customWidth="1"/>
    <col min="1571" max="1571" width="18.83203125" bestFit="1" customWidth="1"/>
    <col min="1572" max="1572" width="0" hidden="1" customWidth="1"/>
    <col min="1793" max="1793" width="19.5" customWidth="1"/>
    <col min="1794" max="1806" width="0" hidden="1" customWidth="1"/>
    <col min="1807" max="1821" width="10.33203125" customWidth="1"/>
    <col min="1824" max="1824" width="10.5" customWidth="1"/>
    <col min="1825" max="1825" width="17.1640625" customWidth="1"/>
    <col min="1826" max="1826" width="20" customWidth="1"/>
    <col min="1827" max="1827" width="18.83203125" bestFit="1" customWidth="1"/>
    <col min="1828" max="1828" width="0" hidden="1" customWidth="1"/>
    <col min="2049" max="2049" width="19.5" customWidth="1"/>
    <col min="2050" max="2062" width="0" hidden="1" customWidth="1"/>
    <col min="2063" max="2077" width="10.33203125" customWidth="1"/>
    <col min="2080" max="2080" width="10.5" customWidth="1"/>
    <col min="2081" max="2081" width="17.1640625" customWidth="1"/>
    <col min="2082" max="2082" width="20" customWidth="1"/>
    <col min="2083" max="2083" width="18.83203125" bestFit="1" customWidth="1"/>
    <col min="2084" max="2084" width="0" hidden="1" customWidth="1"/>
    <col min="2305" max="2305" width="19.5" customWidth="1"/>
    <col min="2306" max="2318" width="0" hidden="1" customWidth="1"/>
    <col min="2319" max="2333" width="10.33203125" customWidth="1"/>
    <col min="2336" max="2336" width="10.5" customWidth="1"/>
    <col min="2337" max="2337" width="17.1640625" customWidth="1"/>
    <col min="2338" max="2338" width="20" customWidth="1"/>
    <col min="2339" max="2339" width="18.83203125" bestFit="1" customWidth="1"/>
    <col min="2340" max="2340" width="0" hidden="1" customWidth="1"/>
    <col min="2561" max="2561" width="19.5" customWidth="1"/>
    <col min="2562" max="2574" width="0" hidden="1" customWidth="1"/>
    <col min="2575" max="2589" width="10.33203125" customWidth="1"/>
    <col min="2592" max="2592" width="10.5" customWidth="1"/>
    <col min="2593" max="2593" width="17.1640625" customWidth="1"/>
    <col min="2594" max="2594" width="20" customWidth="1"/>
    <col min="2595" max="2595" width="18.83203125" bestFit="1" customWidth="1"/>
    <col min="2596" max="2596" width="0" hidden="1" customWidth="1"/>
    <col min="2817" max="2817" width="19.5" customWidth="1"/>
    <col min="2818" max="2830" width="0" hidden="1" customWidth="1"/>
    <col min="2831" max="2845" width="10.33203125" customWidth="1"/>
    <col min="2848" max="2848" width="10.5" customWidth="1"/>
    <col min="2849" max="2849" width="17.1640625" customWidth="1"/>
    <col min="2850" max="2850" width="20" customWidth="1"/>
    <col min="2851" max="2851" width="18.83203125" bestFit="1" customWidth="1"/>
    <col min="2852" max="2852" width="0" hidden="1" customWidth="1"/>
    <col min="3073" max="3073" width="19.5" customWidth="1"/>
    <col min="3074" max="3086" width="0" hidden="1" customWidth="1"/>
    <col min="3087" max="3101" width="10.33203125" customWidth="1"/>
    <col min="3104" max="3104" width="10.5" customWidth="1"/>
    <col min="3105" max="3105" width="17.1640625" customWidth="1"/>
    <col min="3106" max="3106" width="20" customWidth="1"/>
    <col min="3107" max="3107" width="18.83203125" bestFit="1" customWidth="1"/>
    <col min="3108" max="3108" width="0" hidden="1" customWidth="1"/>
    <col min="3329" max="3329" width="19.5" customWidth="1"/>
    <col min="3330" max="3342" width="0" hidden="1" customWidth="1"/>
    <col min="3343" max="3357" width="10.33203125" customWidth="1"/>
    <col min="3360" max="3360" width="10.5" customWidth="1"/>
    <col min="3361" max="3361" width="17.1640625" customWidth="1"/>
    <col min="3362" max="3362" width="20" customWidth="1"/>
    <col min="3363" max="3363" width="18.83203125" bestFit="1" customWidth="1"/>
    <col min="3364" max="3364" width="0" hidden="1" customWidth="1"/>
    <col min="3585" max="3585" width="19.5" customWidth="1"/>
    <col min="3586" max="3598" width="0" hidden="1" customWidth="1"/>
    <col min="3599" max="3613" width="10.33203125" customWidth="1"/>
    <col min="3616" max="3616" width="10.5" customWidth="1"/>
    <col min="3617" max="3617" width="17.1640625" customWidth="1"/>
    <col min="3618" max="3618" width="20" customWidth="1"/>
    <col min="3619" max="3619" width="18.83203125" bestFit="1" customWidth="1"/>
    <col min="3620" max="3620" width="0" hidden="1" customWidth="1"/>
    <col min="3841" max="3841" width="19.5" customWidth="1"/>
    <col min="3842" max="3854" width="0" hidden="1" customWidth="1"/>
    <col min="3855" max="3869" width="10.33203125" customWidth="1"/>
    <col min="3872" max="3872" width="10.5" customWidth="1"/>
    <col min="3873" max="3873" width="17.1640625" customWidth="1"/>
    <col min="3874" max="3874" width="20" customWidth="1"/>
    <col min="3875" max="3875" width="18.83203125" bestFit="1" customWidth="1"/>
    <col min="3876" max="3876" width="0" hidden="1" customWidth="1"/>
    <col min="4097" max="4097" width="19.5" customWidth="1"/>
    <col min="4098" max="4110" width="0" hidden="1" customWidth="1"/>
    <col min="4111" max="4125" width="10.33203125" customWidth="1"/>
    <col min="4128" max="4128" width="10.5" customWidth="1"/>
    <col min="4129" max="4129" width="17.1640625" customWidth="1"/>
    <col min="4130" max="4130" width="20" customWidth="1"/>
    <col min="4131" max="4131" width="18.83203125" bestFit="1" customWidth="1"/>
    <col min="4132" max="4132" width="0" hidden="1" customWidth="1"/>
    <col min="4353" max="4353" width="19.5" customWidth="1"/>
    <col min="4354" max="4366" width="0" hidden="1" customWidth="1"/>
    <col min="4367" max="4381" width="10.33203125" customWidth="1"/>
    <col min="4384" max="4384" width="10.5" customWidth="1"/>
    <col min="4385" max="4385" width="17.1640625" customWidth="1"/>
    <col min="4386" max="4386" width="20" customWidth="1"/>
    <col min="4387" max="4387" width="18.83203125" bestFit="1" customWidth="1"/>
    <col min="4388" max="4388" width="0" hidden="1" customWidth="1"/>
    <col min="4609" max="4609" width="19.5" customWidth="1"/>
    <col min="4610" max="4622" width="0" hidden="1" customWidth="1"/>
    <col min="4623" max="4637" width="10.33203125" customWidth="1"/>
    <col min="4640" max="4640" width="10.5" customWidth="1"/>
    <col min="4641" max="4641" width="17.1640625" customWidth="1"/>
    <col min="4642" max="4642" width="20" customWidth="1"/>
    <col min="4643" max="4643" width="18.83203125" bestFit="1" customWidth="1"/>
    <col min="4644" max="4644" width="0" hidden="1" customWidth="1"/>
    <col min="4865" max="4865" width="19.5" customWidth="1"/>
    <col min="4866" max="4878" width="0" hidden="1" customWidth="1"/>
    <col min="4879" max="4893" width="10.33203125" customWidth="1"/>
    <col min="4896" max="4896" width="10.5" customWidth="1"/>
    <col min="4897" max="4897" width="17.1640625" customWidth="1"/>
    <col min="4898" max="4898" width="20" customWidth="1"/>
    <col min="4899" max="4899" width="18.83203125" bestFit="1" customWidth="1"/>
    <col min="4900" max="4900" width="0" hidden="1" customWidth="1"/>
    <col min="5121" max="5121" width="19.5" customWidth="1"/>
    <col min="5122" max="5134" width="0" hidden="1" customWidth="1"/>
    <col min="5135" max="5149" width="10.33203125" customWidth="1"/>
    <col min="5152" max="5152" width="10.5" customWidth="1"/>
    <col min="5153" max="5153" width="17.1640625" customWidth="1"/>
    <col min="5154" max="5154" width="20" customWidth="1"/>
    <col min="5155" max="5155" width="18.83203125" bestFit="1" customWidth="1"/>
    <col min="5156" max="5156" width="0" hidden="1" customWidth="1"/>
    <col min="5377" max="5377" width="19.5" customWidth="1"/>
    <col min="5378" max="5390" width="0" hidden="1" customWidth="1"/>
    <col min="5391" max="5405" width="10.33203125" customWidth="1"/>
    <col min="5408" max="5408" width="10.5" customWidth="1"/>
    <col min="5409" max="5409" width="17.1640625" customWidth="1"/>
    <col min="5410" max="5410" width="20" customWidth="1"/>
    <col min="5411" max="5411" width="18.83203125" bestFit="1" customWidth="1"/>
    <col min="5412" max="5412" width="0" hidden="1" customWidth="1"/>
    <col min="5633" max="5633" width="19.5" customWidth="1"/>
    <col min="5634" max="5646" width="0" hidden="1" customWidth="1"/>
    <col min="5647" max="5661" width="10.33203125" customWidth="1"/>
    <col min="5664" max="5664" width="10.5" customWidth="1"/>
    <col min="5665" max="5665" width="17.1640625" customWidth="1"/>
    <col min="5666" max="5666" width="20" customWidth="1"/>
    <col min="5667" max="5667" width="18.83203125" bestFit="1" customWidth="1"/>
    <col min="5668" max="5668" width="0" hidden="1" customWidth="1"/>
    <col min="5889" max="5889" width="19.5" customWidth="1"/>
    <col min="5890" max="5902" width="0" hidden="1" customWidth="1"/>
    <col min="5903" max="5917" width="10.33203125" customWidth="1"/>
    <col min="5920" max="5920" width="10.5" customWidth="1"/>
    <col min="5921" max="5921" width="17.1640625" customWidth="1"/>
    <col min="5922" max="5922" width="20" customWidth="1"/>
    <col min="5923" max="5923" width="18.83203125" bestFit="1" customWidth="1"/>
    <col min="5924" max="5924" width="0" hidden="1" customWidth="1"/>
    <col min="6145" max="6145" width="19.5" customWidth="1"/>
    <col min="6146" max="6158" width="0" hidden="1" customWidth="1"/>
    <col min="6159" max="6173" width="10.33203125" customWidth="1"/>
    <col min="6176" max="6176" width="10.5" customWidth="1"/>
    <col min="6177" max="6177" width="17.1640625" customWidth="1"/>
    <col min="6178" max="6178" width="20" customWidth="1"/>
    <col min="6179" max="6179" width="18.83203125" bestFit="1" customWidth="1"/>
    <col min="6180" max="6180" width="0" hidden="1" customWidth="1"/>
    <col min="6401" max="6401" width="19.5" customWidth="1"/>
    <col min="6402" max="6414" width="0" hidden="1" customWidth="1"/>
    <col min="6415" max="6429" width="10.33203125" customWidth="1"/>
    <col min="6432" max="6432" width="10.5" customWidth="1"/>
    <col min="6433" max="6433" width="17.1640625" customWidth="1"/>
    <col min="6434" max="6434" width="20" customWidth="1"/>
    <col min="6435" max="6435" width="18.83203125" bestFit="1" customWidth="1"/>
    <col min="6436" max="6436" width="0" hidden="1" customWidth="1"/>
    <col min="6657" max="6657" width="19.5" customWidth="1"/>
    <col min="6658" max="6670" width="0" hidden="1" customWidth="1"/>
    <col min="6671" max="6685" width="10.33203125" customWidth="1"/>
    <col min="6688" max="6688" width="10.5" customWidth="1"/>
    <col min="6689" max="6689" width="17.1640625" customWidth="1"/>
    <col min="6690" max="6690" width="20" customWidth="1"/>
    <col min="6691" max="6691" width="18.83203125" bestFit="1" customWidth="1"/>
    <col min="6692" max="6692" width="0" hidden="1" customWidth="1"/>
    <col min="6913" max="6913" width="19.5" customWidth="1"/>
    <col min="6914" max="6926" width="0" hidden="1" customWidth="1"/>
    <col min="6927" max="6941" width="10.33203125" customWidth="1"/>
    <col min="6944" max="6944" width="10.5" customWidth="1"/>
    <col min="6945" max="6945" width="17.1640625" customWidth="1"/>
    <col min="6946" max="6946" width="20" customWidth="1"/>
    <col min="6947" max="6947" width="18.83203125" bestFit="1" customWidth="1"/>
    <col min="6948" max="6948" width="0" hidden="1" customWidth="1"/>
    <col min="7169" max="7169" width="19.5" customWidth="1"/>
    <col min="7170" max="7182" width="0" hidden="1" customWidth="1"/>
    <col min="7183" max="7197" width="10.33203125" customWidth="1"/>
    <col min="7200" max="7200" width="10.5" customWidth="1"/>
    <col min="7201" max="7201" width="17.1640625" customWidth="1"/>
    <col min="7202" max="7202" width="20" customWidth="1"/>
    <col min="7203" max="7203" width="18.83203125" bestFit="1" customWidth="1"/>
    <col min="7204" max="7204" width="0" hidden="1" customWidth="1"/>
    <col min="7425" max="7425" width="19.5" customWidth="1"/>
    <col min="7426" max="7438" width="0" hidden="1" customWidth="1"/>
    <col min="7439" max="7453" width="10.33203125" customWidth="1"/>
    <col min="7456" max="7456" width="10.5" customWidth="1"/>
    <col min="7457" max="7457" width="17.1640625" customWidth="1"/>
    <col min="7458" max="7458" width="20" customWidth="1"/>
    <col min="7459" max="7459" width="18.83203125" bestFit="1" customWidth="1"/>
    <col min="7460" max="7460" width="0" hidden="1" customWidth="1"/>
    <col min="7681" max="7681" width="19.5" customWidth="1"/>
    <col min="7682" max="7694" width="0" hidden="1" customWidth="1"/>
    <col min="7695" max="7709" width="10.33203125" customWidth="1"/>
    <col min="7712" max="7712" width="10.5" customWidth="1"/>
    <col min="7713" max="7713" width="17.1640625" customWidth="1"/>
    <col min="7714" max="7714" width="20" customWidth="1"/>
    <col min="7715" max="7715" width="18.83203125" bestFit="1" customWidth="1"/>
    <col min="7716" max="7716" width="0" hidden="1" customWidth="1"/>
    <col min="7937" max="7937" width="19.5" customWidth="1"/>
    <col min="7938" max="7950" width="0" hidden="1" customWidth="1"/>
    <col min="7951" max="7965" width="10.33203125" customWidth="1"/>
    <col min="7968" max="7968" width="10.5" customWidth="1"/>
    <col min="7969" max="7969" width="17.1640625" customWidth="1"/>
    <col min="7970" max="7970" width="20" customWidth="1"/>
    <col min="7971" max="7971" width="18.83203125" bestFit="1" customWidth="1"/>
    <col min="7972" max="7972" width="0" hidden="1" customWidth="1"/>
    <col min="8193" max="8193" width="19.5" customWidth="1"/>
    <col min="8194" max="8206" width="0" hidden="1" customWidth="1"/>
    <col min="8207" max="8221" width="10.33203125" customWidth="1"/>
    <col min="8224" max="8224" width="10.5" customWidth="1"/>
    <col min="8225" max="8225" width="17.1640625" customWidth="1"/>
    <col min="8226" max="8226" width="20" customWidth="1"/>
    <col min="8227" max="8227" width="18.83203125" bestFit="1" customWidth="1"/>
    <col min="8228" max="8228" width="0" hidden="1" customWidth="1"/>
    <col min="8449" max="8449" width="19.5" customWidth="1"/>
    <col min="8450" max="8462" width="0" hidden="1" customWidth="1"/>
    <col min="8463" max="8477" width="10.33203125" customWidth="1"/>
    <col min="8480" max="8480" width="10.5" customWidth="1"/>
    <col min="8481" max="8481" width="17.1640625" customWidth="1"/>
    <col min="8482" max="8482" width="20" customWidth="1"/>
    <col min="8483" max="8483" width="18.83203125" bestFit="1" customWidth="1"/>
    <col min="8484" max="8484" width="0" hidden="1" customWidth="1"/>
    <col min="8705" max="8705" width="19.5" customWidth="1"/>
    <col min="8706" max="8718" width="0" hidden="1" customWidth="1"/>
    <col min="8719" max="8733" width="10.33203125" customWidth="1"/>
    <col min="8736" max="8736" width="10.5" customWidth="1"/>
    <col min="8737" max="8737" width="17.1640625" customWidth="1"/>
    <col min="8738" max="8738" width="20" customWidth="1"/>
    <col min="8739" max="8739" width="18.83203125" bestFit="1" customWidth="1"/>
    <col min="8740" max="8740" width="0" hidden="1" customWidth="1"/>
    <col min="8961" max="8961" width="19.5" customWidth="1"/>
    <col min="8962" max="8974" width="0" hidden="1" customWidth="1"/>
    <col min="8975" max="8989" width="10.33203125" customWidth="1"/>
    <col min="8992" max="8992" width="10.5" customWidth="1"/>
    <col min="8993" max="8993" width="17.1640625" customWidth="1"/>
    <col min="8994" max="8994" width="20" customWidth="1"/>
    <col min="8995" max="8995" width="18.83203125" bestFit="1" customWidth="1"/>
    <col min="8996" max="8996" width="0" hidden="1" customWidth="1"/>
    <col min="9217" max="9217" width="19.5" customWidth="1"/>
    <col min="9218" max="9230" width="0" hidden="1" customWidth="1"/>
    <col min="9231" max="9245" width="10.33203125" customWidth="1"/>
    <col min="9248" max="9248" width="10.5" customWidth="1"/>
    <col min="9249" max="9249" width="17.1640625" customWidth="1"/>
    <col min="9250" max="9250" width="20" customWidth="1"/>
    <col min="9251" max="9251" width="18.83203125" bestFit="1" customWidth="1"/>
    <col min="9252" max="9252" width="0" hidden="1" customWidth="1"/>
    <col min="9473" max="9473" width="19.5" customWidth="1"/>
    <col min="9474" max="9486" width="0" hidden="1" customWidth="1"/>
    <col min="9487" max="9501" width="10.33203125" customWidth="1"/>
    <col min="9504" max="9504" width="10.5" customWidth="1"/>
    <col min="9505" max="9505" width="17.1640625" customWidth="1"/>
    <col min="9506" max="9506" width="20" customWidth="1"/>
    <col min="9507" max="9507" width="18.83203125" bestFit="1" customWidth="1"/>
    <col min="9508" max="9508" width="0" hidden="1" customWidth="1"/>
    <col min="9729" max="9729" width="19.5" customWidth="1"/>
    <col min="9730" max="9742" width="0" hidden="1" customWidth="1"/>
    <col min="9743" max="9757" width="10.33203125" customWidth="1"/>
    <col min="9760" max="9760" width="10.5" customWidth="1"/>
    <col min="9761" max="9761" width="17.1640625" customWidth="1"/>
    <col min="9762" max="9762" width="20" customWidth="1"/>
    <col min="9763" max="9763" width="18.83203125" bestFit="1" customWidth="1"/>
    <col min="9764" max="9764" width="0" hidden="1" customWidth="1"/>
    <col min="9985" max="9985" width="19.5" customWidth="1"/>
    <col min="9986" max="9998" width="0" hidden="1" customWidth="1"/>
    <col min="9999" max="10013" width="10.33203125" customWidth="1"/>
    <col min="10016" max="10016" width="10.5" customWidth="1"/>
    <col min="10017" max="10017" width="17.1640625" customWidth="1"/>
    <col min="10018" max="10018" width="20" customWidth="1"/>
    <col min="10019" max="10019" width="18.83203125" bestFit="1" customWidth="1"/>
    <col min="10020" max="10020" width="0" hidden="1" customWidth="1"/>
    <col min="10241" max="10241" width="19.5" customWidth="1"/>
    <col min="10242" max="10254" width="0" hidden="1" customWidth="1"/>
    <col min="10255" max="10269" width="10.33203125" customWidth="1"/>
    <col min="10272" max="10272" width="10.5" customWidth="1"/>
    <col min="10273" max="10273" width="17.1640625" customWidth="1"/>
    <col min="10274" max="10274" width="20" customWidth="1"/>
    <col min="10275" max="10275" width="18.83203125" bestFit="1" customWidth="1"/>
    <col min="10276" max="10276" width="0" hidden="1" customWidth="1"/>
    <col min="10497" max="10497" width="19.5" customWidth="1"/>
    <col min="10498" max="10510" width="0" hidden="1" customWidth="1"/>
    <col min="10511" max="10525" width="10.33203125" customWidth="1"/>
    <col min="10528" max="10528" width="10.5" customWidth="1"/>
    <col min="10529" max="10529" width="17.1640625" customWidth="1"/>
    <col min="10530" max="10530" width="20" customWidth="1"/>
    <col min="10531" max="10531" width="18.83203125" bestFit="1" customWidth="1"/>
    <col min="10532" max="10532" width="0" hidden="1" customWidth="1"/>
    <col min="10753" max="10753" width="19.5" customWidth="1"/>
    <col min="10754" max="10766" width="0" hidden="1" customWidth="1"/>
    <col min="10767" max="10781" width="10.33203125" customWidth="1"/>
    <col min="10784" max="10784" width="10.5" customWidth="1"/>
    <col min="10785" max="10785" width="17.1640625" customWidth="1"/>
    <col min="10786" max="10786" width="20" customWidth="1"/>
    <col min="10787" max="10787" width="18.83203125" bestFit="1" customWidth="1"/>
    <col min="10788" max="10788" width="0" hidden="1" customWidth="1"/>
    <col min="11009" max="11009" width="19.5" customWidth="1"/>
    <col min="11010" max="11022" width="0" hidden="1" customWidth="1"/>
    <col min="11023" max="11037" width="10.33203125" customWidth="1"/>
    <col min="11040" max="11040" width="10.5" customWidth="1"/>
    <col min="11041" max="11041" width="17.1640625" customWidth="1"/>
    <col min="11042" max="11042" width="20" customWidth="1"/>
    <col min="11043" max="11043" width="18.83203125" bestFit="1" customWidth="1"/>
    <col min="11044" max="11044" width="0" hidden="1" customWidth="1"/>
    <col min="11265" max="11265" width="19.5" customWidth="1"/>
    <col min="11266" max="11278" width="0" hidden="1" customWidth="1"/>
    <col min="11279" max="11293" width="10.33203125" customWidth="1"/>
    <col min="11296" max="11296" width="10.5" customWidth="1"/>
    <col min="11297" max="11297" width="17.1640625" customWidth="1"/>
    <col min="11298" max="11298" width="20" customWidth="1"/>
    <col min="11299" max="11299" width="18.83203125" bestFit="1" customWidth="1"/>
    <col min="11300" max="11300" width="0" hidden="1" customWidth="1"/>
    <col min="11521" max="11521" width="19.5" customWidth="1"/>
    <col min="11522" max="11534" width="0" hidden="1" customWidth="1"/>
    <col min="11535" max="11549" width="10.33203125" customWidth="1"/>
    <col min="11552" max="11552" width="10.5" customWidth="1"/>
    <col min="11553" max="11553" width="17.1640625" customWidth="1"/>
    <col min="11554" max="11554" width="20" customWidth="1"/>
    <col min="11555" max="11555" width="18.83203125" bestFit="1" customWidth="1"/>
    <col min="11556" max="11556" width="0" hidden="1" customWidth="1"/>
    <col min="11777" max="11777" width="19.5" customWidth="1"/>
    <col min="11778" max="11790" width="0" hidden="1" customWidth="1"/>
    <col min="11791" max="11805" width="10.33203125" customWidth="1"/>
    <col min="11808" max="11808" width="10.5" customWidth="1"/>
    <col min="11809" max="11809" width="17.1640625" customWidth="1"/>
    <col min="11810" max="11810" width="20" customWidth="1"/>
    <col min="11811" max="11811" width="18.83203125" bestFit="1" customWidth="1"/>
    <col min="11812" max="11812" width="0" hidden="1" customWidth="1"/>
    <col min="12033" max="12033" width="19.5" customWidth="1"/>
    <col min="12034" max="12046" width="0" hidden="1" customWidth="1"/>
    <col min="12047" max="12061" width="10.33203125" customWidth="1"/>
    <col min="12064" max="12064" width="10.5" customWidth="1"/>
    <col min="12065" max="12065" width="17.1640625" customWidth="1"/>
    <col min="12066" max="12066" width="20" customWidth="1"/>
    <col min="12067" max="12067" width="18.83203125" bestFit="1" customWidth="1"/>
    <col min="12068" max="12068" width="0" hidden="1" customWidth="1"/>
    <col min="12289" max="12289" width="19.5" customWidth="1"/>
    <col min="12290" max="12302" width="0" hidden="1" customWidth="1"/>
    <col min="12303" max="12317" width="10.33203125" customWidth="1"/>
    <col min="12320" max="12320" width="10.5" customWidth="1"/>
    <col min="12321" max="12321" width="17.1640625" customWidth="1"/>
    <col min="12322" max="12322" width="20" customWidth="1"/>
    <col min="12323" max="12323" width="18.83203125" bestFit="1" customWidth="1"/>
    <col min="12324" max="12324" width="0" hidden="1" customWidth="1"/>
    <col min="12545" max="12545" width="19.5" customWidth="1"/>
    <col min="12546" max="12558" width="0" hidden="1" customWidth="1"/>
    <col min="12559" max="12573" width="10.33203125" customWidth="1"/>
    <col min="12576" max="12576" width="10.5" customWidth="1"/>
    <col min="12577" max="12577" width="17.1640625" customWidth="1"/>
    <col min="12578" max="12578" width="20" customWidth="1"/>
    <col min="12579" max="12579" width="18.83203125" bestFit="1" customWidth="1"/>
    <col min="12580" max="12580" width="0" hidden="1" customWidth="1"/>
    <col min="12801" max="12801" width="19.5" customWidth="1"/>
    <col min="12802" max="12814" width="0" hidden="1" customWidth="1"/>
    <col min="12815" max="12829" width="10.33203125" customWidth="1"/>
    <col min="12832" max="12832" width="10.5" customWidth="1"/>
    <col min="12833" max="12833" width="17.1640625" customWidth="1"/>
    <col min="12834" max="12834" width="20" customWidth="1"/>
    <col min="12835" max="12835" width="18.83203125" bestFit="1" customWidth="1"/>
    <col min="12836" max="12836" width="0" hidden="1" customWidth="1"/>
    <col min="13057" max="13057" width="19.5" customWidth="1"/>
    <col min="13058" max="13070" width="0" hidden="1" customWidth="1"/>
    <col min="13071" max="13085" width="10.33203125" customWidth="1"/>
    <col min="13088" max="13088" width="10.5" customWidth="1"/>
    <col min="13089" max="13089" width="17.1640625" customWidth="1"/>
    <col min="13090" max="13090" width="20" customWidth="1"/>
    <col min="13091" max="13091" width="18.83203125" bestFit="1" customWidth="1"/>
    <col min="13092" max="13092" width="0" hidden="1" customWidth="1"/>
    <col min="13313" max="13313" width="19.5" customWidth="1"/>
    <col min="13314" max="13326" width="0" hidden="1" customWidth="1"/>
    <col min="13327" max="13341" width="10.33203125" customWidth="1"/>
    <col min="13344" max="13344" width="10.5" customWidth="1"/>
    <col min="13345" max="13345" width="17.1640625" customWidth="1"/>
    <col min="13346" max="13346" width="20" customWidth="1"/>
    <col min="13347" max="13347" width="18.83203125" bestFit="1" customWidth="1"/>
    <col min="13348" max="13348" width="0" hidden="1" customWidth="1"/>
    <col min="13569" max="13569" width="19.5" customWidth="1"/>
    <col min="13570" max="13582" width="0" hidden="1" customWidth="1"/>
    <col min="13583" max="13597" width="10.33203125" customWidth="1"/>
    <col min="13600" max="13600" width="10.5" customWidth="1"/>
    <col min="13601" max="13601" width="17.1640625" customWidth="1"/>
    <col min="13602" max="13602" width="20" customWidth="1"/>
    <col min="13603" max="13603" width="18.83203125" bestFit="1" customWidth="1"/>
    <col min="13604" max="13604" width="0" hidden="1" customWidth="1"/>
    <col min="13825" max="13825" width="19.5" customWidth="1"/>
    <col min="13826" max="13838" width="0" hidden="1" customWidth="1"/>
    <col min="13839" max="13853" width="10.33203125" customWidth="1"/>
    <col min="13856" max="13856" width="10.5" customWidth="1"/>
    <col min="13857" max="13857" width="17.1640625" customWidth="1"/>
    <col min="13858" max="13858" width="20" customWidth="1"/>
    <col min="13859" max="13859" width="18.83203125" bestFit="1" customWidth="1"/>
    <col min="13860" max="13860" width="0" hidden="1" customWidth="1"/>
    <col min="14081" max="14081" width="19.5" customWidth="1"/>
    <col min="14082" max="14094" width="0" hidden="1" customWidth="1"/>
    <col min="14095" max="14109" width="10.33203125" customWidth="1"/>
    <col min="14112" max="14112" width="10.5" customWidth="1"/>
    <col min="14113" max="14113" width="17.1640625" customWidth="1"/>
    <col min="14114" max="14114" width="20" customWidth="1"/>
    <col min="14115" max="14115" width="18.83203125" bestFit="1" customWidth="1"/>
    <col min="14116" max="14116" width="0" hidden="1" customWidth="1"/>
    <col min="14337" max="14337" width="19.5" customWidth="1"/>
    <col min="14338" max="14350" width="0" hidden="1" customWidth="1"/>
    <col min="14351" max="14365" width="10.33203125" customWidth="1"/>
    <col min="14368" max="14368" width="10.5" customWidth="1"/>
    <col min="14369" max="14369" width="17.1640625" customWidth="1"/>
    <col min="14370" max="14370" width="20" customWidth="1"/>
    <col min="14371" max="14371" width="18.83203125" bestFit="1" customWidth="1"/>
    <col min="14372" max="14372" width="0" hidden="1" customWidth="1"/>
    <col min="14593" max="14593" width="19.5" customWidth="1"/>
    <col min="14594" max="14606" width="0" hidden="1" customWidth="1"/>
    <col min="14607" max="14621" width="10.33203125" customWidth="1"/>
    <col min="14624" max="14624" width="10.5" customWidth="1"/>
    <col min="14625" max="14625" width="17.1640625" customWidth="1"/>
    <col min="14626" max="14626" width="20" customWidth="1"/>
    <col min="14627" max="14627" width="18.83203125" bestFit="1" customWidth="1"/>
    <col min="14628" max="14628" width="0" hidden="1" customWidth="1"/>
    <col min="14849" max="14849" width="19.5" customWidth="1"/>
    <col min="14850" max="14862" width="0" hidden="1" customWidth="1"/>
    <col min="14863" max="14877" width="10.33203125" customWidth="1"/>
    <col min="14880" max="14880" width="10.5" customWidth="1"/>
    <col min="14881" max="14881" width="17.1640625" customWidth="1"/>
    <col min="14882" max="14882" width="20" customWidth="1"/>
    <col min="14883" max="14883" width="18.83203125" bestFit="1" customWidth="1"/>
    <col min="14884" max="14884" width="0" hidden="1" customWidth="1"/>
    <col min="15105" max="15105" width="19.5" customWidth="1"/>
    <col min="15106" max="15118" width="0" hidden="1" customWidth="1"/>
    <col min="15119" max="15133" width="10.33203125" customWidth="1"/>
    <col min="15136" max="15136" width="10.5" customWidth="1"/>
    <col min="15137" max="15137" width="17.1640625" customWidth="1"/>
    <col min="15138" max="15138" width="20" customWidth="1"/>
    <col min="15139" max="15139" width="18.83203125" bestFit="1" customWidth="1"/>
    <col min="15140" max="15140" width="0" hidden="1" customWidth="1"/>
    <col min="15361" max="15361" width="19.5" customWidth="1"/>
    <col min="15362" max="15374" width="0" hidden="1" customWidth="1"/>
    <col min="15375" max="15389" width="10.33203125" customWidth="1"/>
    <col min="15392" max="15392" width="10.5" customWidth="1"/>
    <col min="15393" max="15393" width="17.1640625" customWidth="1"/>
    <col min="15394" max="15394" width="20" customWidth="1"/>
    <col min="15395" max="15395" width="18.83203125" bestFit="1" customWidth="1"/>
    <col min="15396" max="15396" width="0" hidden="1" customWidth="1"/>
    <col min="15617" max="15617" width="19.5" customWidth="1"/>
    <col min="15618" max="15630" width="0" hidden="1" customWidth="1"/>
    <col min="15631" max="15645" width="10.33203125" customWidth="1"/>
    <col min="15648" max="15648" width="10.5" customWidth="1"/>
    <col min="15649" max="15649" width="17.1640625" customWidth="1"/>
    <col min="15650" max="15650" width="20" customWidth="1"/>
    <col min="15651" max="15651" width="18.83203125" bestFit="1" customWidth="1"/>
    <col min="15652" max="15652" width="0" hidden="1" customWidth="1"/>
    <col min="15873" max="15873" width="19.5" customWidth="1"/>
    <col min="15874" max="15886" width="0" hidden="1" customWidth="1"/>
    <col min="15887" max="15901" width="10.33203125" customWidth="1"/>
    <col min="15904" max="15904" width="10.5" customWidth="1"/>
    <col min="15905" max="15905" width="17.1640625" customWidth="1"/>
    <col min="15906" max="15906" width="20" customWidth="1"/>
    <col min="15907" max="15907" width="18.83203125" bestFit="1" customWidth="1"/>
    <col min="15908" max="15908" width="0" hidden="1" customWidth="1"/>
    <col min="16129" max="16129" width="19.5" customWidth="1"/>
    <col min="16130" max="16142" width="0" hidden="1" customWidth="1"/>
    <col min="16143" max="16157" width="10.33203125" customWidth="1"/>
    <col min="16160" max="16160" width="10.5" customWidth="1"/>
    <col min="16161" max="16161" width="17.1640625" customWidth="1"/>
    <col min="16162" max="16162" width="20" customWidth="1"/>
    <col min="16163" max="16163" width="18.83203125" bestFit="1" customWidth="1"/>
    <col min="16164" max="16164" width="0" hidden="1" customWidth="1"/>
  </cols>
  <sheetData>
    <row r="1" spans="1:35">
      <c r="A1" s="669" t="s">
        <v>1964</v>
      </c>
      <c r="B1" s="670"/>
      <c r="C1" s="670"/>
      <c r="D1" s="670"/>
      <c r="E1" s="670"/>
      <c r="F1" s="670"/>
      <c r="G1" s="670"/>
      <c r="H1" s="670"/>
      <c r="I1" s="670"/>
      <c r="J1" s="670"/>
      <c r="K1" s="670"/>
      <c r="L1" s="670"/>
      <c r="M1" s="670"/>
      <c r="N1" s="670"/>
      <c r="O1" s="670"/>
      <c r="P1" s="670"/>
      <c r="Q1" s="670"/>
      <c r="R1" s="670"/>
      <c r="S1" s="670"/>
      <c r="T1" s="670"/>
      <c r="U1" s="670"/>
      <c r="V1" s="670"/>
      <c r="W1" s="670"/>
      <c r="X1" s="670"/>
      <c r="Y1" s="670"/>
      <c r="Z1" s="670"/>
      <c r="AA1" s="670"/>
      <c r="AB1" s="670"/>
      <c r="AC1" s="670"/>
      <c r="AD1" s="670"/>
      <c r="AE1" s="670"/>
      <c r="AF1" s="670"/>
      <c r="AG1" s="670"/>
      <c r="AH1" s="670"/>
    </row>
    <row r="2" spans="1:35" ht="9" customHeight="1" thickBot="1">
      <c r="A2" s="385"/>
      <c r="B2" s="493"/>
      <c r="C2" s="493"/>
      <c r="D2" s="493"/>
      <c r="E2" s="315"/>
      <c r="F2" s="315"/>
      <c r="G2" s="315"/>
      <c r="H2" s="315"/>
      <c r="I2" s="315"/>
      <c r="J2" s="315"/>
      <c r="K2" s="315"/>
      <c r="L2" s="315"/>
      <c r="M2" s="315"/>
      <c r="N2" s="315"/>
      <c r="O2" s="315"/>
      <c r="P2" s="315"/>
      <c r="Q2" s="315"/>
      <c r="R2" s="315"/>
      <c r="S2" s="315"/>
      <c r="T2" s="315"/>
      <c r="U2" s="315"/>
      <c r="V2" s="315"/>
      <c r="W2" s="315"/>
      <c r="X2" s="315"/>
      <c r="Y2" s="315"/>
      <c r="Z2" s="315"/>
      <c r="AA2" s="315"/>
      <c r="AB2" s="315"/>
      <c r="AC2" s="315"/>
      <c r="AD2" s="315"/>
      <c r="AE2" s="315"/>
      <c r="AF2" s="315"/>
      <c r="AG2" s="315"/>
      <c r="AH2" s="315"/>
    </row>
    <row r="3" spans="1:35" ht="13.5" customHeight="1" thickBot="1">
      <c r="A3" s="671" t="s">
        <v>1922</v>
      </c>
      <c r="B3" s="389"/>
      <c r="C3" s="389"/>
      <c r="D3" s="389"/>
      <c r="E3" s="389"/>
      <c r="F3" s="389"/>
      <c r="G3" s="389"/>
      <c r="H3" s="389"/>
      <c r="I3" s="389"/>
      <c r="J3" s="389"/>
      <c r="K3" s="389"/>
      <c r="L3" s="389"/>
      <c r="M3" s="389"/>
      <c r="N3" s="389"/>
      <c r="O3" s="726"/>
      <c r="P3" s="727"/>
      <c r="Q3" s="727"/>
      <c r="R3" s="727"/>
      <c r="S3" s="727"/>
      <c r="T3" s="727"/>
      <c r="U3" s="727"/>
      <c r="V3" s="727"/>
      <c r="W3" s="727"/>
      <c r="X3" s="727"/>
      <c r="Y3" s="727"/>
      <c r="Z3" s="727"/>
      <c r="AA3" s="728"/>
      <c r="AB3" s="729" t="s">
        <v>1924</v>
      </c>
      <c r="AC3" s="730"/>
      <c r="AD3" s="730"/>
      <c r="AE3" s="730"/>
      <c r="AF3" s="731"/>
      <c r="AG3" s="494"/>
      <c r="AH3" s="735" t="s">
        <v>1925</v>
      </c>
      <c r="AI3" s="736"/>
    </row>
    <row r="4" spans="1:35" s="78" customFormat="1" ht="12.75" customHeight="1" thickBot="1">
      <c r="A4" s="672"/>
      <c r="B4" s="392">
        <v>41033</v>
      </c>
      <c r="C4" s="392">
        <v>41040</v>
      </c>
      <c r="D4" s="392">
        <v>41047</v>
      </c>
      <c r="E4" s="392">
        <v>41054</v>
      </c>
      <c r="F4" s="392">
        <v>41061</v>
      </c>
      <c r="G4" s="392">
        <v>41068</v>
      </c>
      <c r="H4" s="392">
        <v>41075</v>
      </c>
      <c r="I4" s="392">
        <v>41082</v>
      </c>
      <c r="J4" s="392">
        <v>41089</v>
      </c>
      <c r="K4" s="392">
        <v>41096</v>
      </c>
      <c r="L4" s="392">
        <v>41103</v>
      </c>
      <c r="M4" s="392">
        <v>41110</v>
      </c>
      <c r="N4" s="392">
        <v>41117</v>
      </c>
      <c r="O4" s="495">
        <v>42370</v>
      </c>
      <c r="P4" s="495">
        <v>42377</v>
      </c>
      <c r="Q4" s="495">
        <v>42384</v>
      </c>
      <c r="R4" s="495">
        <v>42391</v>
      </c>
      <c r="S4" s="495">
        <v>42398</v>
      </c>
      <c r="T4" s="495">
        <v>42405</v>
      </c>
      <c r="U4" s="495">
        <v>42412</v>
      </c>
      <c r="V4" s="495">
        <v>42419</v>
      </c>
      <c r="W4" s="495">
        <v>42426</v>
      </c>
      <c r="X4" s="495">
        <v>42433</v>
      </c>
      <c r="Y4" s="495">
        <v>42440</v>
      </c>
      <c r="Z4" s="495">
        <v>42447</v>
      </c>
      <c r="AA4" s="495">
        <v>42454</v>
      </c>
      <c r="AB4" s="732"/>
      <c r="AC4" s="733"/>
      <c r="AD4" s="733"/>
      <c r="AE4" s="733"/>
      <c r="AF4" s="734"/>
      <c r="AG4" s="496"/>
      <c r="AH4" s="737"/>
      <c r="AI4" s="738"/>
    </row>
    <row r="5" spans="1:35">
      <c r="A5" s="393" t="s">
        <v>1926</v>
      </c>
      <c r="B5" s="394">
        <v>107999</v>
      </c>
      <c r="C5" s="394">
        <v>102146</v>
      </c>
      <c r="D5" s="394">
        <v>112914</v>
      </c>
      <c r="E5" s="394">
        <v>91715</v>
      </c>
      <c r="F5" s="394">
        <v>84841</v>
      </c>
      <c r="G5" s="394">
        <v>84841</v>
      </c>
      <c r="H5" s="394">
        <v>100820</v>
      </c>
      <c r="I5" s="394">
        <v>106466</v>
      </c>
      <c r="J5" s="394">
        <v>106094</v>
      </c>
      <c r="K5" s="394">
        <v>85767</v>
      </c>
      <c r="L5" s="394">
        <v>104744</v>
      </c>
      <c r="M5" s="394">
        <v>109892</v>
      </c>
      <c r="N5" s="394">
        <v>101563</v>
      </c>
      <c r="O5" s="497">
        <v>69539</v>
      </c>
      <c r="P5" s="497">
        <v>85543</v>
      </c>
      <c r="Q5" s="497">
        <v>90686</v>
      </c>
      <c r="R5" s="497">
        <v>70751</v>
      </c>
      <c r="S5" s="497">
        <v>87005</v>
      </c>
      <c r="T5" s="497">
        <v>90559</v>
      </c>
      <c r="U5" s="497">
        <v>85298</v>
      </c>
      <c r="V5" s="497">
        <v>71879</v>
      </c>
      <c r="W5" s="497">
        <v>92434</v>
      </c>
      <c r="X5" s="497">
        <v>94843</v>
      </c>
      <c r="Y5" s="497">
        <v>92116</v>
      </c>
      <c r="Z5" s="497">
        <v>89462</v>
      </c>
      <c r="AA5" s="497">
        <v>91466</v>
      </c>
      <c r="AB5" s="739" t="s">
        <v>1927</v>
      </c>
      <c r="AC5" s="739"/>
      <c r="AD5" s="739"/>
      <c r="AE5" s="739"/>
      <c r="AF5" s="740"/>
      <c r="AG5" s="393" t="s">
        <v>1926</v>
      </c>
      <c r="AH5" t="s">
        <v>1928</v>
      </c>
    </row>
    <row r="6" spans="1:35">
      <c r="A6" s="393" t="s">
        <v>1929</v>
      </c>
      <c r="B6" s="396">
        <v>316953</v>
      </c>
      <c r="C6" s="396">
        <v>304934</v>
      </c>
      <c r="D6" s="396">
        <v>306379</v>
      </c>
      <c r="E6" s="396">
        <v>318573</v>
      </c>
      <c r="F6" s="396">
        <v>313484</v>
      </c>
      <c r="G6" s="396">
        <v>336325</v>
      </c>
      <c r="H6" s="396">
        <v>311327</v>
      </c>
      <c r="I6" s="396">
        <v>333492</v>
      </c>
      <c r="J6" s="396">
        <v>379960</v>
      </c>
      <c r="K6" s="396">
        <v>309179</v>
      </c>
      <c r="L6" s="396">
        <v>362624</v>
      </c>
      <c r="M6" s="396">
        <v>363199</v>
      </c>
      <c r="N6" s="396">
        <v>395313</v>
      </c>
      <c r="O6" s="396">
        <v>5201035</v>
      </c>
      <c r="P6" s="396">
        <v>6484141</v>
      </c>
      <c r="Q6" s="396">
        <v>1127579</v>
      </c>
      <c r="R6" s="396">
        <v>1054529</v>
      </c>
      <c r="S6" s="396">
        <v>1263748</v>
      </c>
      <c r="T6" s="396">
        <v>1157488</v>
      </c>
      <c r="U6" s="396">
        <v>1046013</v>
      </c>
      <c r="V6" s="396">
        <v>959866</v>
      </c>
      <c r="W6" s="396">
        <v>1107805</v>
      </c>
      <c r="X6" s="396">
        <v>1144999</v>
      </c>
      <c r="Y6" s="396">
        <v>1019988</v>
      </c>
      <c r="Z6" s="396">
        <v>987466</v>
      </c>
      <c r="AA6" s="396">
        <v>1083048</v>
      </c>
      <c r="AB6" s="666"/>
      <c r="AC6" s="666"/>
      <c r="AD6" s="666"/>
      <c r="AE6" s="667"/>
      <c r="AF6" s="668"/>
      <c r="AG6" s="393" t="s">
        <v>1929</v>
      </c>
      <c r="AH6" t="s">
        <v>1930</v>
      </c>
    </row>
    <row r="7" spans="1:35">
      <c r="A7" s="393" t="s">
        <v>1931</v>
      </c>
      <c r="B7" s="395">
        <v>200199</v>
      </c>
      <c r="C7" s="395">
        <v>198543</v>
      </c>
      <c r="D7" s="395">
        <v>198926</v>
      </c>
      <c r="E7" s="395">
        <v>228336</v>
      </c>
      <c r="F7" s="395">
        <v>200823</v>
      </c>
      <c r="G7" s="395">
        <v>224753</v>
      </c>
      <c r="H7" s="395">
        <v>224939</v>
      </c>
      <c r="I7" s="395">
        <v>234899</v>
      </c>
      <c r="J7" s="395">
        <v>277693</v>
      </c>
      <c r="K7" s="395">
        <v>190026</v>
      </c>
      <c r="L7" s="395">
        <v>200130</v>
      </c>
      <c r="M7" s="395">
        <v>232913</v>
      </c>
      <c r="N7" s="395">
        <v>250181</v>
      </c>
      <c r="O7" s="498">
        <v>218748</v>
      </c>
      <c r="P7" s="498">
        <v>308278</v>
      </c>
      <c r="Q7" s="498">
        <v>278165</v>
      </c>
      <c r="R7" s="498">
        <v>251718</v>
      </c>
      <c r="S7" s="498">
        <v>273457</v>
      </c>
      <c r="T7" s="498">
        <v>266163</v>
      </c>
      <c r="U7" s="498">
        <v>261161</v>
      </c>
      <c r="V7" s="498">
        <v>241766</v>
      </c>
      <c r="W7" s="498">
        <v>287935</v>
      </c>
      <c r="X7" s="498">
        <v>299732</v>
      </c>
      <c r="Y7" s="498">
        <v>290079</v>
      </c>
      <c r="Z7" s="498">
        <v>287675</v>
      </c>
      <c r="AA7" s="498">
        <v>287014</v>
      </c>
      <c r="AB7" s="666" t="s">
        <v>1932</v>
      </c>
      <c r="AC7" s="666"/>
      <c r="AD7" s="666"/>
      <c r="AE7" s="667"/>
      <c r="AF7" s="668"/>
      <c r="AG7" s="393" t="s">
        <v>1931</v>
      </c>
      <c r="AH7" t="s">
        <v>1933</v>
      </c>
    </row>
    <row r="8" spans="1:35">
      <c r="A8" s="393" t="s">
        <v>51</v>
      </c>
      <c r="B8" s="395">
        <v>88091</v>
      </c>
      <c r="C8" s="395">
        <v>68421</v>
      </c>
      <c r="D8" s="395">
        <v>69479</v>
      </c>
      <c r="E8" s="395">
        <v>60965</v>
      </c>
      <c r="F8" s="395">
        <v>75055</v>
      </c>
      <c r="G8" s="395">
        <v>95237</v>
      </c>
      <c r="H8" s="395">
        <v>86135</v>
      </c>
      <c r="I8" s="395">
        <v>100223</v>
      </c>
      <c r="J8" s="395">
        <v>162186</v>
      </c>
      <c r="K8" s="395">
        <v>89951</v>
      </c>
      <c r="L8" s="395">
        <v>98891</v>
      </c>
      <c r="M8" s="395">
        <v>99900</v>
      </c>
      <c r="N8" s="395">
        <v>149150</v>
      </c>
      <c r="O8" s="498">
        <v>218381</v>
      </c>
      <c r="P8" s="498">
        <v>153986</v>
      </c>
      <c r="Q8" s="498">
        <v>130918</v>
      </c>
      <c r="R8" s="498">
        <v>130879</v>
      </c>
      <c r="S8" s="498">
        <v>211029</v>
      </c>
      <c r="T8" s="498">
        <v>163584</v>
      </c>
      <c r="U8" s="498">
        <v>115273</v>
      </c>
      <c r="V8" s="498">
        <v>104470</v>
      </c>
      <c r="W8" s="498">
        <v>145586</v>
      </c>
      <c r="X8" s="498">
        <v>172868</v>
      </c>
      <c r="Y8" s="498">
        <v>98895</v>
      </c>
      <c r="Z8" s="498">
        <v>96253</v>
      </c>
      <c r="AA8" s="498">
        <v>108272</v>
      </c>
      <c r="AB8" s="666" t="s">
        <v>1934</v>
      </c>
      <c r="AC8" s="666"/>
      <c r="AD8" s="666"/>
      <c r="AE8" s="667"/>
      <c r="AF8" s="668"/>
      <c r="AG8" s="393" t="s">
        <v>51</v>
      </c>
      <c r="AH8" t="s">
        <v>1935</v>
      </c>
    </row>
    <row r="9" spans="1:35">
      <c r="A9" s="393" t="s">
        <v>1936</v>
      </c>
      <c r="B9" s="395">
        <v>33518</v>
      </c>
      <c r="C9" s="395">
        <v>33523</v>
      </c>
      <c r="D9" s="395">
        <v>33181</v>
      </c>
      <c r="E9" s="395">
        <v>47374</v>
      </c>
      <c r="F9" s="395">
        <v>40317</v>
      </c>
      <c r="G9" s="395">
        <v>40698</v>
      </c>
      <c r="H9" s="395">
        <v>42430</v>
      </c>
      <c r="I9" s="395">
        <v>41895</v>
      </c>
      <c r="J9" s="395">
        <v>46122</v>
      </c>
      <c r="K9" s="395">
        <v>36127</v>
      </c>
      <c r="L9" s="395">
        <v>46349</v>
      </c>
      <c r="M9" s="395">
        <v>45656</v>
      </c>
      <c r="N9" s="395">
        <v>48395</v>
      </c>
      <c r="O9" s="498">
        <v>18644</v>
      </c>
      <c r="P9" s="498">
        <v>25024</v>
      </c>
      <c r="Q9" s="498">
        <v>22727</v>
      </c>
      <c r="R9" s="498">
        <v>20792</v>
      </c>
      <c r="S9" s="498">
        <v>22186</v>
      </c>
      <c r="T9" s="498">
        <v>21561</v>
      </c>
      <c r="U9" s="498">
        <v>20447</v>
      </c>
      <c r="V9" s="498">
        <v>18909</v>
      </c>
      <c r="W9" s="498">
        <v>21405</v>
      </c>
      <c r="X9" s="498">
        <v>20516</v>
      </c>
      <c r="Y9" s="498">
        <v>18957</v>
      </c>
      <c r="Z9" s="498">
        <v>19020</v>
      </c>
      <c r="AA9" s="498">
        <v>17858</v>
      </c>
      <c r="AB9" s="666" t="s">
        <v>1937</v>
      </c>
      <c r="AC9" s="666"/>
      <c r="AD9" s="666"/>
      <c r="AE9" s="667"/>
      <c r="AF9" s="668"/>
      <c r="AG9" s="393" t="s">
        <v>1936</v>
      </c>
      <c r="AH9" t="s">
        <v>1938</v>
      </c>
    </row>
    <row r="10" spans="1:35">
      <c r="A10" s="393" t="s">
        <v>501</v>
      </c>
      <c r="B10" s="395">
        <v>38563</v>
      </c>
      <c r="C10" s="395">
        <v>38289</v>
      </c>
      <c r="D10" s="395">
        <v>43247</v>
      </c>
      <c r="E10" s="395">
        <v>24631</v>
      </c>
      <c r="F10" s="395">
        <v>40063</v>
      </c>
      <c r="G10" s="395">
        <v>44120</v>
      </c>
      <c r="H10" s="395">
        <v>37136</v>
      </c>
      <c r="I10" s="395">
        <v>41039</v>
      </c>
      <c r="J10" s="395">
        <v>46799</v>
      </c>
      <c r="K10" s="395">
        <v>44377</v>
      </c>
      <c r="L10" s="395">
        <v>56249</v>
      </c>
      <c r="M10" s="395">
        <v>53165</v>
      </c>
      <c r="N10" s="395">
        <v>52886</v>
      </c>
      <c r="O10" s="498">
        <v>67481</v>
      </c>
      <c r="P10" s="498">
        <v>73006</v>
      </c>
      <c r="Q10" s="498">
        <v>94944</v>
      </c>
      <c r="R10" s="498">
        <v>82408</v>
      </c>
      <c r="S10" s="498">
        <v>92673</v>
      </c>
      <c r="T10" s="498">
        <v>89111</v>
      </c>
      <c r="U10" s="498">
        <v>82241</v>
      </c>
      <c r="V10" s="498">
        <v>73255</v>
      </c>
      <c r="W10" s="498">
        <v>82127</v>
      </c>
      <c r="X10" s="498">
        <v>86802</v>
      </c>
      <c r="Y10" s="498">
        <v>80970</v>
      </c>
      <c r="Z10" s="498">
        <v>78658</v>
      </c>
      <c r="AA10" s="498">
        <v>75936</v>
      </c>
      <c r="AB10" s="666" t="s">
        <v>1939</v>
      </c>
      <c r="AC10" s="666"/>
      <c r="AD10" s="666"/>
      <c r="AE10" s="667"/>
      <c r="AF10" s="668"/>
      <c r="AG10" s="393" t="s">
        <v>501</v>
      </c>
      <c r="AH10" t="s">
        <v>1940</v>
      </c>
    </row>
    <row r="11" spans="1:35">
      <c r="A11" s="393" t="s">
        <v>1941</v>
      </c>
      <c r="B11" s="395">
        <v>3123</v>
      </c>
      <c r="C11" s="395">
        <v>3010</v>
      </c>
      <c r="D11" s="395">
        <v>3053</v>
      </c>
      <c r="E11" s="395">
        <v>2971</v>
      </c>
      <c r="F11" s="395">
        <v>2915</v>
      </c>
      <c r="G11" s="395">
        <v>2892</v>
      </c>
      <c r="H11" s="395">
        <v>3116</v>
      </c>
      <c r="I11" s="395">
        <v>3191</v>
      </c>
      <c r="J11" s="395">
        <v>2738</v>
      </c>
      <c r="K11" s="395">
        <v>3146</v>
      </c>
      <c r="L11" s="395">
        <v>3240</v>
      </c>
      <c r="M11" s="395">
        <v>3104</v>
      </c>
      <c r="N11" s="395">
        <v>4255</v>
      </c>
      <c r="O11" s="498">
        <v>967</v>
      </c>
      <c r="P11" s="498">
        <v>1633</v>
      </c>
      <c r="Q11" s="498">
        <v>1372</v>
      </c>
      <c r="R11" s="498">
        <v>1250</v>
      </c>
      <c r="S11" s="498">
        <v>1373</v>
      </c>
      <c r="T11" s="498">
        <v>1409</v>
      </c>
      <c r="U11" s="498">
        <v>1366</v>
      </c>
      <c r="V11" s="498">
        <v>1090</v>
      </c>
      <c r="W11" s="498">
        <v>1355</v>
      </c>
      <c r="X11" s="498">
        <v>1404</v>
      </c>
      <c r="Y11" s="498">
        <v>1418</v>
      </c>
      <c r="Z11" s="498">
        <v>1283</v>
      </c>
      <c r="AA11" s="498">
        <v>1167</v>
      </c>
      <c r="AB11" s="666" t="s">
        <v>1942</v>
      </c>
      <c r="AC11" s="666"/>
      <c r="AD11" s="666"/>
      <c r="AE11" s="667"/>
      <c r="AF11" s="668"/>
      <c r="AG11" s="393" t="s">
        <v>1941</v>
      </c>
      <c r="AH11" t="s">
        <v>1943</v>
      </c>
    </row>
    <row r="12" spans="1:35" s="47" customFormat="1">
      <c r="A12" s="393" t="s">
        <v>1048</v>
      </c>
      <c r="B12" s="398">
        <v>11009</v>
      </c>
      <c r="C12" s="398">
        <v>9440</v>
      </c>
      <c r="D12" s="398">
        <v>9148</v>
      </c>
      <c r="E12" s="398">
        <v>10565</v>
      </c>
      <c r="F12" s="398">
        <v>10898</v>
      </c>
      <c r="G12" s="398">
        <v>11324</v>
      </c>
      <c r="H12" s="398">
        <v>11248</v>
      </c>
      <c r="I12" s="398">
        <v>11208</v>
      </c>
      <c r="J12" s="398">
        <v>13898</v>
      </c>
      <c r="K12" s="398">
        <v>12072</v>
      </c>
      <c r="L12" s="398">
        <v>15451</v>
      </c>
      <c r="M12" s="398">
        <v>14626</v>
      </c>
      <c r="N12" s="398">
        <v>15673</v>
      </c>
      <c r="O12" s="499">
        <v>14063</v>
      </c>
      <c r="P12" s="499">
        <v>18244</v>
      </c>
      <c r="Q12" s="499">
        <v>15632</v>
      </c>
      <c r="R12" s="499">
        <v>14489</v>
      </c>
      <c r="S12" s="499">
        <v>16897</v>
      </c>
      <c r="T12" s="499">
        <v>17353</v>
      </c>
      <c r="U12" s="499">
        <v>14006</v>
      </c>
      <c r="V12" s="499">
        <v>12327</v>
      </c>
      <c r="W12" s="499">
        <v>14238</v>
      </c>
      <c r="X12" s="499">
        <v>17491</v>
      </c>
      <c r="Y12" s="499">
        <v>13274</v>
      </c>
      <c r="Z12" s="499">
        <v>12587</v>
      </c>
      <c r="AA12" s="499">
        <v>11833</v>
      </c>
      <c r="AB12" s="666" t="s">
        <v>1944</v>
      </c>
      <c r="AC12" s="666"/>
      <c r="AD12" s="666"/>
      <c r="AE12" s="667"/>
      <c r="AF12" s="668"/>
      <c r="AG12" s="393" t="s">
        <v>1048</v>
      </c>
      <c r="AH12" s="47" t="s">
        <v>1945</v>
      </c>
    </row>
    <row r="13" spans="1:35" s="47" customFormat="1">
      <c r="A13" s="393" t="s">
        <v>1946</v>
      </c>
      <c r="B13" s="398">
        <v>9505</v>
      </c>
      <c r="C13" s="398">
        <v>9336</v>
      </c>
      <c r="D13" s="398">
        <v>9010</v>
      </c>
      <c r="E13" s="398">
        <v>9566</v>
      </c>
      <c r="F13" s="398">
        <v>9550</v>
      </c>
      <c r="G13" s="398">
        <v>10259</v>
      </c>
      <c r="H13" s="398">
        <v>10690</v>
      </c>
      <c r="I13" s="398">
        <v>11071</v>
      </c>
      <c r="J13" s="398">
        <v>14586</v>
      </c>
      <c r="K13" s="398">
        <v>10589</v>
      </c>
      <c r="L13" s="398">
        <v>16113</v>
      </c>
      <c r="M13" s="398">
        <v>14812</v>
      </c>
      <c r="N13" s="398">
        <v>14966</v>
      </c>
      <c r="O13" s="499" t="s">
        <v>14</v>
      </c>
      <c r="P13" s="499" t="s">
        <v>14</v>
      </c>
      <c r="Q13" s="499" t="s">
        <v>14</v>
      </c>
      <c r="R13" s="499" t="s">
        <v>14</v>
      </c>
      <c r="S13" s="499" t="s">
        <v>14</v>
      </c>
      <c r="T13" s="499" t="s">
        <v>14</v>
      </c>
      <c r="U13" s="499" t="s">
        <v>14</v>
      </c>
      <c r="V13" s="499" t="s">
        <v>14</v>
      </c>
      <c r="W13" s="499" t="s">
        <v>14</v>
      </c>
      <c r="X13" s="499" t="s">
        <v>14</v>
      </c>
      <c r="Y13" s="499" t="s">
        <v>14</v>
      </c>
      <c r="Z13" s="499" t="s">
        <v>14</v>
      </c>
      <c r="AA13" s="499" t="s">
        <v>14</v>
      </c>
      <c r="AB13" s="666" t="s">
        <v>1947</v>
      </c>
      <c r="AC13" s="666"/>
      <c r="AD13" s="666"/>
      <c r="AE13" s="667"/>
      <c r="AF13" s="668"/>
      <c r="AG13" s="393" t="s">
        <v>1946</v>
      </c>
      <c r="AH13" s="47" t="s">
        <v>1948</v>
      </c>
    </row>
    <row r="14" spans="1:35" s="47" customFormat="1">
      <c r="A14" s="393" t="s">
        <v>1949</v>
      </c>
      <c r="B14" s="398">
        <v>3037</v>
      </c>
      <c r="C14" s="398">
        <v>2803</v>
      </c>
      <c r="D14" s="398">
        <v>2924</v>
      </c>
      <c r="E14" s="398">
        <v>2848</v>
      </c>
      <c r="F14" s="398">
        <v>2998</v>
      </c>
      <c r="G14" s="398">
        <v>3000</v>
      </c>
      <c r="H14" s="398">
        <v>2549</v>
      </c>
      <c r="I14" s="398">
        <v>2614</v>
      </c>
      <c r="J14" s="398">
        <v>2858</v>
      </c>
      <c r="K14" s="398">
        <v>2412</v>
      </c>
      <c r="L14" s="398">
        <v>3452</v>
      </c>
      <c r="M14" s="398">
        <v>3464</v>
      </c>
      <c r="N14" s="398">
        <v>3578</v>
      </c>
      <c r="O14" s="500">
        <v>360</v>
      </c>
      <c r="P14" s="500">
        <v>398</v>
      </c>
      <c r="Q14" s="500">
        <v>448</v>
      </c>
      <c r="R14" s="500">
        <v>391</v>
      </c>
      <c r="S14" s="500">
        <v>357</v>
      </c>
      <c r="T14" s="500">
        <v>399</v>
      </c>
      <c r="U14" s="500">
        <v>451</v>
      </c>
      <c r="V14" s="500">
        <v>438</v>
      </c>
      <c r="W14" s="500">
        <v>384</v>
      </c>
      <c r="X14" s="500">
        <v>405</v>
      </c>
      <c r="Y14" s="500">
        <v>396</v>
      </c>
      <c r="Z14" s="500">
        <v>355</v>
      </c>
      <c r="AA14" s="500">
        <v>333</v>
      </c>
      <c r="AB14" s="666" t="s">
        <v>1950</v>
      </c>
      <c r="AC14" s="666"/>
      <c r="AD14" s="666"/>
      <c r="AE14" s="667"/>
      <c r="AF14" s="668"/>
      <c r="AG14" s="393" t="s">
        <v>1949</v>
      </c>
      <c r="AH14" s="47" t="s">
        <v>1951</v>
      </c>
    </row>
    <row r="15" spans="1:35" s="47" customFormat="1">
      <c r="A15" s="393" t="s">
        <v>1952</v>
      </c>
      <c r="B15" s="398">
        <v>30943</v>
      </c>
      <c r="C15" s="398">
        <v>29429</v>
      </c>
      <c r="D15" s="398">
        <v>29053</v>
      </c>
      <c r="E15" s="398">
        <v>35469</v>
      </c>
      <c r="F15" s="398">
        <v>32067</v>
      </c>
      <c r="G15" s="398">
        <v>35110</v>
      </c>
      <c r="H15" s="398">
        <v>34236</v>
      </c>
      <c r="I15" s="398">
        <v>36037</v>
      </c>
      <c r="J15" s="398">
        <v>45418</v>
      </c>
      <c r="K15" s="398">
        <v>30085</v>
      </c>
      <c r="L15" s="398">
        <v>37027</v>
      </c>
      <c r="M15" s="398">
        <v>37311</v>
      </c>
      <c r="N15" s="398">
        <v>40167</v>
      </c>
      <c r="O15" s="499">
        <v>39408</v>
      </c>
      <c r="P15" s="499">
        <v>62619</v>
      </c>
      <c r="Q15" s="499">
        <v>50662</v>
      </c>
      <c r="R15" s="499">
        <v>46705</v>
      </c>
      <c r="S15" s="499">
        <v>50241</v>
      </c>
      <c r="T15" s="499">
        <v>48969</v>
      </c>
      <c r="U15" s="499">
        <v>45533</v>
      </c>
      <c r="V15" s="499">
        <v>42603</v>
      </c>
      <c r="W15" s="499">
        <v>48939</v>
      </c>
      <c r="X15" s="499">
        <v>48767</v>
      </c>
      <c r="Y15" s="499">
        <v>45867</v>
      </c>
      <c r="Z15" s="499">
        <v>46422</v>
      </c>
      <c r="AA15" s="499">
        <v>45661</v>
      </c>
      <c r="AB15" s="666" t="s">
        <v>1953</v>
      </c>
      <c r="AC15" s="666"/>
      <c r="AD15" s="666"/>
      <c r="AE15" s="667"/>
      <c r="AF15" s="668"/>
      <c r="AG15" s="393" t="s">
        <v>1952</v>
      </c>
    </row>
    <row r="16" spans="1:35" s="47" customFormat="1">
      <c r="A16" s="393" t="s">
        <v>117</v>
      </c>
      <c r="B16" s="398">
        <v>138991</v>
      </c>
      <c r="C16" s="398">
        <v>140253</v>
      </c>
      <c r="D16" s="398">
        <v>181972</v>
      </c>
      <c r="E16" s="398">
        <v>161665</v>
      </c>
      <c r="F16" s="398">
        <v>152385</v>
      </c>
      <c r="G16" s="398">
        <v>171284</v>
      </c>
      <c r="H16" s="398">
        <v>166474</v>
      </c>
      <c r="I16" s="398">
        <v>193656</v>
      </c>
      <c r="J16" s="398">
        <v>175765</v>
      </c>
      <c r="K16" s="398">
        <v>167972</v>
      </c>
      <c r="L16" s="398">
        <v>205457</v>
      </c>
      <c r="M16" s="398">
        <v>195424</v>
      </c>
      <c r="N16" s="398">
        <v>198097</v>
      </c>
      <c r="O16" s="499">
        <v>28790</v>
      </c>
      <c r="P16" s="499">
        <v>54571</v>
      </c>
      <c r="Q16" s="499">
        <v>50883</v>
      </c>
      <c r="R16" s="499">
        <v>39596</v>
      </c>
      <c r="S16" s="499">
        <v>41604</v>
      </c>
      <c r="T16" s="499">
        <v>40441</v>
      </c>
      <c r="U16" s="499">
        <v>37327</v>
      </c>
      <c r="V16" s="499">
        <v>33588</v>
      </c>
      <c r="W16" s="499">
        <v>36713</v>
      </c>
      <c r="X16" s="499">
        <v>38355</v>
      </c>
      <c r="Y16" s="499">
        <v>37527</v>
      </c>
      <c r="Z16" s="499">
        <v>35263</v>
      </c>
      <c r="AA16" s="499">
        <v>34573</v>
      </c>
      <c r="AB16" s="666" t="s">
        <v>1954</v>
      </c>
      <c r="AC16" s="666"/>
      <c r="AD16" s="666"/>
      <c r="AE16" s="667"/>
      <c r="AF16" s="668"/>
      <c r="AG16" s="393" t="s">
        <v>117</v>
      </c>
    </row>
    <row r="17" spans="1:34">
      <c r="A17" s="403" t="s">
        <v>1955</v>
      </c>
      <c r="B17" s="398">
        <v>29737</v>
      </c>
      <c r="C17" s="398">
        <v>29429</v>
      </c>
      <c r="D17" s="398">
        <v>29906</v>
      </c>
      <c r="E17" s="398">
        <v>30618</v>
      </c>
      <c r="F17" s="398">
        <v>32306</v>
      </c>
      <c r="G17" s="398">
        <v>32278</v>
      </c>
      <c r="H17" s="398">
        <v>33063</v>
      </c>
      <c r="I17" s="398">
        <v>33152</v>
      </c>
      <c r="J17" s="398">
        <v>39755</v>
      </c>
      <c r="K17" s="398">
        <v>33211</v>
      </c>
      <c r="L17" s="398">
        <v>43236</v>
      </c>
      <c r="M17" s="398">
        <v>41547</v>
      </c>
      <c r="N17" s="398">
        <v>46588</v>
      </c>
      <c r="O17" s="499">
        <v>26844</v>
      </c>
      <c r="P17" s="499">
        <v>45320</v>
      </c>
      <c r="Q17" s="499">
        <v>42697</v>
      </c>
      <c r="R17" s="499">
        <v>36987</v>
      </c>
      <c r="S17" s="499">
        <v>40620</v>
      </c>
      <c r="T17" s="499">
        <v>37723</v>
      </c>
      <c r="U17" s="499">
        <v>29443</v>
      </c>
      <c r="V17" s="499">
        <v>25697</v>
      </c>
      <c r="W17" s="499">
        <v>28371</v>
      </c>
      <c r="X17" s="499">
        <v>29250</v>
      </c>
      <c r="Y17" s="499">
        <v>23928</v>
      </c>
      <c r="Z17" s="499">
        <v>22911</v>
      </c>
      <c r="AA17" s="499">
        <v>25310</v>
      </c>
      <c r="AB17" s="666" t="s">
        <v>1965</v>
      </c>
      <c r="AC17" s="666"/>
      <c r="AD17" s="666"/>
      <c r="AE17" s="667"/>
      <c r="AF17" s="668"/>
      <c r="AG17" s="403" t="s">
        <v>1955</v>
      </c>
    </row>
    <row r="18" spans="1:34" s="47" customFormat="1">
      <c r="A18" s="403" t="s">
        <v>1956</v>
      </c>
      <c r="B18" s="398">
        <v>8150</v>
      </c>
      <c r="C18" s="398">
        <v>7795</v>
      </c>
      <c r="D18" s="398">
        <v>8004</v>
      </c>
      <c r="E18" s="398">
        <v>9853</v>
      </c>
      <c r="F18" s="398">
        <v>9694</v>
      </c>
      <c r="G18" s="398">
        <v>10297</v>
      </c>
      <c r="H18" s="398">
        <v>17353</v>
      </c>
      <c r="I18" s="398">
        <v>17141</v>
      </c>
      <c r="J18" s="398">
        <v>20348</v>
      </c>
      <c r="K18" s="398">
        <v>11253</v>
      </c>
      <c r="L18" s="398">
        <v>14840</v>
      </c>
      <c r="M18" s="398">
        <v>14009</v>
      </c>
      <c r="N18" s="398">
        <v>15474</v>
      </c>
      <c r="O18" s="499">
        <v>13833</v>
      </c>
      <c r="P18" s="499">
        <v>18150</v>
      </c>
      <c r="Q18" s="499">
        <v>17131</v>
      </c>
      <c r="R18" s="499">
        <v>16059</v>
      </c>
      <c r="S18" s="499">
        <v>16260</v>
      </c>
      <c r="T18" s="499">
        <v>17117</v>
      </c>
      <c r="U18" s="499">
        <v>15533</v>
      </c>
      <c r="V18" s="499">
        <v>14652</v>
      </c>
      <c r="W18" s="499">
        <v>14704</v>
      </c>
      <c r="X18" s="499">
        <v>15875</v>
      </c>
      <c r="Y18" s="499">
        <v>15055</v>
      </c>
      <c r="Z18" s="499">
        <v>14502</v>
      </c>
      <c r="AA18" s="499">
        <v>10198</v>
      </c>
      <c r="AB18" s="666" t="s">
        <v>1957</v>
      </c>
      <c r="AC18" s="666"/>
      <c r="AD18" s="666"/>
      <c r="AE18" s="667"/>
      <c r="AF18" s="668"/>
      <c r="AG18" s="403" t="s">
        <v>1958</v>
      </c>
    </row>
    <row r="23" spans="1:34">
      <c r="AH23" s="235"/>
    </row>
    <row r="57" spans="1:1">
      <c r="A57" s="405" t="s">
        <v>1963</v>
      </c>
    </row>
  </sheetData>
  <mergeCells count="19">
    <mergeCell ref="AB18:AF18"/>
    <mergeCell ref="AB12:AF12"/>
    <mergeCell ref="AB13:AF13"/>
    <mergeCell ref="AB14:AF14"/>
    <mergeCell ref="AB15:AF15"/>
    <mergeCell ref="AB16:AF16"/>
    <mergeCell ref="AB17:AF17"/>
    <mergeCell ref="AB11:AF11"/>
    <mergeCell ref="A1:AH1"/>
    <mergeCell ref="A3:A4"/>
    <mergeCell ref="O3:AA3"/>
    <mergeCell ref="AB3:AF4"/>
    <mergeCell ref="AH3:AI4"/>
    <mergeCell ref="AB5:AF5"/>
    <mergeCell ref="AB6:AF6"/>
    <mergeCell ref="AB7:AF7"/>
    <mergeCell ref="AB8:AF8"/>
    <mergeCell ref="AB9:AF9"/>
    <mergeCell ref="AB10:AF10"/>
  </mergeCells>
  <pageMargins left="0.7" right="0.7" top="0.75" bottom="0.75" header="0.3" footer="0.3"/>
  <drawing r:id="rId1"/>
  <legacyDrawing r:id="rId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54" sqref="A54"/>
    </sheetView>
  </sheetViews>
  <sheetFormatPr baseColWidth="10" defaultColWidth="8.83203125" defaultRowHeight="14" x14ac:dyDescent="0"/>
  <sheetData/>
  <pageMargins left="0.7" right="0.7" top="0.75" bottom="0.75" header="0.3" footer="0.3"/>
  <drawing r:id="rId1"/>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60" workbookViewId="0">
      <selection activeCell="D1" sqref="D1"/>
    </sheetView>
  </sheetViews>
  <sheetFormatPr baseColWidth="10" defaultColWidth="8.83203125" defaultRowHeight="14" x14ac:dyDescent="0"/>
  <cols>
    <col min="1" max="1" width="129.6640625" customWidth="1"/>
  </cols>
  <sheetData>
    <row r="1" spans="1:1" ht="251.25" customHeight="1">
      <c r="A1" s="3" t="s">
        <v>1966</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4" sqref="A4"/>
    </sheetView>
  </sheetViews>
  <sheetFormatPr baseColWidth="10" defaultColWidth="8.83203125" defaultRowHeight="14" x14ac:dyDescent="0"/>
  <cols>
    <col min="1" max="1" width="41.33203125" customWidth="1"/>
    <col min="2" max="2" width="111.1640625" customWidth="1"/>
    <col min="3" max="3" width="86.1640625" customWidth="1"/>
  </cols>
  <sheetData>
    <row r="1" spans="1:3" s="2" customFormat="1">
      <c r="A1" s="2" t="s">
        <v>224</v>
      </c>
      <c r="B1" s="2" t="s">
        <v>225</v>
      </c>
      <c r="C1" s="2" t="s">
        <v>226</v>
      </c>
    </row>
    <row r="2" spans="1:3" ht="28">
      <c r="A2" t="s">
        <v>218</v>
      </c>
      <c r="B2" s="3" t="s">
        <v>227</v>
      </c>
      <c r="C2" t="s">
        <v>228</v>
      </c>
    </row>
    <row r="3" spans="1:3" ht="28">
      <c r="A3" t="s">
        <v>158</v>
      </c>
      <c r="B3" s="3" t="s">
        <v>229</v>
      </c>
      <c r="C3" t="s">
        <v>230</v>
      </c>
    </row>
    <row r="4" spans="1:3">
      <c r="A4" t="s">
        <v>0</v>
      </c>
      <c r="B4" t="s">
        <v>231</v>
      </c>
    </row>
    <row r="5" spans="1:3">
      <c r="A5" t="s">
        <v>1</v>
      </c>
      <c r="B5" t="s">
        <v>355</v>
      </c>
    </row>
    <row r="6" spans="1:3">
      <c r="A6" t="s">
        <v>160</v>
      </c>
      <c r="B6" t="s">
        <v>232</v>
      </c>
    </row>
    <row r="7" spans="1:3">
      <c r="A7" t="s">
        <v>159</v>
      </c>
      <c r="B7" t="s">
        <v>233</v>
      </c>
    </row>
    <row r="8" spans="1:3">
      <c r="A8" t="s">
        <v>165</v>
      </c>
      <c r="B8" t="s">
        <v>234</v>
      </c>
      <c r="C8" t="s">
        <v>235</v>
      </c>
    </row>
    <row r="9" spans="1:3">
      <c r="A9" t="s">
        <v>2</v>
      </c>
      <c r="B9" t="s">
        <v>236</v>
      </c>
      <c r="C9" t="s">
        <v>237</v>
      </c>
    </row>
    <row r="10" spans="1:3">
      <c r="A10" t="s">
        <v>3</v>
      </c>
      <c r="B10" t="s">
        <v>461</v>
      </c>
      <c r="C10" t="s">
        <v>462</v>
      </c>
    </row>
    <row r="11" spans="1:3">
      <c r="A11" t="s">
        <v>238</v>
      </c>
      <c r="B11" t="s">
        <v>244</v>
      </c>
      <c r="C11" t="s">
        <v>239</v>
      </c>
    </row>
    <row r="12" spans="1:3">
      <c r="A12" t="s">
        <v>267</v>
      </c>
      <c r="B12" t="s">
        <v>354</v>
      </c>
      <c r="C12" t="s">
        <v>135</v>
      </c>
    </row>
    <row r="13" spans="1:3">
      <c r="A13" t="s">
        <v>221</v>
      </c>
      <c r="B13" t="s">
        <v>240</v>
      </c>
    </row>
    <row r="14" spans="1:3">
      <c r="A14" t="s">
        <v>222</v>
      </c>
      <c r="B14" t="s">
        <v>356</v>
      </c>
      <c r="C14" t="s">
        <v>358</v>
      </c>
    </row>
    <row r="15" spans="1:3">
      <c r="A15" t="s">
        <v>246</v>
      </c>
      <c r="B15" t="s">
        <v>357</v>
      </c>
      <c r="C15" t="s">
        <v>92</v>
      </c>
    </row>
    <row r="16" spans="1:3">
      <c r="A16" t="s">
        <v>4</v>
      </c>
      <c r="B16" t="s">
        <v>241</v>
      </c>
      <c r="C16" t="s">
        <v>359</v>
      </c>
    </row>
    <row r="17" spans="1:2">
      <c r="A17" t="s">
        <v>5</v>
      </c>
      <c r="B17" t="s">
        <v>242</v>
      </c>
    </row>
    <row r="18" spans="1:2">
      <c r="A18" t="s">
        <v>6</v>
      </c>
      <c r="B18" t="s">
        <v>243</v>
      </c>
    </row>
    <row r="19" spans="1:2">
      <c r="A19" t="s">
        <v>379</v>
      </c>
      <c r="B19" t="s">
        <v>463</v>
      </c>
    </row>
    <row r="20" spans="1:2">
      <c r="A20" t="s">
        <v>334</v>
      </c>
      <c r="B20" t="s">
        <v>360</v>
      </c>
    </row>
    <row r="21" spans="1:2">
      <c r="B21" t="s">
        <v>245</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2"/>
  <sheetViews>
    <sheetView workbookViewId="0">
      <selection activeCell="D7" sqref="D7"/>
    </sheetView>
  </sheetViews>
  <sheetFormatPr baseColWidth="10" defaultColWidth="8.83203125" defaultRowHeight="14" x14ac:dyDescent="0"/>
  <cols>
    <col min="1" max="1" width="22.5" customWidth="1"/>
    <col min="2" max="2" width="52.6640625" customWidth="1"/>
    <col min="3" max="3" width="16.83203125" customWidth="1"/>
    <col min="4" max="4" width="78" customWidth="1"/>
    <col min="5" max="5" width="16.5" customWidth="1"/>
    <col min="6" max="6" width="29.6640625" customWidth="1"/>
  </cols>
  <sheetData>
    <row r="1" spans="1:7" ht="20" thickBot="1">
      <c r="A1" s="6" t="s">
        <v>464</v>
      </c>
      <c r="B1" s="7" t="s">
        <v>465</v>
      </c>
      <c r="C1" s="8" t="s">
        <v>466</v>
      </c>
      <c r="D1" s="9" t="s">
        <v>379</v>
      </c>
      <c r="E1" s="8" t="s">
        <v>467</v>
      </c>
      <c r="F1" s="6" t="s">
        <v>468</v>
      </c>
      <c r="G1" s="10"/>
    </row>
    <row r="2" spans="1:7" ht="15" thickTop="1">
      <c r="A2" s="11">
        <v>1</v>
      </c>
      <c r="B2" s="12" t="s">
        <v>676</v>
      </c>
      <c r="C2" t="s">
        <v>511</v>
      </c>
      <c r="D2" s="13" t="s">
        <v>677</v>
      </c>
      <c r="E2">
        <v>0</v>
      </c>
      <c r="F2" t="s">
        <v>678</v>
      </c>
    </row>
    <row r="3" spans="1:7">
      <c r="A3" s="11">
        <v>2</v>
      </c>
      <c r="B3" s="14" t="s">
        <v>469</v>
      </c>
      <c r="D3" s="13"/>
    </row>
    <row r="4" spans="1:7" ht="28">
      <c r="A4" s="11">
        <v>3</v>
      </c>
      <c r="B4" s="15" t="s">
        <v>470</v>
      </c>
      <c r="C4" t="s">
        <v>596</v>
      </c>
      <c r="D4" s="16" t="s">
        <v>383</v>
      </c>
      <c r="E4">
        <v>2</v>
      </c>
      <c r="F4" t="s">
        <v>1058</v>
      </c>
    </row>
    <row r="5" spans="1:7">
      <c r="A5" s="11">
        <v>4</v>
      </c>
      <c r="B5" s="15" t="s">
        <v>501</v>
      </c>
      <c r="C5" t="s">
        <v>511</v>
      </c>
      <c r="D5" s="13" t="s">
        <v>679</v>
      </c>
      <c r="E5">
        <v>0</v>
      </c>
      <c r="F5" t="s">
        <v>680</v>
      </c>
    </row>
    <row r="6" spans="1:7">
      <c r="A6" s="11">
        <v>5</v>
      </c>
      <c r="B6" s="17" t="s">
        <v>192</v>
      </c>
      <c r="C6" t="s">
        <v>596</v>
      </c>
      <c r="D6" s="16" t="s">
        <v>380</v>
      </c>
      <c r="E6">
        <v>2</v>
      </c>
      <c r="F6" t="s">
        <v>1052</v>
      </c>
    </row>
    <row r="7" spans="1:7">
      <c r="A7" s="11">
        <v>6</v>
      </c>
      <c r="B7" s="17" t="s">
        <v>471</v>
      </c>
      <c r="C7" t="s">
        <v>596</v>
      </c>
      <c r="D7" s="16" t="s">
        <v>381</v>
      </c>
      <c r="E7">
        <v>2</v>
      </c>
      <c r="F7" t="s">
        <v>1055</v>
      </c>
    </row>
    <row r="8" spans="1:7">
      <c r="A8" s="11">
        <v>7</v>
      </c>
      <c r="B8" s="17" t="s">
        <v>472</v>
      </c>
      <c r="C8" t="s">
        <v>596</v>
      </c>
      <c r="D8" s="13" t="s">
        <v>384</v>
      </c>
      <c r="E8">
        <v>0</v>
      </c>
      <c r="F8" t="s">
        <v>995</v>
      </c>
    </row>
    <row r="9" spans="1:7">
      <c r="A9" s="11">
        <v>8</v>
      </c>
      <c r="B9" s="17" t="s">
        <v>473</v>
      </c>
      <c r="C9" t="s">
        <v>511</v>
      </c>
      <c r="D9" s="13" t="s">
        <v>685</v>
      </c>
      <c r="E9">
        <v>0</v>
      </c>
      <c r="F9" t="s">
        <v>686</v>
      </c>
    </row>
    <row r="10" spans="1:7">
      <c r="A10" s="11">
        <v>9</v>
      </c>
      <c r="B10" s="17" t="s">
        <v>474</v>
      </c>
      <c r="C10" t="s">
        <v>511</v>
      </c>
      <c r="D10" s="13" t="s">
        <v>691</v>
      </c>
      <c r="E10">
        <v>0</v>
      </c>
      <c r="F10" t="s">
        <v>692</v>
      </c>
    </row>
    <row r="11" spans="1:7">
      <c r="A11" s="11">
        <v>10</v>
      </c>
      <c r="B11" s="17" t="s">
        <v>262</v>
      </c>
      <c r="C11" t="s">
        <v>511</v>
      </c>
      <c r="D11" s="13" t="s">
        <v>685</v>
      </c>
      <c r="E11">
        <v>0</v>
      </c>
      <c r="F11" t="s">
        <v>686</v>
      </c>
    </row>
    <row r="12" spans="1:7">
      <c r="A12" s="11">
        <v>11</v>
      </c>
      <c r="B12" s="17" t="s">
        <v>475</v>
      </c>
      <c r="C12" t="s">
        <v>511</v>
      </c>
      <c r="D12" s="13" t="s">
        <v>679</v>
      </c>
      <c r="E12">
        <v>0</v>
      </c>
      <c r="F12" t="s">
        <v>680</v>
      </c>
    </row>
    <row r="13" spans="1:7">
      <c r="A13" s="11">
        <v>12</v>
      </c>
      <c r="B13" s="15" t="s">
        <v>286</v>
      </c>
      <c r="C13" t="s">
        <v>511</v>
      </c>
      <c r="D13" s="13" t="s">
        <v>693</v>
      </c>
      <c r="E13">
        <v>0</v>
      </c>
      <c r="F13" t="s">
        <v>694</v>
      </c>
    </row>
    <row r="14" spans="1:7">
      <c r="A14" s="11">
        <v>13</v>
      </c>
      <c r="B14" s="17" t="s">
        <v>476</v>
      </c>
      <c r="C14" t="s">
        <v>596</v>
      </c>
      <c r="D14" s="13" t="s">
        <v>391</v>
      </c>
      <c r="E14">
        <v>2</v>
      </c>
      <c r="F14" t="s">
        <v>969</v>
      </c>
    </row>
    <row r="15" spans="1:7">
      <c r="A15" s="11">
        <v>14</v>
      </c>
      <c r="B15" s="17" t="s">
        <v>477</v>
      </c>
      <c r="C15" t="s">
        <v>596</v>
      </c>
      <c r="D15" s="16" t="s">
        <v>390</v>
      </c>
      <c r="E15">
        <v>2</v>
      </c>
      <c r="F15" t="s">
        <v>966</v>
      </c>
    </row>
    <row r="16" spans="1:7">
      <c r="A16" s="11">
        <v>15</v>
      </c>
      <c r="B16" s="17" t="s">
        <v>478</v>
      </c>
      <c r="C16" t="s">
        <v>596</v>
      </c>
      <c r="D16" s="13" t="s">
        <v>385</v>
      </c>
      <c r="E16">
        <v>2</v>
      </c>
      <c r="F16" t="s">
        <v>953</v>
      </c>
    </row>
    <row r="17" spans="1:6">
      <c r="A17" s="11">
        <v>16</v>
      </c>
      <c r="B17" s="17" t="s">
        <v>479</v>
      </c>
      <c r="C17" t="s">
        <v>596</v>
      </c>
      <c r="D17" s="13" t="s">
        <v>392</v>
      </c>
      <c r="E17">
        <v>2</v>
      </c>
      <c r="F17" t="s">
        <v>970</v>
      </c>
    </row>
    <row r="18" spans="1:6">
      <c r="A18" s="11">
        <v>17</v>
      </c>
      <c r="B18" s="17" t="s">
        <v>480</v>
      </c>
      <c r="C18" t="s">
        <v>596</v>
      </c>
      <c r="D18" s="13" t="s">
        <v>400</v>
      </c>
      <c r="E18">
        <v>2</v>
      </c>
      <c r="F18" t="s">
        <v>988</v>
      </c>
    </row>
    <row r="19" spans="1:6">
      <c r="A19" s="11">
        <v>18</v>
      </c>
      <c r="B19" s="17" t="s">
        <v>481</v>
      </c>
      <c r="C19" t="s">
        <v>596</v>
      </c>
      <c r="D19" s="16" t="s">
        <v>391</v>
      </c>
      <c r="E19">
        <v>2</v>
      </c>
      <c r="F19" t="s">
        <v>969</v>
      </c>
    </row>
    <row r="20" spans="1:6">
      <c r="A20" s="11">
        <v>19</v>
      </c>
      <c r="B20" s="17" t="s">
        <v>482</v>
      </c>
      <c r="C20" t="s">
        <v>511</v>
      </c>
      <c r="D20" s="13" t="s">
        <v>693</v>
      </c>
      <c r="E20">
        <v>0</v>
      </c>
      <c r="F20" t="s">
        <v>694</v>
      </c>
    </row>
    <row r="21" spans="1:6">
      <c r="A21" s="11">
        <v>20</v>
      </c>
      <c r="B21" s="15" t="s">
        <v>483</v>
      </c>
      <c r="C21" t="s">
        <v>511</v>
      </c>
      <c r="D21" s="13" t="s">
        <v>707</v>
      </c>
      <c r="E21">
        <v>0</v>
      </c>
      <c r="F21" t="s">
        <v>710</v>
      </c>
    </row>
    <row r="22" spans="1:6">
      <c r="A22" s="11">
        <v>21</v>
      </c>
      <c r="B22" s="17" t="s">
        <v>484</v>
      </c>
      <c r="C22" t="s">
        <v>596</v>
      </c>
      <c r="D22" s="13" t="s">
        <v>420</v>
      </c>
      <c r="E22">
        <v>2</v>
      </c>
      <c r="F22" t="s">
        <v>1021</v>
      </c>
    </row>
    <row r="23" spans="1:6">
      <c r="A23" s="11">
        <v>22</v>
      </c>
      <c r="B23" s="17" t="s">
        <v>485</v>
      </c>
      <c r="C23" t="s">
        <v>596</v>
      </c>
      <c r="D23" s="13" t="s">
        <v>422</v>
      </c>
      <c r="E23">
        <v>2</v>
      </c>
      <c r="F23" t="s">
        <v>1024</v>
      </c>
    </row>
    <row r="24" spans="1:6">
      <c r="A24" s="11">
        <v>23</v>
      </c>
      <c r="B24" s="17" t="s">
        <v>486</v>
      </c>
      <c r="C24" t="s">
        <v>596</v>
      </c>
      <c r="D24" s="13" t="s">
        <v>424</v>
      </c>
      <c r="E24">
        <v>2</v>
      </c>
      <c r="F24" t="s">
        <v>1018</v>
      </c>
    </row>
    <row r="25" spans="1:6">
      <c r="A25" s="11">
        <v>24</v>
      </c>
      <c r="B25" s="17" t="s">
        <v>487</v>
      </c>
      <c r="C25" t="s">
        <v>596</v>
      </c>
      <c r="D25" s="13" t="s">
        <v>396</v>
      </c>
      <c r="E25">
        <v>2</v>
      </c>
      <c r="F25" t="s">
        <v>976</v>
      </c>
    </row>
    <row r="26" spans="1:6">
      <c r="A26" s="11">
        <v>25</v>
      </c>
      <c r="B26" s="17" t="s">
        <v>488</v>
      </c>
      <c r="C26" t="s">
        <v>596</v>
      </c>
      <c r="D26" s="13" t="s">
        <v>423</v>
      </c>
      <c r="E26">
        <v>2</v>
      </c>
      <c r="F26" t="s">
        <v>1027</v>
      </c>
    </row>
    <row r="27" spans="1:6">
      <c r="A27" s="11">
        <v>26</v>
      </c>
      <c r="B27" s="17" t="s">
        <v>489</v>
      </c>
      <c r="C27" t="s">
        <v>596</v>
      </c>
      <c r="D27" s="13" t="s">
        <v>410</v>
      </c>
      <c r="E27">
        <v>2</v>
      </c>
      <c r="F27" t="s">
        <v>1034</v>
      </c>
    </row>
    <row r="28" spans="1:6">
      <c r="A28" s="11">
        <v>27</v>
      </c>
      <c r="B28" s="17" t="s">
        <v>490</v>
      </c>
      <c r="C28" t="s">
        <v>511</v>
      </c>
      <c r="D28" s="13" t="s">
        <v>707</v>
      </c>
      <c r="E28">
        <v>0</v>
      </c>
      <c r="F28" t="s">
        <v>710</v>
      </c>
    </row>
    <row r="29" spans="1:6">
      <c r="A29" s="11">
        <v>28</v>
      </c>
      <c r="B29" s="14" t="s">
        <v>491</v>
      </c>
      <c r="D29" s="13"/>
    </row>
    <row r="30" spans="1:6">
      <c r="A30" s="11">
        <v>29</v>
      </c>
      <c r="B30" s="15" t="s">
        <v>492</v>
      </c>
      <c r="C30" t="s">
        <v>511</v>
      </c>
      <c r="D30" s="13" t="s">
        <v>790</v>
      </c>
      <c r="E30">
        <v>0</v>
      </c>
      <c r="F30" t="s">
        <v>791</v>
      </c>
    </row>
    <row r="31" spans="1:6">
      <c r="A31" s="11">
        <v>30</v>
      </c>
      <c r="B31" s="15" t="s">
        <v>168</v>
      </c>
      <c r="C31" t="s">
        <v>511</v>
      </c>
      <c r="D31" s="13" t="s">
        <v>792</v>
      </c>
      <c r="E31">
        <v>0</v>
      </c>
      <c r="F31" t="s">
        <v>793</v>
      </c>
    </row>
    <row r="32" spans="1:6">
      <c r="A32" s="11">
        <v>31</v>
      </c>
      <c r="B32" s="15" t="s">
        <v>493</v>
      </c>
      <c r="C32" t="s">
        <v>511</v>
      </c>
      <c r="D32" s="13" t="s">
        <v>794</v>
      </c>
      <c r="E32">
        <v>0</v>
      </c>
      <c r="F32" t="s">
        <v>795</v>
      </c>
    </row>
    <row r="33" spans="1:6">
      <c r="A33" s="11">
        <v>32</v>
      </c>
      <c r="B33" s="15" t="s">
        <v>494</v>
      </c>
      <c r="C33" t="s">
        <v>511</v>
      </c>
      <c r="D33" s="13" t="s">
        <v>796</v>
      </c>
      <c r="E33">
        <v>0</v>
      </c>
      <c r="F33" t="s">
        <v>797</v>
      </c>
    </row>
    <row r="34" spans="1:6">
      <c r="A34" s="11">
        <v>33</v>
      </c>
      <c r="B34" s="15" t="s">
        <v>495</v>
      </c>
      <c r="C34" t="s">
        <v>511</v>
      </c>
      <c r="D34" s="13" t="s">
        <v>798</v>
      </c>
      <c r="E34">
        <v>0</v>
      </c>
      <c r="F34" t="s">
        <v>799</v>
      </c>
    </row>
    <row r="35" spans="1:6">
      <c r="A35" s="11">
        <v>34</v>
      </c>
      <c r="B35" s="14" t="s">
        <v>496</v>
      </c>
      <c r="D35" s="13"/>
    </row>
    <row r="36" spans="1:6">
      <c r="A36" s="11">
        <v>35</v>
      </c>
      <c r="B36" s="18" t="s">
        <v>178</v>
      </c>
      <c r="D36" s="13"/>
    </row>
    <row r="37" spans="1:6">
      <c r="A37" s="11">
        <v>36</v>
      </c>
      <c r="B37" s="17" t="s">
        <v>497</v>
      </c>
      <c r="C37" t="s">
        <v>511</v>
      </c>
      <c r="D37" s="13" t="s">
        <v>715</v>
      </c>
      <c r="E37">
        <v>0</v>
      </c>
      <c r="F37" t="s">
        <v>716</v>
      </c>
    </row>
    <row r="38" spans="1:6">
      <c r="A38" s="11">
        <v>37</v>
      </c>
      <c r="B38" s="17" t="s">
        <v>806</v>
      </c>
      <c r="C38" t="s">
        <v>807</v>
      </c>
      <c r="D38" s="13" t="s">
        <v>808</v>
      </c>
      <c r="E38">
        <v>0</v>
      </c>
    </row>
    <row r="39" spans="1:6" ht="28">
      <c r="A39" s="11">
        <v>38</v>
      </c>
      <c r="B39" s="17" t="s">
        <v>809</v>
      </c>
      <c r="C39" t="s">
        <v>807</v>
      </c>
      <c r="D39" s="13" t="s">
        <v>810</v>
      </c>
      <c r="E39">
        <v>0</v>
      </c>
    </row>
    <row r="40" spans="1:6">
      <c r="A40" s="11">
        <v>39</v>
      </c>
      <c r="B40" s="18" t="s">
        <v>164</v>
      </c>
      <c r="D40" s="13"/>
    </row>
    <row r="41" spans="1:6">
      <c r="A41" s="11">
        <v>40</v>
      </c>
      <c r="B41" s="17" t="s">
        <v>497</v>
      </c>
      <c r="C41" t="s">
        <v>511</v>
      </c>
      <c r="D41" s="13" t="s">
        <v>717</v>
      </c>
      <c r="E41">
        <v>0</v>
      </c>
      <c r="F41" t="s">
        <v>718</v>
      </c>
    </row>
    <row r="42" spans="1:6">
      <c r="A42" s="11">
        <v>41</v>
      </c>
      <c r="B42" s="17" t="s">
        <v>811</v>
      </c>
      <c r="C42" t="s">
        <v>807</v>
      </c>
      <c r="D42" s="13" t="s">
        <v>812</v>
      </c>
      <c r="E42">
        <v>0</v>
      </c>
    </row>
    <row r="43" spans="1:6" ht="28">
      <c r="A43" s="11">
        <v>42</v>
      </c>
      <c r="B43" s="17" t="s">
        <v>813</v>
      </c>
      <c r="C43" t="s">
        <v>807</v>
      </c>
      <c r="D43" s="13" t="s">
        <v>814</v>
      </c>
      <c r="E43">
        <v>0</v>
      </c>
    </row>
    <row r="44" spans="1:6" ht="28">
      <c r="A44" s="11">
        <v>43</v>
      </c>
      <c r="B44" s="17" t="s">
        <v>815</v>
      </c>
      <c r="C44" t="s">
        <v>807</v>
      </c>
      <c r="D44" s="13" t="s">
        <v>816</v>
      </c>
      <c r="E44">
        <v>0</v>
      </c>
    </row>
    <row r="45" spans="1:6">
      <c r="A45" s="11">
        <v>44</v>
      </c>
      <c r="B45" s="18" t="s">
        <v>498</v>
      </c>
      <c r="D45" s="13"/>
    </row>
    <row r="46" spans="1:6">
      <c r="A46" s="11">
        <v>45</v>
      </c>
      <c r="B46" s="17" t="s">
        <v>497</v>
      </c>
      <c r="C46" t="s">
        <v>511</v>
      </c>
      <c r="D46" s="13" t="s">
        <v>719</v>
      </c>
      <c r="E46">
        <v>0</v>
      </c>
      <c r="F46" t="s">
        <v>720</v>
      </c>
    </row>
    <row r="47" spans="1:6">
      <c r="A47" s="11">
        <v>46</v>
      </c>
      <c r="B47" s="17" t="s">
        <v>823</v>
      </c>
      <c r="C47" t="s">
        <v>807</v>
      </c>
      <c r="D47" s="13" t="s">
        <v>824</v>
      </c>
      <c r="E47">
        <v>0</v>
      </c>
    </row>
    <row r="48" spans="1:6">
      <c r="A48" s="11">
        <v>47</v>
      </c>
      <c r="B48" s="17" t="s">
        <v>825</v>
      </c>
      <c r="C48" t="s">
        <v>807</v>
      </c>
      <c r="D48" s="13" t="s">
        <v>826</v>
      </c>
      <c r="E48">
        <v>0</v>
      </c>
    </row>
    <row r="49" spans="1:6">
      <c r="A49" s="11">
        <v>48</v>
      </c>
      <c r="B49" s="17" t="s">
        <v>827</v>
      </c>
      <c r="C49" t="s">
        <v>807</v>
      </c>
      <c r="D49" s="13" t="s">
        <v>828</v>
      </c>
      <c r="E49">
        <v>0</v>
      </c>
    </row>
    <row r="50" spans="1:6">
      <c r="A50" s="11">
        <v>49</v>
      </c>
      <c r="B50" s="18" t="s">
        <v>499</v>
      </c>
      <c r="D50" s="13"/>
    </row>
    <row r="51" spans="1:6">
      <c r="A51" s="11">
        <v>50</v>
      </c>
      <c r="B51" s="17" t="s">
        <v>497</v>
      </c>
      <c r="C51" t="s">
        <v>511</v>
      </c>
      <c r="D51" s="13" t="s">
        <v>721</v>
      </c>
      <c r="E51">
        <v>0</v>
      </c>
      <c r="F51" t="s">
        <v>722</v>
      </c>
    </row>
    <row r="52" spans="1:6">
      <c r="A52" s="11">
        <v>51</v>
      </c>
      <c r="B52" s="17" t="s">
        <v>831</v>
      </c>
      <c r="C52" t="s">
        <v>807</v>
      </c>
      <c r="D52" s="13" t="s">
        <v>832</v>
      </c>
      <c r="E52">
        <v>0</v>
      </c>
    </row>
    <row r="53" spans="1:6" ht="28">
      <c r="A53" s="11">
        <v>52</v>
      </c>
      <c r="B53" s="17" t="s">
        <v>833</v>
      </c>
      <c r="C53" t="s">
        <v>807</v>
      </c>
      <c r="D53" s="13" t="s">
        <v>834</v>
      </c>
      <c r="E53">
        <v>0</v>
      </c>
    </row>
    <row r="54" spans="1:6">
      <c r="A54" s="11">
        <v>53</v>
      </c>
      <c r="B54" s="18" t="s">
        <v>79</v>
      </c>
      <c r="D54" s="13"/>
    </row>
    <row r="55" spans="1:6">
      <c r="A55" s="11">
        <v>54</v>
      </c>
      <c r="B55" s="17" t="s">
        <v>497</v>
      </c>
      <c r="C55" t="s">
        <v>511</v>
      </c>
      <c r="D55" s="13" t="s">
        <v>723</v>
      </c>
      <c r="E55">
        <v>0</v>
      </c>
      <c r="F55" t="s">
        <v>724</v>
      </c>
    </row>
    <row r="56" spans="1:6" ht="28">
      <c r="A56" s="11">
        <v>55</v>
      </c>
      <c r="B56" s="17" t="s">
        <v>835</v>
      </c>
      <c r="C56" t="s">
        <v>807</v>
      </c>
      <c r="D56" s="13" t="s">
        <v>836</v>
      </c>
      <c r="E56">
        <v>0</v>
      </c>
    </row>
    <row r="57" spans="1:6" ht="28">
      <c r="A57" s="11">
        <v>56</v>
      </c>
      <c r="B57" s="17" t="s">
        <v>837</v>
      </c>
      <c r="C57" t="s">
        <v>807</v>
      </c>
      <c r="D57" s="13" t="s">
        <v>838</v>
      </c>
      <c r="E57">
        <v>0</v>
      </c>
    </row>
    <row r="58" spans="1:6">
      <c r="A58" s="11">
        <v>57</v>
      </c>
      <c r="B58" s="17" t="s">
        <v>839</v>
      </c>
      <c r="C58" t="s">
        <v>807</v>
      </c>
      <c r="D58" s="13" t="s">
        <v>840</v>
      </c>
      <c r="E58">
        <v>0</v>
      </c>
    </row>
    <row r="59" spans="1:6">
      <c r="A59" s="11">
        <v>58</v>
      </c>
      <c r="B59" s="18" t="s">
        <v>500</v>
      </c>
      <c r="D59" s="13"/>
    </row>
    <row r="60" spans="1:6">
      <c r="A60" s="11">
        <v>59</v>
      </c>
      <c r="B60" s="17" t="s">
        <v>497</v>
      </c>
      <c r="C60" t="s">
        <v>511</v>
      </c>
      <c r="D60" s="13" t="s">
        <v>726</v>
      </c>
      <c r="E60">
        <v>0</v>
      </c>
      <c r="F60" t="s">
        <v>727</v>
      </c>
    </row>
    <row r="61" spans="1:6" ht="28">
      <c r="A61" s="11">
        <v>60</v>
      </c>
      <c r="B61" s="17" t="s">
        <v>841</v>
      </c>
      <c r="C61" t="s">
        <v>807</v>
      </c>
      <c r="D61" s="13" t="s">
        <v>842</v>
      </c>
      <c r="E61">
        <v>0</v>
      </c>
    </row>
    <row r="62" spans="1:6">
      <c r="A62" s="11">
        <v>61</v>
      </c>
      <c r="B62" s="17" t="s">
        <v>843</v>
      </c>
      <c r="C62" t="s">
        <v>807</v>
      </c>
      <c r="D62" s="13" t="s">
        <v>844</v>
      </c>
      <c r="E62">
        <v>0</v>
      </c>
    </row>
    <row r="63" spans="1:6">
      <c r="A63" s="11">
        <v>62</v>
      </c>
      <c r="B63" s="17" t="s">
        <v>845</v>
      </c>
      <c r="C63" t="s">
        <v>807</v>
      </c>
      <c r="D63" s="13" t="s">
        <v>846</v>
      </c>
      <c r="E63">
        <v>0</v>
      </c>
    </row>
    <row r="64" spans="1:6">
      <c r="A64" s="11">
        <v>63</v>
      </c>
      <c r="B64" s="12" t="s">
        <v>501</v>
      </c>
      <c r="C64" t="s">
        <v>511</v>
      </c>
      <c r="D64" s="13" t="s">
        <v>679</v>
      </c>
      <c r="E64">
        <v>0</v>
      </c>
      <c r="F64" t="s">
        <v>680</v>
      </c>
    </row>
    <row r="65" spans="1:6">
      <c r="A65" s="11">
        <v>64</v>
      </c>
      <c r="B65" s="19" t="s">
        <v>502</v>
      </c>
      <c r="C65" t="s">
        <v>511</v>
      </c>
      <c r="D65" s="13" t="s">
        <v>681</v>
      </c>
      <c r="E65">
        <v>0</v>
      </c>
      <c r="F65" t="s">
        <v>682</v>
      </c>
    </row>
    <row r="66" spans="1:6">
      <c r="A66" s="11">
        <v>65</v>
      </c>
      <c r="B66" s="20" t="s">
        <v>503</v>
      </c>
      <c r="C66" t="s">
        <v>596</v>
      </c>
      <c r="D66" s="13" t="s">
        <v>402</v>
      </c>
      <c r="E66">
        <v>0</v>
      </c>
      <c r="F66" t="s">
        <v>998</v>
      </c>
    </row>
    <row r="67" spans="1:6">
      <c r="A67" s="11">
        <v>66</v>
      </c>
      <c r="B67" s="19" t="s">
        <v>178</v>
      </c>
      <c r="C67" t="s">
        <v>511</v>
      </c>
      <c r="D67" s="13" t="s">
        <v>683</v>
      </c>
      <c r="E67">
        <v>0</v>
      </c>
      <c r="F67" t="s">
        <v>684</v>
      </c>
    </row>
    <row r="68" spans="1:6">
      <c r="A68" s="11">
        <v>67</v>
      </c>
      <c r="B68" s="20" t="s">
        <v>192</v>
      </c>
      <c r="C68" t="s">
        <v>596</v>
      </c>
      <c r="D68" s="16" t="s">
        <v>380</v>
      </c>
      <c r="E68">
        <v>2</v>
      </c>
      <c r="F68" t="s">
        <v>1052</v>
      </c>
    </row>
    <row r="69" spans="1:6">
      <c r="A69" s="11">
        <v>68</v>
      </c>
      <c r="B69" s="20" t="s">
        <v>471</v>
      </c>
      <c r="C69" t="s">
        <v>596</v>
      </c>
      <c r="D69" s="16" t="s">
        <v>381</v>
      </c>
      <c r="E69">
        <v>2</v>
      </c>
      <c r="F69" t="s">
        <v>1055</v>
      </c>
    </row>
    <row r="70" spans="1:6">
      <c r="A70" s="11">
        <v>69</v>
      </c>
      <c r="B70" s="18" t="s">
        <v>504</v>
      </c>
      <c r="D70" s="13"/>
    </row>
    <row r="71" spans="1:6">
      <c r="A71" s="11">
        <v>70</v>
      </c>
      <c r="B71" s="21" t="s">
        <v>505</v>
      </c>
      <c r="C71" t="s">
        <v>596</v>
      </c>
      <c r="D71" s="16" t="s">
        <v>391</v>
      </c>
      <c r="E71">
        <v>2</v>
      </c>
      <c r="F71" t="s">
        <v>969</v>
      </c>
    </row>
    <row r="72" spans="1:6">
      <c r="A72" s="11">
        <v>71</v>
      </c>
      <c r="B72" s="21" t="s">
        <v>506</v>
      </c>
      <c r="C72" t="s">
        <v>596</v>
      </c>
      <c r="D72" s="16" t="s">
        <v>383</v>
      </c>
      <c r="E72">
        <v>2</v>
      </c>
      <c r="F72" t="s">
        <v>1058</v>
      </c>
    </row>
    <row r="73" spans="1:6">
      <c r="A73" s="11">
        <v>72</v>
      </c>
      <c r="B73" s="21" t="s">
        <v>507</v>
      </c>
      <c r="C73" t="s">
        <v>596</v>
      </c>
      <c r="D73" s="13" t="s">
        <v>414</v>
      </c>
      <c r="E73">
        <v>1</v>
      </c>
      <c r="F73" t="s">
        <v>1061</v>
      </c>
    </row>
    <row r="74" spans="1:6">
      <c r="A74" s="11">
        <v>73</v>
      </c>
      <c r="B74" s="19" t="s">
        <v>164</v>
      </c>
      <c r="C74" t="s">
        <v>511</v>
      </c>
      <c r="D74" s="13" t="s">
        <v>685</v>
      </c>
      <c r="E74">
        <v>0</v>
      </c>
      <c r="F74" t="s">
        <v>686</v>
      </c>
    </row>
    <row r="75" spans="1:6">
      <c r="A75" s="11">
        <v>74</v>
      </c>
      <c r="B75" s="20" t="s">
        <v>161</v>
      </c>
      <c r="C75" t="s">
        <v>596</v>
      </c>
      <c r="D75" s="13" t="s">
        <v>402</v>
      </c>
      <c r="E75">
        <v>0</v>
      </c>
      <c r="F75" t="s">
        <v>998</v>
      </c>
    </row>
    <row r="76" spans="1:6">
      <c r="A76" s="11">
        <v>75</v>
      </c>
      <c r="B76" s="20" t="s">
        <v>508</v>
      </c>
      <c r="C76" t="s">
        <v>596</v>
      </c>
      <c r="D76" s="13" t="s">
        <v>402</v>
      </c>
      <c r="E76">
        <v>0</v>
      </c>
      <c r="F76" t="s">
        <v>998</v>
      </c>
    </row>
    <row r="77" spans="1:6">
      <c r="A77" s="11">
        <v>76</v>
      </c>
      <c r="B77" s="19" t="s">
        <v>498</v>
      </c>
      <c r="C77" t="s">
        <v>511</v>
      </c>
      <c r="D77" s="13" t="s">
        <v>687</v>
      </c>
      <c r="E77">
        <v>0</v>
      </c>
      <c r="F77" t="s">
        <v>688</v>
      </c>
    </row>
    <row r="78" spans="1:6">
      <c r="A78" s="11">
        <v>77</v>
      </c>
      <c r="B78" s="20" t="s">
        <v>472</v>
      </c>
      <c r="C78" t="s">
        <v>596</v>
      </c>
      <c r="D78" s="13" t="s">
        <v>384</v>
      </c>
      <c r="E78">
        <v>0</v>
      </c>
      <c r="F78" t="s">
        <v>995</v>
      </c>
    </row>
    <row r="79" spans="1:6">
      <c r="A79" s="11">
        <v>78</v>
      </c>
      <c r="B79" s="20" t="s">
        <v>509</v>
      </c>
      <c r="C79" t="s">
        <v>596</v>
      </c>
      <c r="D79" s="13" t="s">
        <v>388</v>
      </c>
      <c r="E79">
        <v>0</v>
      </c>
      <c r="F79" t="s">
        <v>961</v>
      </c>
    </row>
    <row r="80" spans="1:6">
      <c r="A80" s="11">
        <v>79</v>
      </c>
      <c r="B80" s="20" t="s">
        <v>510</v>
      </c>
      <c r="C80" t="s">
        <v>596</v>
      </c>
      <c r="D80" s="13" t="s">
        <v>410</v>
      </c>
      <c r="E80">
        <v>2</v>
      </c>
      <c r="F80" t="s">
        <v>1034</v>
      </c>
    </row>
    <row r="81" spans="1:6">
      <c r="A81" s="11">
        <v>80</v>
      </c>
      <c r="B81" s="19" t="s">
        <v>499</v>
      </c>
      <c r="C81" t="s">
        <v>511</v>
      </c>
      <c r="D81" s="13" t="s">
        <v>512</v>
      </c>
      <c r="E81">
        <v>0</v>
      </c>
      <c r="F81" t="s">
        <v>513</v>
      </c>
    </row>
    <row r="82" spans="1:6">
      <c r="A82" s="11">
        <v>81</v>
      </c>
      <c r="B82" s="20" t="s">
        <v>514</v>
      </c>
      <c r="C82" t="s">
        <v>596</v>
      </c>
      <c r="D82" s="16" t="s">
        <v>398</v>
      </c>
      <c r="E82">
        <v>1</v>
      </c>
      <c r="F82" t="s">
        <v>982</v>
      </c>
    </row>
    <row r="83" spans="1:6">
      <c r="A83" s="11">
        <v>82</v>
      </c>
      <c r="B83" s="20" t="s">
        <v>515</v>
      </c>
      <c r="C83" t="s">
        <v>596</v>
      </c>
      <c r="D83" s="13" t="s">
        <v>400</v>
      </c>
      <c r="E83">
        <v>2</v>
      </c>
      <c r="F83" t="s">
        <v>988</v>
      </c>
    </row>
    <row r="84" spans="1:6">
      <c r="A84" s="11">
        <v>83</v>
      </c>
      <c r="B84" s="19" t="s">
        <v>516</v>
      </c>
      <c r="C84" t="s">
        <v>511</v>
      </c>
      <c r="D84" s="13" t="s">
        <v>689</v>
      </c>
      <c r="E84">
        <v>0</v>
      </c>
      <c r="F84" t="s">
        <v>690</v>
      </c>
    </row>
    <row r="85" spans="1:6">
      <c r="A85" s="11">
        <v>84</v>
      </c>
      <c r="B85" s="20" t="s">
        <v>517</v>
      </c>
      <c r="C85" t="s">
        <v>596</v>
      </c>
      <c r="D85" s="13" t="s">
        <v>401</v>
      </c>
      <c r="E85">
        <v>2</v>
      </c>
      <c r="F85" t="s">
        <v>991</v>
      </c>
    </row>
    <row r="86" spans="1:6">
      <c r="A86" s="11">
        <v>85</v>
      </c>
      <c r="B86" s="19" t="s">
        <v>500</v>
      </c>
      <c r="C86" t="s">
        <v>511</v>
      </c>
      <c r="D86" s="13" t="s">
        <v>691</v>
      </c>
      <c r="E86">
        <v>0</v>
      </c>
      <c r="F86" t="s">
        <v>692</v>
      </c>
    </row>
    <row r="87" spans="1:6">
      <c r="A87" s="11">
        <v>86</v>
      </c>
      <c r="B87" s="20" t="s">
        <v>474</v>
      </c>
      <c r="C87" t="s">
        <v>596</v>
      </c>
      <c r="D87" s="13" t="s">
        <v>402</v>
      </c>
      <c r="E87">
        <v>0</v>
      </c>
      <c r="F87" t="s">
        <v>998</v>
      </c>
    </row>
    <row r="88" spans="1:6">
      <c r="A88" s="11">
        <v>87</v>
      </c>
      <c r="B88" s="19" t="s">
        <v>518</v>
      </c>
      <c r="C88" t="s">
        <v>596</v>
      </c>
      <c r="D88" s="16" t="s">
        <v>391</v>
      </c>
      <c r="E88">
        <v>2</v>
      </c>
      <c r="F88" t="s">
        <v>969</v>
      </c>
    </row>
    <row r="89" spans="1:6">
      <c r="A89" s="11">
        <v>88</v>
      </c>
      <c r="B89" s="19" t="s">
        <v>519</v>
      </c>
      <c r="C89" t="s">
        <v>511</v>
      </c>
      <c r="D89" s="13" t="s">
        <v>693</v>
      </c>
      <c r="E89">
        <v>0</v>
      </c>
      <c r="F89" t="s">
        <v>694</v>
      </c>
    </row>
    <row r="90" spans="1:6">
      <c r="A90" s="11">
        <v>89</v>
      </c>
      <c r="B90" s="12" t="s">
        <v>520</v>
      </c>
      <c r="C90" t="s">
        <v>511</v>
      </c>
      <c r="D90" s="13" t="s">
        <v>693</v>
      </c>
      <c r="E90">
        <v>0</v>
      </c>
      <c r="F90" t="s">
        <v>694</v>
      </c>
    </row>
    <row r="91" spans="1:6">
      <c r="A91" s="11">
        <v>90</v>
      </c>
      <c r="B91" s="22" t="s">
        <v>521</v>
      </c>
      <c r="C91" t="s">
        <v>511</v>
      </c>
      <c r="D91" s="13" t="s">
        <v>695</v>
      </c>
      <c r="E91">
        <v>0</v>
      </c>
      <c r="F91" t="s">
        <v>696</v>
      </c>
    </row>
    <row r="92" spans="1:6">
      <c r="A92" s="11">
        <v>91</v>
      </c>
      <c r="B92" s="22" t="s">
        <v>522</v>
      </c>
      <c r="C92" t="s">
        <v>511</v>
      </c>
      <c r="D92" s="13" t="s">
        <v>697</v>
      </c>
      <c r="E92">
        <v>0</v>
      </c>
      <c r="F92" t="s">
        <v>698</v>
      </c>
    </row>
    <row r="93" spans="1:6">
      <c r="A93" s="11">
        <v>92</v>
      </c>
      <c r="B93" s="22" t="s">
        <v>523</v>
      </c>
      <c r="C93" t="s">
        <v>511</v>
      </c>
      <c r="D93" s="13" t="s">
        <v>699</v>
      </c>
      <c r="E93">
        <v>0</v>
      </c>
      <c r="F93" t="s">
        <v>700</v>
      </c>
    </row>
    <row r="94" spans="1:6">
      <c r="A94" s="11">
        <v>93</v>
      </c>
      <c r="B94" s="22" t="s">
        <v>524</v>
      </c>
      <c r="C94" t="s">
        <v>511</v>
      </c>
      <c r="D94" s="13" t="s">
        <v>701</v>
      </c>
      <c r="E94">
        <v>0</v>
      </c>
      <c r="F94" t="s">
        <v>702</v>
      </c>
    </row>
    <row r="95" spans="1:6">
      <c r="A95" s="11">
        <v>94</v>
      </c>
      <c r="B95" s="22" t="s">
        <v>178</v>
      </c>
      <c r="C95" t="s">
        <v>511</v>
      </c>
      <c r="D95" s="13" t="s">
        <v>703</v>
      </c>
      <c r="E95">
        <v>0</v>
      </c>
      <c r="F95" t="s">
        <v>704</v>
      </c>
    </row>
    <row r="96" spans="1:6">
      <c r="A96" s="11">
        <v>95</v>
      </c>
      <c r="B96" s="22" t="s">
        <v>164</v>
      </c>
      <c r="C96" t="s">
        <v>511</v>
      </c>
      <c r="D96" s="13" t="s">
        <v>705</v>
      </c>
      <c r="E96">
        <v>0</v>
      </c>
      <c r="F96" t="s">
        <v>706</v>
      </c>
    </row>
    <row r="97" spans="1:6">
      <c r="A97" s="11">
        <v>96</v>
      </c>
      <c r="B97" s="22" t="s">
        <v>498</v>
      </c>
      <c r="C97" t="s">
        <v>511</v>
      </c>
      <c r="D97" s="13" t="s">
        <v>707</v>
      </c>
      <c r="E97">
        <v>0</v>
      </c>
      <c r="F97" t="s">
        <v>708</v>
      </c>
    </row>
    <row r="98" spans="1:6">
      <c r="A98" s="11">
        <v>97</v>
      </c>
      <c r="B98" s="22" t="s">
        <v>499</v>
      </c>
      <c r="C98" t="s">
        <v>511</v>
      </c>
      <c r="D98" s="13" t="s">
        <v>709</v>
      </c>
      <c r="E98">
        <v>0</v>
      </c>
      <c r="F98" t="s">
        <v>710</v>
      </c>
    </row>
    <row r="99" spans="1:6">
      <c r="A99" s="11">
        <v>98</v>
      </c>
      <c r="B99" s="22" t="s">
        <v>79</v>
      </c>
      <c r="C99" t="s">
        <v>511</v>
      </c>
      <c r="D99" s="13" t="s">
        <v>711</v>
      </c>
      <c r="E99">
        <v>0</v>
      </c>
      <c r="F99" t="s">
        <v>712</v>
      </c>
    </row>
    <row r="100" spans="1:6">
      <c r="A100" s="11">
        <v>99</v>
      </c>
      <c r="B100" s="22" t="s">
        <v>500</v>
      </c>
      <c r="C100" t="s">
        <v>511</v>
      </c>
      <c r="D100" s="13" t="s">
        <v>525</v>
      </c>
      <c r="E100">
        <v>0</v>
      </c>
      <c r="F100" t="s">
        <v>526</v>
      </c>
    </row>
    <row r="101" spans="1:6">
      <c r="A101" s="11">
        <v>100</v>
      </c>
      <c r="B101" s="19" t="s">
        <v>521</v>
      </c>
      <c r="C101" t="s">
        <v>511</v>
      </c>
      <c r="D101" s="13" t="s">
        <v>695</v>
      </c>
      <c r="E101">
        <v>0</v>
      </c>
      <c r="F101" t="s">
        <v>696</v>
      </c>
    </row>
    <row r="102" spans="1:6">
      <c r="A102" s="11">
        <v>101</v>
      </c>
      <c r="B102" s="18" t="s">
        <v>178</v>
      </c>
      <c r="D102" s="13"/>
    </row>
    <row r="103" spans="1:6">
      <c r="A103" s="11">
        <v>102</v>
      </c>
      <c r="B103" s="21" t="s">
        <v>476</v>
      </c>
      <c r="C103" t="s">
        <v>596</v>
      </c>
      <c r="D103" s="13" t="s">
        <v>391</v>
      </c>
      <c r="E103">
        <v>2</v>
      </c>
      <c r="F103" t="s">
        <v>969</v>
      </c>
    </row>
    <row r="104" spans="1:6">
      <c r="A104" s="11">
        <v>103</v>
      </c>
      <c r="B104" s="21" t="s">
        <v>527</v>
      </c>
      <c r="C104" t="s">
        <v>596</v>
      </c>
      <c r="D104" s="13" t="s">
        <v>958</v>
      </c>
      <c r="E104">
        <v>2</v>
      </c>
      <c r="F104" t="s">
        <v>959</v>
      </c>
    </row>
    <row r="105" spans="1:6">
      <c r="A105" s="11">
        <v>104</v>
      </c>
      <c r="B105" s="18" t="s">
        <v>164</v>
      </c>
      <c r="D105" s="13"/>
    </row>
    <row r="106" spans="1:6">
      <c r="A106" s="11">
        <v>105</v>
      </c>
      <c r="B106" s="21" t="s">
        <v>528</v>
      </c>
      <c r="C106" t="s">
        <v>596</v>
      </c>
      <c r="D106" s="13" t="s">
        <v>389</v>
      </c>
      <c r="E106">
        <v>1</v>
      </c>
      <c r="F106" t="s">
        <v>964</v>
      </c>
    </row>
    <row r="107" spans="1:6">
      <c r="A107" s="11">
        <v>106</v>
      </c>
      <c r="B107" s="21" t="s">
        <v>529</v>
      </c>
      <c r="C107" t="s">
        <v>596</v>
      </c>
      <c r="D107" s="13" t="s">
        <v>404</v>
      </c>
      <c r="E107">
        <v>1</v>
      </c>
      <c r="F107" t="s">
        <v>1002</v>
      </c>
    </row>
    <row r="108" spans="1:6">
      <c r="A108" s="11">
        <v>107</v>
      </c>
      <c r="B108" s="21" t="s">
        <v>530</v>
      </c>
      <c r="C108" t="s">
        <v>596</v>
      </c>
      <c r="D108" s="13" t="s">
        <v>411</v>
      </c>
      <c r="E108">
        <v>2</v>
      </c>
      <c r="F108" t="s">
        <v>1044</v>
      </c>
    </row>
    <row r="109" spans="1:6">
      <c r="A109" s="11">
        <v>108</v>
      </c>
      <c r="B109" s="21" t="s">
        <v>531</v>
      </c>
      <c r="C109" t="s">
        <v>596</v>
      </c>
      <c r="D109" s="13" t="s">
        <v>958</v>
      </c>
      <c r="E109">
        <v>2</v>
      </c>
      <c r="F109" t="s">
        <v>959</v>
      </c>
    </row>
    <row r="110" spans="1:6">
      <c r="A110" s="11">
        <v>109</v>
      </c>
      <c r="B110" s="18" t="s">
        <v>498</v>
      </c>
      <c r="D110" s="13"/>
    </row>
    <row r="111" spans="1:6">
      <c r="A111" s="11">
        <v>110</v>
      </c>
      <c r="B111" s="21" t="s">
        <v>532</v>
      </c>
      <c r="C111" t="s">
        <v>596</v>
      </c>
      <c r="D111" s="13" t="s">
        <v>958</v>
      </c>
      <c r="E111">
        <v>2</v>
      </c>
      <c r="F111" t="s">
        <v>959</v>
      </c>
    </row>
    <row r="112" spans="1:6">
      <c r="A112" s="11">
        <v>111</v>
      </c>
      <c r="B112" s="18" t="s">
        <v>499</v>
      </c>
      <c r="D112" s="13"/>
    </row>
    <row r="113" spans="1:7" ht="28">
      <c r="A113" s="11">
        <v>112</v>
      </c>
      <c r="B113" s="21" t="s">
        <v>533</v>
      </c>
      <c r="C113" t="s">
        <v>596</v>
      </c>
      <c r="D113" s="16" t="s">
        <v>398</v>
      </c>
      <c r="E113">
        <v>1</v>
      </c>
      <c r="F113" t="s">
        <v>982</v>
      </c>
    </row>
    <row r="114" spans="1:7">
      <c r="A114" s="11">
        <v>113</v>
      </c>
      <c r="B114" s="21" t="s">
        <v>534</v>
      </c>
      <c r="C114" t="s">
        <v>596</v>
      </c>
      <c r="D114" s="13" t="s">
        <v>958</v>
      </c>
      <c r="E114">
        <v>2</v>
      </c>
      <c r="F114" t="s">
        <v>959</v>
      </c>
    </row>
    <row r="115" spans="1:7">
      <c r="A115" s="11">
        <v>114</v>
      </c>
      <c r="B115" s="18" t="s">
        <v>79</v>
      </c>
      <c r="D115" s="13"/>
    </row>
    <row r="116" spans="1:7">
      <c r="A116" s="11">
        <v>115</v>
      </c>
      <c r="B116" s="21" t="s">
        <v>535</v>
      </c>
      <c r="C116" t="s">
        <v>596</v>
      </c>
      <c r="D116" s="13" t="s">
        <v>958</v>
      </c>
      <c r="E116">
        <v>2</v>
      </c>
      <c r="F116" t="s">
        <v>959</v>
      </c>
    </row>
    <row r="117" spans="1:7">
      <c r="A117" s="11">
        <v>116</v>
      </c>
      <c r="B117" s="18" t="s">
        <v>500</v>
      </c>
      <c r="D117" s="13"/>
    </row>
    <row r="118" spans="1:7">
      <c r="A118" s="11">
        <v>117</v>
      </c>
      <c r="B118" s="21" t="s">
        <v>536</v>
      </c>
      <c r="C118" t="s">
        <v>596</v>
      </c>
      <c r="D118" s="13" t="s">
        <v>391</v>
      </c>
      <c r="E118">
        <v>2</v>
      </c>
      <c r="F118" t="s">
        <v>969</v>
      </c>
    </row>
    <row r="119" spans="1:7">
      <c r="A119" s="11">
        <v>118</v>
      </c>
      <c r="B119" s="21" t="s">
        <v>537</v>
      </c>
      <c r="C119" t="s">
        <v>596</v>
      </c>
      <c r="D119" s="13" t="s">
        <v>958</v>
      </c>
      <c r="E119">
        <v>2</v>
      </c>
      <c r="F119" t="s">
        <v>959</v>
      </c>
    </row>
    <row r="120" spans="1:7">
      <c r="A120" s="11">
        <v>119</v>
      </c>
      <c r="B120" s="19" t="s">
        <v>522</v>
      </c>
      <c r="C120" t="s">
        <v>511</v>
      </c>
      <c r="D120" s="13" t="s">
        <v>697</v>
      </c>
      <c r="E120">
        <v>0</v>
      </c>
      <c r="F120" t="s">
        <v>698</v>
      </c>
    </row>
    <row r="121" spans="1:7">
      <c r="A121" s="11">
        <v>120</v>
      </c>
      <c r="B121" s="20" t="s">
        <v>76</v>
      </c>
      <c r="C121" t="s">
        <v>596</v>
      </c>
      <c r="D121" s="13" t="s">
        <v>413</v>
      </c>
      <c r="E121">
        <v>2</v>
      </c>
      <c r="F121" t="s">
        <v>1041</v>
      </c>
      <c r="G121" t="s">
        <v>76</v>
      </c>
    </row>
    <row r="122" spans="1:7">
      <c r="A122" s="11">
        <v>121</v>
      </c>
      <c r="B122" s="20" t="s">
        <v>72</v>
      </c>
      <c r="C122" t="s">
        <v>596</v>
      </c>
      <c r="D122" s="13" t="s">
        <v>412</v>
      </c>
      <c r="E122">
        <v>2</v>
      </c>
      <c r="F122" t="s">
        <v>1042</v>
      </c>
    </row>
    <row r="123" spans="1:7">
      <c r="A123" s="11">
        <v>122</v>
      </c>
      <c r="B123" s="20" t="s">
        <v>538</v>
      </c>
      <c r="C123" t="s">
        <v>596</v>
      </c>
      <c r="D123" s="13" t="s">
        <v>395</v>
      </c>
      <c r="E123">
        <v>2</v>
      </c>
      <c r="F123" t="s">
        <v>973</v>
      </c>
    </row>
    <row r="124" spans="1:7">
      <c r="A124" s="11">
        <v>123</v>
      </c>
      <c r="B124" s="20" t="s">
        <v>479</v>
      </c>
      <c r="C124" t="s">
        <v>596</v>
      </c>
      <c r="D124" s="13" t="s">
        <v>392</v>
      </c>
      <c r="E124">
        <v>2</v>
      </c>
      <c r="F124" t="s">
        <v>970</v>
      </c>
    </row>
    <row r="125" spans="1:7">
      <c r="A125" s="11">
        <v>124</v>
      </c>
      <c r="B125" s="20" t="s">
        <v>484</v>
      </c>
      <c r="C125" t="s">
        <v>596</v>
      </c>
      <c r="D125" s="13" t="s">
        <v>420</v>
      </c>
      <c r="E125">
        <v>2</v>
      </c>
      <c r="F125" t="s">
        <v>1021</v>
      </c>
    </row>
    <row r="126" spans="1:7">
      <c r="A126" s="11">
        <v>125</v>
      </c>
      <c r="B126" s="20" t="s">
        <v>539</v>
      </c>
      <c r="C126" t="s">
        <v>596</v>
      </c>
      <c r="D126" s="13" t="s">
        <v>399</v>
      </c>
      <c r="E126">
        <v>2</v>
      </c>
      <c r="F126" t="s">
        <v>985</v>
      </c>
    </row>
    <row r="127" spans="1:7">
      <c r="A127" s="11">
        <v>126</v>
      </c>
      <c r="B127" s="20" t="s">
        <v>540</v>
      </c>
      <c r="C127" t="s">
        <v>596</v>
      </c>
      <c r="D127" s="13" t="s">
        <v>408</v>
      </c>
      <c r="E127">
        <v>2</v>
      </c>
      <c r="F127" t="s">
        <v>1029</v>
      </c>
    </row>
    <row r="128" spans="1:7">
      <c r="A128" s="11">
        <v>127</v>
      </c>
      <c r="B128" s="19" t="s">
        <v>541</v>
      </c>
      <c r="C128" t="s">
        <v>511</v>
      </c>
      <c r="D128" s="13" t="s">
        <v>699</v>
      </c>
      <c r="E128">
        <v>0</v>
      </c>
      <c r="F128" t="s">
        <v>700</v>
      </c>
    </row>
    <row r="129" spans="1:6">
      <c r="A129" s="11">
        <v>128</v>
      </c>
      <c r="B129" s="20" t="s">
        <v>542</v>
      </c>
      <c r="C129" t="s">
        <v>596</v>
      </c>
      <c r="D129" s="16" t="s">
        <v>390</v>
      </c>
      <c r="E129">
        <v>2</v>
      </c>
      <c r="F129" t="s">
        <v>966</v>
      </c>
    </row>
    <row r="130" spans="1:6" ht="28">
      <c r="A130" s="11">
        <v>129</v>
      </c>
      <c r="B130" s="20" t="s">
        <v>543</v>
      </c>
      <c r="C130" t="s">
        <v>596</v>
      </c>
      <c r="D130" s="16" t="s">
        <v>413</v>
      </c>
      <c r="E130">
        <v>2</v>
      </c>
      <c r="F130" t="s">
        <v>1041</v>
      </c>
    </row>
    <row r="131" spans="1:6">
      <c r="A131" s="11">
        <v>130</v>
      </c>
      <c r="B131" s="20" t="s">
        <v>544</v>
      </c>
      <c r="C131" t="s">
        <v>954</v>
      </c>
      <c r="D131" s="16" t="s">
        <v>406</v>
      </c>
      <c r="E131">
        <v>1</v>
      </c>
      <c r="F131" t="s">
        <v>1049</v>
      </c>
    </row>
    <row r="132" spans="1:6">
      <c r="A132" s="11">
        <v>131</v>
      </c>
      <c r="B132" s="19" t="s">
        <v>524</v>
      </c>
      <c r="C132" t="s">
        <v>511</v>
      </c>
      <c r="D132" s="13" t="s">
        <v>701</v>
      </c>
      <c r="E132">
        <v>0</v>
      </c>
      <c r="F132" t="s">
        <v>702</v>
      </c>
    </row>
    <row r="133" spans="1:6">
      <c r="A133" s="11">
        <v>132</v>
      </c>
      <c r="B133" s="20" t="s">
        <v>545</v>
      </c>
      <c r="C133" t="s">
        <v>596</v>
      </c>
      <c r="D133" s="16" t="s">
        <v>383</v>
      </c>
      <c r="E133">
        <v>2</v>
      </c>
      <c r="F133" t="s">
        <v>1058</v>
      </c>
    </row>
    <row r="134" spans="1:6">
      <c r="A134" s="11">
        <v>133</v>
      </c>
      <c r="B134" s="20" t="s">
        <v>546</v>
      </c>
      <c r="C134" t="s">
        <v>596</v>
      </c>
      <c r="D134" s="13" t="s">
        <v>403</v>
      </c>
      <c r="E134">
        <v>0</v>
      </c>
      <c r="F134" t="s">
        <v>999</v>
      </c>
    </row>
    <row r="135" spans="1:6">
      <c r="A135" s="11">
        <v>134</v>
      </c>
      <c r="B135" s="19" t="s">
        <v>178</v>
      </c>
      <c r="C135" t="s">
        <v>511</v>
      </c>
      <c r="D135" s="13" t="s">
        <v>703</v>
      </c>
      <c r="E135">
        <v>0</v>
      </c>
      <c r="F135" t="s">
        <v>704</v>
      </c>
    </row>
    <row r="136" spans="1:6">
      <c r="A136" s="11">
        <v>135</v>
      </c>
      <c r="B136" s="20" t="s">
        <v>476</v>
      </c>
      <c r="C136" t="s">
        <v>596</v>
      </c>
      <c r="D136" s="13" t="s">
        <v>391</v>
      </c>
      <c r="E136">
        <v>2</v>
      </c>
      <c r="F136" t="s">
        <v>969</v>
      </c>
    </row>
    <row r="137" spans="1:6">
      <c r="A137" s="11">
        <v>136</v>
      </c>
      <c r="B137" s="20" t="s">
        <v>527</v>
      </c>
      <c r="C137" t="s">
        <v>596</v>
      </c>
      <c r="D137" s="13" t="s">
        <v>958</v>
      </c>
      <c r="E137">
        <v>2</v>
      </c>
      <c r="F137" t="s">
        <v>959</v>
      </c>
    </row>
    <row r="138" spans="1:6">
      <c r="A138" s="11">
        <v>137</v>
      </c>
      <c r="B138" s="20" t="s">
        <v>542</v>
      </c>
      <c r="C138" t="s">
        <v>596</v>
      </c>
      <c r="D138" s="16" t="s">
        <v>390</v>
      </c>
      <c r="E138">
        <v>2</v>
      </c>
      <c r="F138" t="s">
        <v>966</v>
      </c>
    </row>
    <row r="139" spans="1:6">
      <c r="A139" s="11">
        <v>138</v>
      </c>
      <c r="B139" s="20" t="s">
        <v>540</v>
      </c>
      <c r="C139" t="s">
        <v>596</v>
      </c>
      <c r="D139" s="13" t="s">
        <v>408</v>
      </c>
      <c r="E139">
        <v>2</v>
      </c>
      <c r="F139" t="s">
        <v>1029</v>
      </c>
    </row>
    <row r="140" spans="1:6">
      <c r="A140" s="11">
        <v>139</v>
      </c>
      <c r="B140" s="20" t="s">
        <v>478</v>
      </c>
      <c r="C140" t="s">
        <v>596</v>
      </c>
      <c r="D140" s="13" t="s">
        <v>385</v>
      </c>
      <c r="E140">
        <v>2</v>
      </c>
      <c r="F140" t="s">
        <v>953</v>
      </c>
    </row>
    <row r="141" spans="1:6">
      <c r="A141" s="11">
        <v>140</v>
      </c>
      <c r="B141" s="20" t="s">
        <v>547</v>
      </c>
      <c r="C141" t="s">
        <v>596</v>
      </c>
      <c r="D141" s="13" t="s">
        <v>393</v>
      </c>
      <c r="E141">
        <v>2</v>
      </c>
      <c r="F141" t="s">
        <v>971</v>
      </c>
    </row>
    <row r="142" spans="1:6">
      <c r="A142" s="11">
        <v>141</v>
      </c>
      <c r="B142" s="19" t="s">
        <v>164</v>
      </c>
      <c r="C142" t="s">
        <v>511</v>
      </c>
      <c r="D142" s="13" t="s">
        <v>705</v>
      </c>
      <c r="E142">
        <v>0</v>
      </c>
      <c r="F142" t="s">
        <v>706</v>
      </c>
    </row>
    <row r="143" spans="1:6">
      <c r="A143" s="11">
        <v>142</v>
      </c>
      <c r="B143" s="20" t="s">
        <v>548</v>
      </c>
      <c r="C143" t="s">
        <v>596</v>
      </c>
      <c r="D143" s="13" t="s">
        <v>389</v>
      </c>
      <c r="E143">
        <v>1</v>
      </c>
      <c r="F143" t="s">
        <v>964</v>
      </c>
    </row>
    <row r="144" spans="1:6">
      <c r="A144" s="11">
        <v>143</v>
      </c>
      <c r="B144" s="20" t="s">
        <v>549</v>
      </c>
      <c r="C144" t="s">
        <v>596</v>
      </c>
      <c r="D144" s="13" t="s">
        <v>404</v>
      </c>
      <c r="E144">
        <v>1</v>
      </c>
      <c r="F144" t="s">
        <v>1002</v>
      </c>
    </row>
    <row r="145" spans="1:6">
      <c r="A145" s="11">
        <v>144</v>
      </c>
      <c r="B145" s="20" t="s">
        <v>550</v>
      </c>
      <c r="C145" t="s">
        <v>596</v>
      </c>
      <c r="D145" s="13" t="s">
        <v>411</v>
      </c>
      <c r="E145">
        <v>2</v>
      </c>
      <c r="F145" t="s">
        <v>1044</v>
      </c>
    </row>
    <row r="146" spans="1:6">
      <c r="A146" s="11">
        <v>145</v>
      </c>
      <c r="B146" s="20" t="s">
        <v>531</v>
      </c>
      <c r="C146" t="s">
        <v>596</v>
      </c>
      <c r="D146" s="13" t="s">
        <v>958</v>
      </c>
      <c r="E146">
        <v>2</v>
      </c>
      <c r="F146" t="s">
        <v>959</v>
      </c>
    </row>
    <row r="147" spans="1:6">
      <c r="A147" s="11">
        <v>146</v>
      </c>
      <c r="B147" s="20" t="s">
        <v>551</v>
      </c>
      <c r="C147" t="s">
        <v>596</v>
      </c>
      <c r="D147" s="16" t="s">
        <v>390</v>
      </c>
      <c r="E147">
        <v>2</v>
      </c>
      <c r="F147" t="s">
        <v>966</v>
      </c>
    </row>
    <row r="148" spans="1:6">
      <c r="A148" s="11">
        <v>147</v>
      </c>
      <c r="B148" s="20" t="s">
        <v>478</v>
      </c>
      <c r="C148" t="s">
        <v>596</v>
      </c>
      <c r="D148" s="13" t="s">
        <v>385</v>
      </c>
      <c r="E148">
        <v>2</v>
      </c>
      <c r="F148" t="s">
        <v>953</v>
      </c>
    </row>
    <row r="149" spans="1:6">
      <c r="A149" s="11">
        <v>148</v>
      </c>
      <c r="B149" s="19" t="s">
        <v>498</v>
      </c>
      <c r="C149" t="s">
        <v>511</v>
      </c>
      <c r="D149" s="13" t="s">
        <v>707</v>
      </c>
      <c r="E149">
        <v>0</v>
      </c>
      <c r="F149" t="s">
        <v>708</v>
      </c>
    </row>
    <row r="150" spans="1:6">
      <c r="A150" s="11">
        <v>149</v>
      </c>
      <c r="B150" s="18" t="s">
        <v>532</v>
      </c>
      <c r="D150" s="13"/>
    </row>
    <row r="151" spans="1:6">
      <c r="A151" s="11">
        <v>150</v>
      </c>
      <c r="B151" s="21" t="s">
        <v>532</v>
      </c>
      <c r="C151" t="s">
        <v>596</v>
      </c>
      <c r="D151" s="13" t="s">
        <v>958</v>
      </c>
      <c r="E151">
        <v>2</v>
      </c>
      <c r="F151" t="s">
        <v>959</v>
      </c>
    </row>
    <row r="152" spans="1:6">
      <c r="A152" s="11">
        <v>151</v>
      </c>
      <c r="B152" s="14" t="s">
        <v>552</v>
      </c>
      <c r="D152" s="13"/>
    </row>
    <row r="153" spans="1:6">
      <c r="A153" s="11">
        <v>152</v>
      </c>
      <c r="B153" s="20" t="s">
        <v>484</v>
      </c>
      <c r="C153" t="s">
        <v>596</v>
      </c>
      <c r="D153" s="13" t="s">
        <v>420</v>
      </c>
      <c r="E153">
        <v>2</v>
      </c>
      <c r="F153" t="s">
        <v>1021</v>
      </c>
    </row>
    <row r="154" spans="1:6">
      <c r="A154" s="11">
        <v>153</v>
      </c>
      <c r="B154" s="20" t="s">
        <v>539</v>
      </c>
      <c r="C154" t="s">
        <v>596</v>
      </c>
      <c r="D154" s="13" t="s">
        <v>399</v>
      </c>
      <c r="E154">
        <v>2</v>
      </c>
      <c r="F154" t="s">
        <v>985</v>
      </c>
    </row>
    <row r="155" spans="1:6">
      <c r="A155" s="11">
        <v>154</v>
      </c>
      <c r="B155" s="14" t="s">
        <v>553</v>
      </c>
      <c r="D155" s="13"/>
    </row>
    <row r="156" spans="1:6">
      <c r="A156" s="11">
        <v>155</v>
      </c>
      <c r="B156" s="20" t="s">
        <v>554</v>
      </c>
      <c r="C156" t="s">
        <v>596</v>
      </c>
      <c r="D156" s="13" t="s">
        <v>393</v>
      </c>
      <c r="E156">
        <v>2</v>
      </c>
      <c r="F156" t="s">
        <v>971</v>
      </c>
    </row>
    <row r="157" spans="1:6">
      <c r="A157" s="11">
        <v>156</v>
      </c>
      <c r="B157" s="20" t="s">
        <v>555</v>
      </c>
      <c r="C157" t="s">
        <v>596</v>
      </c>
      <c r="D157" s="13" t="s">
        <v>422</v>
      </c>
      <c r="E157">
        <v>2</v>
      </c>
      <c r="F157" t="s">
        <v>1024</v>
      </c>
    </row>
    <row r="158" spans="1:6">
      <c r="A158" s="11">
        <v>157</v>
      </c>
      <c r="B158" s="20" t="s">
        <v>486</v>
      </c>
      <c r="C158" t="s">
        <v>596</v>
      </c>
      <c r="D158" s="13" t="s">
        <v>424</v>
      </c>
      <c r="E158">
        <v>2</v>
      </c>
      <c r="F158" t="s">
        <v>1018</v>
      </c>
    </row>
    <row r="159" spans="1:6">
      <c r="A159" s="11">
        <v>158</v>
      </c>
      <c r="B159" s="20" t="s">
        <v>488</v>
      </c>
      <c r="C159" t="s">
        <v>596</v>
      </c>
      <c r="D159" s="13" t="s">
        <v>423</v>
      </c>
      <c r="E159">
        <v>2</v>
      </c>
      <c r="F159" t="s">
        <v>1027</v>
      </c>
    </row>
    <row r="160" spans="1:6">
      <c r="A160" s="11">
        <v>159</v>
      </c>
      <c r="B160" s="20" t="s">
        <v>487</v>
      </c>
      <c r="C160" t="s">
        <v>596</v>
      </c>
      <c r="D160" s="13" t="s">
        <v>396</v>
      </c>
      <c r="E160">
        <v>2</v>
      </c>
      <c r="F160" t="s">
        <v>976</v>
      </c>
    </row>
    <row r="161" spans="1:7">
      <c r="A161" s="11">
        <v>160</v>
      </c>
      <c r="B161" s="20" t="s">
        <v>556</v>
      </c>
      <c r="C161" t="s">
        <v>596</v>
      </c>
      <c r="D161" s="13" t="s">
        <v>1014</v>
      </c>
      <c r="E161">
        <v>2</v>
      </c>
      <c r="F161" t="s">
        <v>1015</v>
      </c>
    </row>
    <row r="162" spans="1:7">
      <c r="A162" s="11">
        <v>161</v>
      </c>
      <c r="B162" s="20" t="s">
        <v>489</v>
      </c>
      <c r="C162" t="s">
        <v>596</v>
      </c>
      <c r="D162" s="13" t="s">
        <v>410</v>
      </c>
      <c r="E162">
        <v>2</v>
      </c>
      <c r="F162" t="s">
        <v>1034</v>
      </c>
    </row>
    <row r="163" spans="1:7">
      <c r="A163" s="11">
        <v>162</v>
      </c>
      <c r="B163" s="20" t="s">
        <v>557</v>
      </c>
      <c r="C163" t="s">
        <v>596</v>
      </c>
      <c r="D163" s="13" t="s">
        <v>1036</v>
      </c>
      <c r="E163">
        <v>2</v>
      </c>
      <c r="F163" t="s">
        <v>1037</v>
      </c>
    </row>
    <row r="164" spans="1:7">
      <c r="A164" s="11">
        <v>163</v>
      </c>
      <c r="B164" s="20" t="s">
        <v>558</v>
      </c>
      <c r="C164" t="s">
        <v>596</v>
      </c>
      <c r="D164" s="13" t="s">
        <v>409</v>
      </c>
      <c r="E164">
        <v>2</v>
      </c>
      <c r="F164" t="s">
        <v>1031</v>
      </c>
      <c r="G164" t="s">
        <v>1032</v>
      </c>
    </row>
    <row r="165" spans="1:7">
      <c r="A165" s="11">
        <v>164</v>
      </c>
      <c r="B165" s="20" t="s">
        <v>559</v>
      </c>
      <c r="C165" t="s">
        <v>596</v>
      </c>
      <c r="D165" s="13" t="s">
        <v>405</v>
      </c>
      <c r="E165">
        <v>0</v>
      </c>
      <c r="F165" t="s">
        <v>1005</v>
      </c>
    </row>
    <row r="166" spans="1:7">
      <c r="A166" s="11">
        <v>165</v>
      </c>
      <c r="B166" s="20" t="s">
        <v>560</v>
      </c>
      <c r="C166" t="s">
        <v>596</v>
      </c>
      <c r="D166" s="16" t="s">
        <v>1050</v>
      </c>
      <c r="E166">
        <v>0</v>
      </c>
      <c r="F166" t="s">
        <v>1051</v>
      </c>
    </row>
    <row r="167" spans="1:7">
      <c r="A167" s="11">
        <v>166</v>
      </c>
      <c r="B167" s="19" t="s">
        <v>499</v>
      </c>
      <c r="C167" t="s">
        <v>511</v>
      </c>
      <c r="D167" s="13" t="s">
        <v>709</v>
      </c>
      <c r="E167">
        <v>0</v>
      </c>
      <c r="F167" t="s">
        <v>710</v>
      </c>
    </row>
    <row r="168" spans="1:7">
      <c r="A168" s="11">
        <v>167</v>
      </c>
      <c r="B168" s="20" t="s">
        <v>533</v>
      </c>
      <c r="C168" t="s">
        <v>596</v>
      </c>
      <c r="D168" s="13" t="s">
        <v>398</v>
      </c>
      <c r="E168">
        <v>1</v>
      </c>
      <c r="F168" t="s">
        <v>982</v>
      </c>
    </row>
    <row r="169" spans="1:7">
      <c r="A169" s="11">
        <v>168</v>
      </c>
      <c r="B169" s="20" t="s">
        <v>515</v>
      </c>
      <c r="C169" t="s">
        <v>596</v>
      </c>
      <c r="D169" s="13" t="s">
        <v>400</v>
      </c>
      <c r="E169">
        <v>2</v>
      </c>
      <c r="F169" t="s">
        <v>988</v>
      </c>
    </row>
    <row r="170" spans="1:7">
      <c r="A170" s="11">
        <v>169</v>
      </c>
      <c r="B170" s="20" t="s">
        <v>534</v>
      </c>
      <c r="C170" t="s">
        <v>596</v>
      </c>
      <c r="D170" s="13" t="s">
        <v>958</v>
      </c>
      <c r="E170">
        <v>2</v>
      </c>
      <c r="F170" t="s">
        <v>959</v>
      </c>
    </row>
    <row r="171" spans="1:7">
      <c r="A171" s="11">
        <v>170</v>
      </c>
      <c r="B171" s="19" t="s">
        <v>79</v>
      </c>
      <c r="C171" t="s">
        <v>511</v>
      </c>
      <c r="D171" s="13" t="s">
        <v>711</v>
      </c>
      <c r="E171">
        <v>0</v>
      </c>
      <c r="F171" t="s">
        <v>712</v>
      </c>
    </row>
    <row r="172" spans="1:7">
      <c r="A172" s="11">
        <v>171</v>
      </c>
      <c r="B172" s="20" t="s">
        <v>517</v>
      </c>
      <c r="C172" t="s">
        <v>596</v>
      </c>
      <c r="D172" s="13" t="s">
        <v>401</v>
      </c>
      <c r="E172">
        <v>2</v>
      </c>
      <c r="F172" t="s">
        <v>991</v>
      </c>
    </row>
    <row r="173" spans="1:7">
      <c r="A173" s="11">
        <v>172</v>
      </c>
      <c r="B173" s="20" t="s">
        <v>561</v>
      </c>
      <c r="C173" t="s">
        <v>596</v>
      </c>
      <c r="D173" s="13" t="s">
        <v>446</v>
      </c>
      <c r="E173">
        <v>2</v>
      </c>
      <c r="F173" t="s">
        <v>1040</v>
      </c>
    </row>
    <row r="174" spans="1:7">
      <c r="A174" s="11">
        <v>173</v>
      </c>
      <c r="B174" s="20" t="s">
        <v>535</v>
      </c>
      <c r="C174" t="s">
        <v>596</v>
      </c>
      <c r="D174" s="13" t="s">
        <v>958</v>
      </c>
      <c r="E174">
        <v>2</v>
      </c>
      <c r="F174" t="s">
        <v>959</v>
      </c>
    </row>
    <row r="175" spans="1:7">
      <c r="A175" s="11">
        <v>174</v>
      </c>
      <c r="B175" s="19" t="s">
        <v>500</v>
      </c>
      <c r="C175" t="s">
        <v>511</v>
      </c>
      <c r="D175" s="13" t="s">
        <v>525</v>
      </c>
      <c r="E175">
        <v>0</v>
      </c>
      <c r="F175" t="s">
        <v>526</v>
      </c>
    </row>
    <row r="176" spans="1:7">
      <c r="A176" s="11">
        <v>175</v>
      </c>
      <c r="B176" s="20" t="s">
        <v>536</v>
      </c>
      <c r="C176" t="s">
        <v>596</v>
      </c>
      <c r="D176" s="13" t="s">
        <v>391</v>
      </c>
      <c r="E176">
        <v>2</v>
      </c>
      <c r="F176" t="s">
        <v>969</v>
      </c>
    </row>
    <row r="177" spans="1:6">
      <c r="A177" s="11">
        <v>176</v>
      </c>
      <c r="B177" s="20" t="s">
        <v>537</v>
      </c>
      <c r="C177" t="s">
        <v>596</v>
      </c>
      <c r="D177" s="13" t="s">
        <v>958</v>
      </c>
      <c r="E177">
        <v>2</v>
      </c>
      <c r="F177" t="s">
        <v>959</v>
      </c>
    </row>
    <row r="178" spans="1:6">
      <c r="A178" s="11">
        <v>177</v>
      </c>
      <c r="B178" s="20" t="s">
        <v>478</v>
      </c>
      <c r="C178" t="s">
        <v>596</v>
      </c>
      <c r="D178" s="13" t="s">
        <v>385</v>
      </c>
      <c r="E178">
        <v>2</v>
      </c>
      <c r="F178" t="s">
        <v>953</v>
      </c>
    </row>
    <row r="179" spans="1:6">
      <c r="A179" s="11">
        <v>178</v>
      </c>
      <c r="B179" s="20" t="s">
        <v>542</v>
      </c>
      <c r="C179" t="s">
        <v>596</v>
      </c>
      <c r="D179" s="16" t="s">
        <v>390</v>
      </c>
      <c r="E179">
        <v>2</v>
      </c>
      <c r="F179" t="s">
        <v>966</v>
      </c>
    </row>
    <row r="180" spans="1:6">
      <c r="A180" s="11">
        <v>179</v>
      </c>
      <c r="B180" s="20" t="s">
        <v>562</v>
      </c>
      <c r="C180" t="s">
        <v>596</v>
      </c>
      <c r="D180" s="13" t="s">
        <v>393</v>
      </c>
      <c r="E180">
        <v>2</v>
      </c>
      <c r="F180" t="s">
        <v>971</v>
      </c>
    </row>
    <row r="181" spans="1:6">
      <c r="A181" s="11">
        <v>180</v>
      </c>
      <c r="B181" s="12" t="s">
        <v>170</v>
      </c>
      <c r="C181" t="s">
        <v>511</v>
      </c>
      <c r="D181" s="13" t="s">
        <v>713</v>
      </c>
      <c r="E181">
        <v>0</v>
      </c>
      <c r="F181" t="s">
        <v>714</v>
      </c>
    </row>
    <row r="182" spans="1:6">
      <c r="A182" s="11">
        <v>181</v>
      </c>
      <c r="B182" s="14" t="s">
        <v>563</v>
      </c>
      <c r="D182" s="13"/>
    </row>
    <row r="183" spans="1:6">
      <c r="A183" s="11">
        <v>182</v>
      </c>
      <c r="B183" s="20" t="s">
        <v>46</v>
      </c>
      <c r="C183" t="s">
        <v>596</v>
      </c>
      <c r="D183" s="13" t="s">
        <v>387</v>
      </c>
      <c r="E183">
        <v>2</v>
      </c>
      <c r="F183" t="s">
        <v>956</v>
      </c>
    </row>
    <row r="184" spans="1:6">
      <c r="A184" s="11">
        <v>183</v>
      </c>
      <c r="B184" s="20" t="s">
        <v>564</v>
      </c>
      <c r="C184" t="s">
        <v>596</v>
      </c>
      <c r="D184" s="13" t="s">
        <v>1008</v>
      </c>
      <c r="E184">
        <v>1</v>
      </c>
      <c r="F184" t="s">
        <v>1009</v>
      </c>
    </row>
    <row r="185" spans="1:6">
      <c r="A185" s="11">
        <v>184</v>
      </c>
      <c r="B185" s="20" t="s">
        <v>565</v>
      </c>
      <c r="C185" t="s">
        <v>596</v>
      </c>
      <c r="D185" s="13" t="s">
        <v>397</v>
      </c>
      <c r="E185">
        <v>1</v>
      </c>
      <c r="F185" t="s">
        <v>980</v>
      </c>
    </row>
    <row r="186" spans="1:6" ht="28">
      <c r="A186" s="11">
        <v>185</v>
      </c>
      <c r="B186" s="20" t="s">
        <v>566</v>
      </c>
      <c r="C186" t="s">
        <v>596</v>
      </c>
      <c r="D186" s="13" t="s">
        <v>1011</v>
      </c>
      <c r="E186">
        <v>2</v>
      </c>
      <c r="F186" t="s">
        <v>1012</v>
      </c>
    </row>
    <row r="187" spans="1:6">
      <c r="A187" s="11">
        <v>186</v>
      </c>
      <c r="B187" s="14" t="s">
        <v>567</v>
      </c>
      <c r="D187" s="13"/>
    </row>
    <row r="188" spans="1:6">
      <c r="A188" s="11">
        <v>187</v>
      </c>
      <c r="B188" s="20" t="s">
        <v>178</v>
      </c>
      <c r="C188" t="s">
        <v>511</v>
      </c>
      <c r="D188" s="13" t="s">
        <v>715</v>
      </c>
      <c r="E188">
        <v>0</v>
      </c>
      <c r="F188" t="s">
        <v>716</v>
      </c>
    </row>
    <row r="189" spans="1:6">
      <c r="A189" s="11">
        <v>188</v>
      </c>
      <c r="B189" s="20" t="s">
        <v>164</v>
      </c>
      <c r="C189" t="s">
        <v>511</v>
      </c>
      <c r="D189" s="13" t="s">
        <v>717</v>
      </c>
      <c r="E189">
        <v>0</v>
      </c>
      <c r="F189" t="s">
        <v>718</v>
      </c>
    </row>
    <row r="190" spans="1:6">
      <c r="A190" s="11">
        <v>189</v>
      </c>
      <c r="B190" s="20" t="s">
        <v>498</v>
      </c>
      <c r="C190" t="s">
        <v>511</v>
      </c>
      <c r="D190" s="13" t="s">
        <v>719</v>
      </c>
      <c r="E190">
        <v>0</v>
      </c>
      <c r="F190" t="s">
        <v>720</v>
      </c>
    </row>
    <row r="191" spans="1:6">
      <c r="A191" s="11">
        <v>190</v>
      </c>
      <c r="B191" s="20" t="s">
        <v>499</v>
      </c>
      <c r="C191" t="s">
        <v>511</v>
      </c>
      <c r="D191" s="13" t="s">
        <v>721</v>
      </c>
      <c r="E191">
        <v>0</v>
      </c>
      <c r="F191" t="s">
        <v>722</v>
      </c>
    </row>
    <row r="192" spans="1:6">
      <c r="A192" s="11">
        <v>191</v>
      </c>
      <c r="B192" s="20" t="s">
        <v>79</v>
      </c>
      <c r="C192" t="s">
        <v>511</v>
      </c>
      <c r="D192" s="13" t="s">
        <v>723</v>
      </c>
      <c r="E192">
        <v>0</v>
      </c>
      <c r="F192" t="s">
        <v>724</v>
      </c>
    </row>
    <row r="193" spans="1:6">
      <c r="A193" s="11">
        <v>192</v>
      </c>
      <c r="B193" s="20" t="s">
        <v>500</v>
      </c>
      <c r="C193" t="s">
        <v>511</v>
      </c>
      <c r="D193" s="13" t="s">
        <v>726</v>
      </c>
      <c r="E193">
        <v>0</v>
      </c>
      <c r="F193" t="s">
        <v>727</v>
      </c>
    </row>
    <row r="194" spans="1:6">
      <c r="A194" s="11">
        <v>193</v>
      </c>
      <c r="B194" s="19" t="s">
        <v>178</v>
      </c>
      <c r="C194" t="s">
        <v>511</v>
      </c>
      <c r="D194" s="13" t="s">
        <v>715</v>
      </c>
      <c r="E194">
        <v>0</v>
      </c>
      <c r="F194" t="s">
        <v>716</v>
      </c>
    </row>
    <row r="195" spans="1:6">
      <c r="A195" s="11">
        <v>194</v>
      </c>
      <c r="B195" s="18" t="s">
        <v>568</v>
      </c>
      <c r="D195" s="13"/>
    </row>
    <row r="196" spans="1:6">
      <c r="A196" s="11">
        <v>195</v>
      </c>
      <c r="B196" s="21" t="s">
        <v>806</v>
      </c>
      <c r="C196" t="s">
        <v>807</v>
      </c>
      <c r="D196" s="13" t="s">
        <v>808</v>
      </c>
      <c r="E196">
        <v>0</v>
      </c>
    </row>
    <row r="197" spans="1:6" ht="28">
      <c r="A197" s="11">
        <v>196</v>
      </c>
      <c r="B197" s="21" t="s">
        <v>809</v>
      </c>
      <c r="C197" t="s">
        <v>807</v>
      </c>
      <c r="D197" s="13" t="s">
        <v>810</v>
      </c>
      <c r="E197">
        <v>0</v>
      </c>
    </row>
    <row r="198" spans="1:6">
      <c r="A198" s="11">
        <v>197</v>
      </c>
      <c r="B198" s="18" t="s">
        <v>569</v>
      </c>
      <c r="D198" s="13"/>
    </row>
    <row r="199" spans="1:6">
      <c r="A199" s="11">
        <v>198</v>
      </c>
      <c r="B199" s="21" t="s">
        <v>506</v>
      </c>
      <c r="C199" t="s">
        <v>596</v>
      </c>
      <c r="D199" s="13" t="s">
        <v>383</v>
      </c>
      <c r="E199">
        <v>2</v>
      </c>
      <c r="F199" t="s">
        <v>1058</v>
      </c>
    </row>
    <row r="200" spans="1:6">
      <c r="A200" s="11">
        <v>199</v>
      </c>
      <c r="B200" s="21" t="s">
        <v>570</v>
      </c>
      <c r="C200" t="s">
        <v>511</v>
      </c>
      <c r="D200" s="13" t="s">
        <v>802</v>
      </c>
      <c r="E200">
        <v>0</v>
      </c>
      <c r="F200" t="s">
        <v>803</v>
      </c>
    </row>
    <row r="201" spans="1:6">
      <c r="A201" s="11">
        <v>200</v>
      </c>
      <c r="B201" s="21" t="s">
        <v>571</v>
      </c>
      <c r="C201" t="s">
        <v>511</v>
      </c>
      <c r="D201" s="13" t="s">
        <v>800</v>
      </c>
      <c r="E201">
        <v>0</v>
      </c>
      <c r="F201" t="s">
        <v>801</v>
      </c>
    </row>
    <row r="202" spans="1:6">
      <c r="A202" s="11">
        <v>201</v>
      </c>
      <c r="B202" s="18" t="s">
        <v>572</v>
      </c>
      <c r="D202" s="13"/>
    </row>
    <row r="203" spans="1:6">
      <c r="A203" s="11">
        <v>202</v>
      </c>
      <c r="B203" s="21" t="s">
        <v>192</v>
      </c>
      <c r="C203" t="s">
        <v>596</v>
      </c>
      <c r="D203" s="16" t="s">
        <v>380</v>
      </c>
      <c r="E203">
        <v>2</v>
      </c>
      <c r="F203" t="s">
        <v>1052</v>
      </c>
    </row>
    <row r="204" spans="1:6">
      <c r="A204" s="11">
        <v>203</v>
      </c>
      <c r="B204" s="21" t="s">
        <v>471</v>
      </c>
      <c r="C204" t="s">
        <v>596</v>
      </c>
      <c r="D204" s="16" t="s">
        <v>381</v>
      </c>
      <c r="E204">
        <v>2</v>
      </c>
      <c r="F204" t="s">
        <v>1055</v>
      </c>
    </row>
    <row r="205" spans="1:6">
      <c r="A205" s="11">
        <v>204</v>
      </c>
      <c r="B205" s="23" t="s">
        <v>573</v>
      </c>
      <c r="D205" s="13"/>
    </row>
    <row r="206" spans="1:6" ht="28">
      <c r="A206" s="11">
        <v>205</v>
      </c>
      <c r="B206" s="24" t="s">
        <v>505</v>
      </c>
      <c r="C206" t="s">
        <v>596</v>
      </c>
      <c r="D206" s="16" t="s">
        <v>391</v>
      </c>
      <c r="E206">
        <v>2</v>
      </c>
      <c r="F206" t="s">
        <v>969</v>
      </c>
    </row>
    <row r="207" spans="1:6">
      <c r="A207" s="11">
        <v>206</v>
      </c>
      <c r="B207" s="24" t="s">
        <v>506</v>
      </c>
      <c r="C207" t="s">
        <v>596</v>
      </c>
      <c r="D207" s="16" t="s">
        <v>383</v>
      </c>
      <c r="E207">
        <v>2</v>
      </c>
      <c r="F207" t="s">
        <v>1058</v>
      </c>
    </row>
    <row r="208" spans="1:6">
      <c r="A208" s="11">
        <v>207</v>
      </c>
      <c r="B208" s="24" t="s">
        <v>507</v>
      </c>
      <c r="C208" t="s">
        <v>596</v>
      </c>
      <c r="D208" s="13" t="s">
        <v>414</v>
      </c>
      <c r="E208">
        <v>1</v>
      </c>
      <c r="F208" t="s">
        <v>1061</v>
      </c>
    </row>
    <row r="209" spans="1:6">
      <c r="A209" s="11">
        <v>208</v>
      </c>
      <c r="B209" s="18" t="s">
        <v>574</v>
      </c>
      <c r="D209" s="13"/>
    </row>
    <row r="210" spans="1:6">
      <c r="A210" s="11">
        <v>209</v>
      </c>
      <c r="B210" s="21" t="s">
        <v>476</v>
      </c>
      <c r="C210" t="s">
        <v>596</v>
      </c>
      <c r="D210" s="13" t="s">
        <v>391</v>
      </c>
      <c r="E210">
        <v>2</v>
      </c>
      <c r="F210" t="s">
        <v>969</v>
      </c>
    </row>
    <row r="211" spans="1:6">
      <c r="A211" s="11">
        <v>210</v>
      </c>
      <c r="B211" s="21" t="s">
        <v>527</v>
      </c>
      <c r="C211" t="s">
        <v>596</v>
      </c>
      <c r="D211" s="13" t="s">
        <v>958</v>
      </c>
      <c r="E211">
        <v>2</v>
      </c>
      <c r="F211" t="s">
        <v>959</v>
      </c>
    </row>
    <row r="212" spans="1:6">
      <c r="A212" s="11">
        <v>211</v>
      </c>
      <c r="B212" s="21" t="s">
        <v>542</v>
      </c>
      <c r="C212" t="s">
        <v>596</v>
      </c>
      <c r="D212" s="16" t="s">
        <v>390</v>
      </c>
      <c r="E212">
        <v>2</v>
      </c>
      <c r="F212" t="s">
        <v>966</v>
      </c>
    </row>
    <row r="213" spans="1:6">
      <c r="A213" s="11">
        <v>212</v>
      </c>
      <c r="B213" s="21" t="s">
        <v>540</v>
      </c>
      <c r="C213" t="s">
        <v>596</v>
      </c>
      <c r="D213" s="13" t="s">
        <v>408</v>
      </c>
      <c r="E213">
        <v>2</v>
      </c>
      <c r="F213" t="s">
        <v>1029</v>
      </c>
    </row>
    <row r="214" spans="1:6">
      <c r="A214" s="11">
        <v>213</v>
      </c>
      <c r="B214" s="21" t="s">
        <v>478</v>
      </c>
      <c r="C214" t="s">
        <v>596</v>
      </c>
      <c r="D214" s="13" t="s">
        <v>385</v>
      </c>
      <c r="E214">
        <v>2</v>
      </c>
      <c r="F214" t="s">
        <v>953</v>
      </c>
    </row>
    <row r="215" spans="1:6">
      <c r="A215" s="11">
        <v>214</v>
      </c>
      <c r="B215" s="21" t="s">
        <v>554</v>
      </c>
      <c r="C215" t="s">
        <v>596</v>
      </c>
      <c r="D215" s="13" t="s">
        <v>393</v>
      </c>
      <c r="E215">
        <v>2</v>
      </c>
      <c r="F215" t="s">
        <v>971</v>
      </c>
    </row>
    <row r="216" spans="1:6">
      <c r="A216" s="11">
        <v>215</v>
      </c>
      <c r="B216" s="19" t="s">
        <v>164</v>
      </c>
      <c r="C216" t="s">
        <v>511</v>
      </c>
      <c r="D216" s="13" t="s">
        <v>717</v>
      </c>
      <c r="E216">
        <v>0</v>
      </c>
      <c r="F216" t="s">
        <v>718</v>
      </c>
    </row>
    <row r="217" spans="1:6">
      <c r="A217" s="11">
        <v>216</v>
      </c>
      <c r="B217" s="18" t="s">
        <v>575</v>
      </c>
      <c r="D217" s="13"/>
    </row>
    <row r="218" spans="1:6">
      <c r="A218" s="11">
        <v>217</v>
      </c>
      <c r="B218" s="21" t="s">
        <v>811</v>
      </c>
      <c r="C218" t="s">
        <v>807</v>
      </c>
      <c r="D218" s="13" t="s">
        <v>812</v>
      </c>
      <c r="E218">
        <v>0</v>
      </c>
    </row>
    <row r="219" spans="1:6" ht="28">
      <c r="A219" s="11">
        <v>218</v>
      </c>
      <c r="B219" s="21" t="s">
        <v>813</v>
      </c>
      <c r="C219" t="s">
        <v>807</v>
      </c>
      <c r="D219" s="13" t="s">
        <v>814</v>
      </c>
      <c r="E219">
        <v>0</v>
      </c>
    </row>
    <row r="220" spans="1:6" ht="28">
      <c r="A220" s="11">
        <v>219</v>
      </c>
      <c r="B220" s="21" t="s">
        <v>815</v>
      </c>
      <c r="C220" t="s">
        <v>807</v>
      </c>
      <c r="D220" s="13" t="s">
        <v>816</v>
      </c>
      <c r="E220">
        <v>0</v>
      </c>
    </row>
    <row r="221" spans="1:6" ht="28">
      <c r="A221" s="11">
        <v>220</v>
      </c>
      <c r="B221" s="21" t="s">
        <v>817</v>
      </c>
      <c r="C221" t="s">
        <v>807</v>
      </c>
      <c r="D221" s="13" t="s">
        <v>818</v>
      </c>
      <c r="E221">
        <v>0</v>
      </c>
    </row>
    <row r="222" spans="1:6">
      <c r="A222" s="11">
        <v>221</v>
      </c>
      <c r="B222" s="21" t="s">
        <v>819</v>
      </c>
      <c r="C222" t="s">
        <v>807</v>
      </c>
      <c r="D222" s="13" t="s">
        <v>820</v>
      </c>
      <c r="E222">
        <v>0</v>
      </c>
    </row>
    <row r="223" spans="1:6">
      <c r="A223" s="11">
        <v>222</v>
      </c>
      <c r="B223" s="21" t="s">
        <v>821</v>
      </c>
      <c r="C223" t="s">
        <v>807</v>
      </c>
      <c r="D223" s="13" t="s">
        <v>822</v>
      </c>
      <c r="E223">
        <v>0</v>
      </c>
    </row>
    <row r="224" spans="1:6">
      <c r="A224" s="11">
        <v>223</v>
      </c>
      <c r="B224" s="18" t="s">
        <v>576</v>
      </c>
      <c r="D224" s="13"/>
    </row>
    <row r="225" spans="1:6">
      <c r="A225" s="11">
        <v>224</v>
      </c>
      <c r="B225" s="21" t="s">
        <v>577</v>
      </c>
      <c r="C225" t="s">
        <v>807</v>
      </c>
      <c r="D225" s="13" t="s">
        <v>848</v>
      </c>
      <c r="E225">
        <v>0</v>
      </c>
    </row>
    <row r="226" spans="1:6">
      <c r="A226" s="11">
        <v>225</v>
      </c>
      <c r="B226" s="18" t="s">
        <v>578</v>
      </c>
      <c r="D226" s="13"/>
    </row>
    <row r="227" spans="1:6">
      <c r="A227" s="11">
        <v>226</v>
      </c>
      <c r="B227" s="21" t="s">
        <v>161</v>
      </c>
      <c r="C227" t="s">
        <v>596</v>
      </c>
      <c r="D227" s="16" t="s">
        <v>402</v>
      </c>
      <c r="E227">
        <v>0</v>
      </c>
      <c r="F227" t="s">
        <v>998</v>
      </c>
    </row>
    <row r="228" spans="1:6">
      <c r="A228" s="11">
        <v>227</v>
      </c>
      <c r="B228" s="17" t="s">
        <v>508</v>
      </c>
      <c r="C228" t="s">
        <v>596</v>
      </c>
      <c r="D228" s="16" t="s">
        <v>402</v>
      </c>
      <c r="E228">
        <v>0</v>
      </c>
      <c r="F228" t="s">
        <v>998</v>
      </c>
    </row>
    <row r="229" spans="1:6">
      <c r="A229" s="11">
        <v>228</v>
      </c>
      <c r="B229" s="18" t="s">
        <v>579</v>
      </c>
      <c r="D229" s="13"/>
    </row>
    <row r="230" spans="1:6">
      <c r="A230" s="11">
        <v>229</v>
      </c>
      <c r="B230" s="21" t="s">
        <v>580</v>
      </c>
      <c r="C230" t="s">
        <v>596</v>
      </c>
      <c r="D230" s="13" t="s">
        <v>389</v>
      </c>
      <c r="E230">
        <v>1</v>
      </c>
      <c r="F230" t="s">
        <v>964</v>
      </c>
    </row>
    <row r="231" spans="1:6">
      <c r="A231" s="11">
        <v>230</v>
      </c>
      <c r="B231" s="21" t="s">
        <v>549</v>
      </c>
      <c r="C231" t="s">
        <v>596</v>
      </c>
      <c r="D231" s="13" t="s">
        <v>404</v>
      </c>
      <c r="E231">
        <v>1</v>
      </c>
      <c r="F231" t="s">
        <v>1002</v>
      </c>
    </row>
    <row r="232" spans="1:6">
      <c r="A232" s="11">
        <v>231</v>
      </c>
      <c r="B232" s="21" t="s">
        <v>550</v>
      </c>
      <c r="C232" t="s">
        <v>596</v>
      </c>
      <c r="D232" s="13" t="s">
        <v>411</v>
      </c>
      <c r="E232">
        <v>2</v>
      </c>
      <c r="F232" t="s">
        <v>1044</v>
      </c>
    </row>
    <row r="233" spans="1:6">
      <c r="A233" s="11">
        <v>232</v>
      </c>
      <c r="B233" s="21" t="s">
        <v>531</v>
      </c>
      <c r="C233" t="s">
        <v>596</v>
      </c>
      <c r="D233" s="13" t="s">
        <v>958</v>
      </c>
      <c r="E233">
        <v>2</v>
      </c>
      <c r="F233" t="s">
        <v>959</v>
      </c>
    </row>
    <row r="234" spans="1:6">
      <c r="A234" s="11">
        <v>233</v>
      </c>
      <c r="B234" s="21" t="s">
        <v>551</v>
      </c>
      <c r="C234" t="s">
        <v>596</v>
      </c>
      <c r="D234" s="16" t="s">
        <v>390</v>
      </c>
      <c r="E234">
        <v>2</v>
      </c>
      <c r="F234" t="s">
        <v>966</v>
      </c>
    </row>
    <row r="235" spans="1:6">
      <c r="A235" s="11">
        <v>234</v>
      </c>
      <c r="B235" s="21" t="s">
        <v>478</v>
      </c>
      <c r="C235" t="s">
        <v>596</v>
      </c>
      <c r="D235" s="13" t="s">
        <v>385</v>
      </c>
      <c r="E235">
        <v>2</v>
      </c>
      <c r="F235" t="s">
        <v>953</v>
      </c>
    </row>
    <row r="236" spans="1:6">
      <c r="A236" s="11">
        <v>235</v>
      </c>
      <c r="B236" s="22" t="s">
        <v>498</v>
      </c>
      <c r="C236" t="s">
        <v>511</v>
      </c>
      <c r="D236" s="13" t="s">
        <v>719</v>
      </c>
      <c r="E236">
        <v>0</v>
      </c>
      <c r="F236" t="s">
        <v>720</v>
      </c>
    </row>
    <row r="237" spans="1:6">
      <c r="A237" s="11">
        <v>236</v>
      </c>
      <c r="B237" s="18" t="s">
        <v>581</v>
      </c>
      <c r="D237" s="13"/>
    </row>
    <row r="238" spans="1:6">
      <c r="A238" s="11">
        <v>237</v>
      </c>
      <c r="B238" s="17" t="s">
        <v>823</v>
      </c>
      <c r="C238" t="s">
        <v>807</v>
      </c>
      <c r="D238" s="13" t="s">
        <v>824</v>
      </c>
      <c r="E238">
        <v>0</v>
      </c>
    </row>
    <row r="239" spans="1:6">
      <c r="A239" s="11">
        <v>238</v>
      </c>
      <c r="B239" s="17" t="s">
        <v>825</v>
      </c>
      <c r="C239" t="s">
        <v>807</v>
      </c>
      <c r="D239" s="13" t="s">
        <v>826</v>
      </c>
      <c r="E239">
        <v>0</v>
      </c>
    </row>
    <row r="240" spans="1:6">
      <c r="A240" s="11">
        <v>239</v>
      </c>
      <c r="B240" s="17" t="s">
        <v>827</v>
      </c>
      <c r="C240" t="s">
        <v>807</v>
      </c>
      <c r="D240" s="13" t="s">
        <v>828</v>
      </c>
      <c r="E240">
        <v>0</v>
      </c>
    </row>
    <row r="241" spans="1:6" ht="28">
      <c r="A241" s="11">
        <v>240</v>
      </c>
      <c r="B241" s="17" t="s">
        <v>829</v>
      </c>
      <c r="C241" t="s">
        <v>807</v>
      </c>
      <c r="D241" s="13" t="s">
        <v>830</v>
      </c>
      <c r="E241">
        <v>0</v>
      </c>
    </row>
    <row r="242" spans="1:6">
      <c r="A242" s="11">
        <v>241</v>
      </c>
      <c r="B242" s="17" t="s">
        <v>564</v>
      </c>
      <c r="C242" t="s">
        <v>596</v>
      </c>
      <c r="D242" s="13" t="s">
        <v>1008</v>
      </c>
      <c r="E242">
        <v>1</v>
      </c>
      <c r="F242" t="s">
        <v>1009</v>
      </c>
    </row>
    <row r="243" spans="1:6">
      <c r="A243" s="11">
        <v>242</v>
      </c>
      <c r="B243" s="18" t="s">
        <v>582</v>
      </c>
      <c r="D243" s="13"/>
    </row>
    <row r="244" spans="1:6">
      <c r="A244" s="11">
        <v>243</v>
      </c>
      <c r="B244" s="17" t="s">
        <v>472</v>
      </c>
      <c r="C244" t="s">
        <v>596</v>
      </c>
      <c r="D244" s="13" t="s">
        <v>384</v>
      </c>
      <c r="E244">
        <v>0</v>
      </c>
      <c r="F244" t="s">
        <v>995</v>
      </c>
    </row>
    <row r="245" spans="1:6">
      <c r="A245" s="11">
        <v>244</v>
      </c>
      <c r="B245" s="17" t="s">
        <v>509</v>
      </c>
      <c r="C245" t="s">
        <v>596</v>
      </c>
      <c r="D245" s="13" t="s">
        <v>388</v>
      </c>
      <c r="E245">
        <v>0</v>
      </c>
      <c r="F245" t="s">
        <v>961</v>
      </c>
    </row>
    <row r="246" spans="1:6">
      <c r="A246" s="11">
        <v>245</v>
      </c>
      <c r="B246" s="17" t="s">
        <v>583</v>
      </c>
      <c r="C246" t="s">
        <v>596</v>
      </c>
      <c r="D246" s="13" t="s">
        <v>410</v>
      </c>
      <c r="E246">
        <v>2</v>
      </c>
      <c r="F246" t="s">
        <v>1034</v>
      </c>
    </row>
    <row r="247" spans="1:6">
      <c r="A247" s="11">
        <v>246</v>
      </c>
      <c r="B247" s="18" t="s">
        <v>532</v>
      </c>
      <c r="D247" s="13"/>
    </row>
    <row r="248" spans="1:6">
      <c r="A248" s="11">
        <v>247</v>
      </c>
      <c r="B248" s="21" t="s">
        <v>532</v>
      </c>
      <c r="C248" t="s">
        <v>596</v>
      </c>
      <c r="D248" s="13" t="s">
        <v>958</v>
      </c>
      <c r="E248">
        <v>2</v>
      </c>
      <c r="F248" t="s">
        <v>959</v>
      </c>
    </row>
    <row r="249" spans="1:6">
      <c r="A249" s="11">
        <v>248</v>
      </c>
      <c r="B249" s="18" t="s">
        <v>552</v>
      </c>
      <c r="D249" s="13"/>
    </row>
    <row r="250" spans="1:6">
      <c r="A250" s="11">
        <v>249</v>
      </c>
      <c r="B250" s="21" t="s">
        <v>484</v>
      </c>
      <c r="C250" t="s">
        <v>596</v>
      </c>
      <c r="D250" s="13" t="s">
        <v>420</v>
      </c>
      <c r="E250">
        <v>2</v>
      </c>
      <c r="F250" t="s">
        <v>1021</v>
      </c>
    </row>
    <row r="251" spans="1:6">
      <c r="A251" s="11">
        <v>250</v>
      </c>
      <c r="B251" s="21" t="s">
        <v>539</v>
      </c>
      <c r="C251" t="s">
        <v>596</v>
      </c>
      <c r="D251" s="13" t="s">
        <v>399</v>
      </c>
      <c r="E251">
        <v>2</v>
      </c>
      <c r="F251" t="s">
        <v>985</v>
      </c>
    </row>
    <row r="252" spans="1:6">
      <c r="A252" s="11">
        <v>251</v>
      </c>
      <c r="B252" s="18" t="s">
        <v>553</v>
      </c>
      <c r="D252" s="13"/>
    </row>
    <row r="253" spans="1:6">
      <c r="A253" s="11">
        <v>252</v>
      </c>
      <c r="B253" s="21" t="s">
        <v>554</v>
      </c>
      <c r="C253" t="s">
        <v>596</v>
      </c>
      <c r="D253" s="13" t="s">
        <v>393</v>
      </c>
      <c r="E253">
        <v>2</v>
      </c>
      <c r="F253" t="s">
        <v>971</v>
      </c>
    </row>
    <row r="254" spans="1:6">
      <c r="A254" s="11">
        <v>253</v>
      </c>
      <c r="B254" s="21" t="s">
        <v>555</v>
      </c>
      <c r="C254" t="s">
        <v>596</v>
      </c>
      <c r="D254" s="13" t="s">
        <v>422</v>
      </c>
      <c r="E254">
        <v>2</v>
      </c>
      <c r="F254" t="s">
        <v>1024</v>
      </c>
    </row>
    <row r="255" spans="1:6">
      <c r="A255" s="11">
        <v>254</v>
      </c>
      <c r="B255" s="21" t="s">
        <v>486</v>
      </c>
      <c r="C255" t="s">
        <v>596</v>
      </c>
      <c r="D255" s="13" t="s">
        <v>424</v>
      </c>
      <c r="E255">
        <v>2</v>
      </c>
      <c r="F255" t="s">
        <v>1018</v>
      </c>
    </row>
    <row r="256" spans="1:6">
      <c r="A256" s="11">
        <v>255</v>
      </c>
      <c r="B256" s="21" t="s">
        <v>488</v>
      </c>
      <c r="C256" t="s">
        <v>596</v>
      </c>
      <c r="D256" s="13" t="s">
        <v>423</v>
      </c>
      <c r="E256">
        <v>2</v>
      </c>
      <c r="F256" t="s">
        <v>1027</v>
      </c>
    </row>
    <row r="257" spans="1:7">
      <c r="A257" s="11">
        <v>256</v>
      </c>
      <c r="B257" s="21" t="s">
        <v>487</v>
      </c>
      <c r="C257" t="s">
        <v>596</v>
      </c>
      <c r="D257" s="13" t="s">
        <v>396</v>
      </c>
      <c r="E257">
        <v>2</v>
      </c>
      <c r="F257" t="s">
        <v>976</v>
      </c>
    </row>
    <row r="258" spans="1:7">
      <c r="A258" s="11">
        <v>257</v>
      </c>
      <c r="B258" s="21" t="s">
        <v>556</v>
      </c>
      <c r="C258" t="s">
        <v>596</v>
      </c>
      <c r="D258" s="13" t="s">
        <v>1014</v>
      </c>
      <c r="E258">
        <v>2</v>
      </c>
      <c r="F258" t="s">
        <v>1015</v>
      </c>
    </row>
    <row r="259" spans="1:7">
      <c r="A259" s="11">
        <v>258</v>
      </c>
      <c r="B259" s="21" t="s">
        <v>489</v>
      </c>
      <c r="C259" t="s">
        <v>596</v>
      </c>
      <c r="D259" s="13" t="s">
        <v>410</v>
      </c>
      <c r="E259">
        <v>2</v>
      </c>
      <c r="F259" t="s">
        <v>1034</v>
      </c>
    </row>
    <row r="260" spans="1:7">
      <c r="A260" s="11">
        <v>259</v>
      </c>
      <c r="B260" s="21" t="s">
        <v>557</v>
      </c>
      <c r="C260" t="s">
        <v>596</v>
      </c>
      <c r="D260" s="13" t="s">
        <v>1036</v>
      </c>
      <c r="E260">
        <v>2</v>
      </c>
      <c r="F260" t="s">
        <v>1037</v>
      </c>
    </row>
    <row r="261" spans="1:7">
      <c r="A261" s="11">
        <v>260</v>
      </c>
      <c r="B261" s="21" t="s">
        <v>558</v>
      </c>
      <c r="C261" t="s">
        <v>596</v>
      </c>
      <c r="D261" s="13" t="s">
        <v>409</v>
      </c>
      <c r="E261">
        <v>2</v>
      </c>
      <c r="F261" t="s">
        <v>1031</v>
      </c>
      <c r="G261" t="s">
        <v>1032</v>
      </c>
    </row>
    <row r="262" spans="1:7">
      <c r="A262" s="11">
        <v>261</v>
      </c>
      <c r="B262" s="21" t="s">
        <v>559</v>
      </c>
      <c r="C262" t="s">
        <v>596</v>
      </c>
      <c r="D262" s="13" t="s">
        <v>405</v>
      </c>
      <c r="E262">
        <v>0</v>
      </c>
      <c r="F262" t="s">
        <v>1005</v>
      </c>
    </row>
    <row r="263" spans="1:7">
      <c r="A263" s="11">
        <v>262</v>
      </c>
      <c r="B263" s="21" t="s">
        <v>560</v>
      </c>
      <c r="C263" t="s">
        <v>596</v>
      </c>
      <c r="D263" s="16" t="s">
        <v>1050</v>
      </c>
      <c r="E263">
        <v>0</v>
      </c>
      <c r="F263" t="s">
        <v>1051</v>
      </c>
    </row>
    <row r="264" spans="1:7">
      <c r="A264" s="11">
        <v>263</v>
      </c>
      <c r="B264" s="19" t="s">
        <v>499</v>
      </c>
      <c r="C264" t="s">
        <v>511</v>
      </c>
      <c r="D264" s="13" t="s">
        <v>721</v>
      </c>
      <c r="E264">
        <v>0</v>
      </c>
      <c r="F264" t="s">
        <v>722</v>
      </c>
    </row>
    <row r="265" spans="1:7">
      <c r="A265" s="11">
        <v>264</v>
      </c>
      <c r="B265" s="18" t="s">
        <v>584</v>
      </c>
      <c r="D265" s="13"/>
    </row>
    <row r="266" spans="1:7">
      <c r="A266" s="11">
        <v>265</v>
      </c>
      <c r="B266" s="21" t="s">
        <v>831</v>
      </c>
      <c r="C266" t="s">
        <v>807</v>
      </c>
      <c r="D266" s="13" t="s">
        <v>832</v>
      </c>
      <c r="E266">
        <v>0</v>
      </c>
    </row>
    <row r="267" spans="1:7" ht="28">
      <c r="A267" s="11">
        <v>266</v>
      </c>
      <c r="B267" s="21" t="s">
        <v>833</v>
      </c>
      <c r="C267" t="s">
        <v>807</v>
      </c>
      <c r="D267" s="13" t="s">
        <v>834</v>
      </c>
      <c r="E267">
        <v>0</v>
      </c>
    </row>
    <row r="268" spans="1:7">
      <c r="A268" s="11">
        <v>267</v>
      </c>
      <c r="B268" s="18" t="s">
        <v>585</v>
      </c>
      <c r="D268" s="13"/>
    </row>
    <row r="269" spans="1:7">
      <c r="A269" s="11">
        <v>268</v>
      </c>
      <c r="B269" s="21" t="s">
        <v>514</v>
      </c>
      <c r="C269" t="s">
        <v>596</v>
      </c>
      <c r="D269" s="13" t="s">
        <v>398</v>
      </c>
      <c r="E269">
        <v>1</v>
      </c>
      <c r="F269" t="s">
        <v>982</v>
      </c>
    </row>
    <row r="270" spans="1:7">
      <c r="A270" s="11">
        <v>269</v>
      </c>
      <c r="B270" s="21" t="s">
        <v>515</v>
      </c>
      <c r="C270" t="s">
        <v>596</v>
      </c>
      <c r="D270" s="13" t="s">
        <v>400</v>
      </c>
      <c r="E270">
        <v>2</v>
      </c>
      <c r="F270" t="s">
        <v>988</v>
      </c>
    </row>
    <row r="271" spans="1:7">
      <c r="A271" s="11">
        <v>270</v>
      </c>
      <c r="B271" s="18" t="s">
        <v>586</v>
      </c>
      <c r="D271" s="13"/>
    </row>
    <row r="272" spans="1:7" ht="28">
      <c r="A272" s="11">
        <v>271</v>
      </c>
      <c r="B272" s="21" t="s">
        <v>533</v>
      </c>
      <c r="C272" t="s">
        <v>596</v>
      </c>
      <c r="D272" s="13" t="s">
        <v>398</v>
      </c>
      <c r="E272">
        <v>1</v>
      </c>
      <c r="F272" t="s">
        <v>982</v>
      </c>
    </row>
    <row r="273" spans="1:6">
      <c r="A273" s="11">
        <v>272</v>
      </c>
      <c r="B273" s="21" t="s">
        <v>534</v>
      </c>
      <c r="C273" t="s">
        <v>596</v>
      </c>
      <c r="D273" s="13" t="s">
        <v>958</v>
      </c>
      <c r="E273">
        <v>2</v>
      </c>
      <c r="F273" t="s">
        <v>959</v>
      </c>
    </row>
    <row r="274" spans="1:6">
      <c r="A274" s="11">
        <v>273</v>
      </c>
      <c r="B274" s="19" t="s">
        <v>79</v>
      </c>
      <c r="C274" t="s">
        <v>511</v>
      </c>
      <c r="D274" s="13" t="s">
        <v>723</v>
      </c>
      <c r="E274">
        <v>0</v>
      </c>
      <c r="F274" t="s">
        <v>724</v>
      </c>
    </row>
    <row r="275" spans="1:6">
      <c r="A275" s="11">
        <v>274</v>
      </c>
      <c r="B275" s="20" t="s">
        <v>587</v>
      </c>
      <c r="C275" t="s">
        <v>511</v>
      </c>
      <c r="D275" s="13" t="s">
        <v>719</v>
      </c>
      <c r="E275">
        <v>0</v>
      </c>
      <c r="F275" t="s">
        <v>720</v>
      </c>
    </row>
    <row r="276" spans="1:6">
      <c r="A276" s="11">
        <v>275</v>
      </c>
      <c r="B276" s="18" t="s">
        <v>588</v>
      </c>
      <c r="D276" s="13"/>
    </row>
    <row r="277" spans="1:6" ht="28">
      <c r="A277" s="11">
        <v>276</v>
      </c>
      <c r="B277" s="21" t="s">
        <v>835</v>
      </c>
      <c r="C277" t="s">
        <v>807</v>
      </c>
      <c r="D277" s="13" t="s">
        <v>836</v>
      </c>
      <c r="E277">
        <v>0</v>
      </c>
    </row>
    <row r="278" spans="1:6" ht="28">
      <c r="A278" s="11">
        <v>277</v>
      </c>
      <c r="B278" s="21" t="s">
        <v>837</v>
      </c>
      <c r="C278" t="s">
        <v>807</v>
      </c>
      <c r="D278" s="13" t="s">
        <v>838</v>
      </c>
      <c r="E278">
        <v>0</v>
      </c>
    </row>
    <row r="279" spans="1:6">
      <c r="A279" s="11">
        <v>278</v>
      </c>
      <c r="B279" s="21" t="s">
        <v>839</v>
      </c>
      <c r="C279" t="s">
        <v>807</v>
      </c>
      <c r="D279" s="13" t="s">
        <v>840</v>
      </c>
      <c r="E279">
        <v>0</v>
      </c>
    </row>
    <row r="280" spans="1:6">
      <c r="A280" s="11">
        <v>279</v>
      </c>
      <c r="B280" s="18" t="s">
        <v>589</v>
      </c>
      <c r="D280" s="13"/>
    </row>
    <row r="281" spans="1:6">
      <c r="A281" s="11">
        <v>280</v>
      </c>
      <c r="B281" s="21" t="s">
        <v>590</v>
      </c>
      <c r="C281" t="s">
        <v>807</v>
      </c>
      <c r="D281" s="13" t="s">
        <v>850</v>
      </c>
      <c r="E281">
        <v>0</v>
      </c>
    </row>
    <row r="282" spans="1:6">
      <c r="A282" s="11">
        <v>281</v>
      </c>
      <c r="B282" s="18" t="s">
        <v>591</v>
      </c>
      <c r="D282" s="13"/>
    </row>
    <row r="283" spans="1:6">
      <c r="A283" s="11">
        <v>282</v>
      </c>
      <c r="B283" s="21" t="s">
        <v>517</v>
      </c>
      <c r="C283" t="s">
        <v>596</v>
      </c>
      <c r="D283" s="13" t="s">
        <v>401</v>
      </c>
      <c r="E283">
        <v>2</v>
      </c>
      <c r="F283" t="s">
        <v>991</v>
      </c>
    </row>
    <row r="284" spans="1:6">
      <c r="A284" s="11">
        <v>283</v>
      </c>
      <c r="B284" s="18" t="s">
        <v>592</v>
      </c>
      <c r="D284" s="13"/>
    </row>
    <row r="285" spans="1:6">
      <c r="A285" s="11">
        <v>284</v>
      </c>
      <c r="B285" s="21" t="s">
        <v>517</v>
      </c>
      <c r="C285" t="s">
        <v>596</v>
      </c>
      <c r="D285" s="13" t="s">
        <v>401</v>
      </c>
      <c r="E285">
        <v>2</v>
      </c>
      <c r="F285" t="s">
        <v>991</v>
      </c>
    </row>
    <row r="286" spans="1:6">
      <c r="A286" s="11">
        <v>285</v>
      </c>
      <c r="B286" s="21" t="s">
        <v>444</v>
      </c>
      <c r="C286" t="s">
        <v>596</v>
      </c>
      <c r="D286" s="13" t="s">
        <v>446</v>
      </c>
      <c r="E286">
        <v>2</v>
      </c>
      <c r="F286" t="s">
        <v>1040</v>
      </c>
    </row>
    <row r="287" spans="1:6">
      <c r="A287" s="11">
        <v>286</v>
      </c>
      <c r="B287" s="21" t="s">
        <v>535</v>
      </c>
      <c r="C287" t="s">
        <v>596</v>
      </c>
      <c r="D287" s="13" t="s">
        <v>958</v>
      </c>
      <c r="E287">
        <v>2</v>
      </c>
      <c r="F287" t="s">
        <v>959</v>
      </c>
    </row>
    <row r="288" spans="1:6">
      <c r="A288" s="11">
        <v>287</v>
      </c>
      <c r="B288" s="19" t="s">
        <v>500</v>
      </c>
      <c r="C288" t="s">
        <v>511</v>
      </c>
      <c r="D288" s="13" t="s">
        <v>726</v>
      </c>
      <c r="E288">
        <v>0</v>
      </c>
      <c r="F288" t="s">
        <v>727</v>
      </c>
    </row>
    <row r="289" spans="1:6">
      <c r="A289" s="11">
        <v>288</v>
      </c>
      <c r="B289" s="18" t="s">
        <v>593</v>
      </c>
      <c r="D289" s="13"/>
    </row>
    <row r="290" spans="1:6" ht="28">
      <c r="A290" s="11">
        <v>289</v>
      </c>
      <c r="B290" s="21" t="s">
        <v>841</v>
      </c>
      <c r="C290" t="s">
        <v>807</v>
      </c>
      <c r="D290" s="13" t="s">
        <v>842</v>
      </c>
      <c r="E290">
        <v>0</v>
      </c>
    </row>
    <row r="291" spans="1:6">
      <c r="A291" s="11">
        <v>290</v>
      </c>
      <c r="B291" s="21" t="s">
        <v>843</v>
      </c>
      <c r="C291" t="s">
        <v>807</v>
      </c>
      <c r="D291" s="13" t="s">
        <v>844</v>
      </c>
      <c r="E291">
        <v>0</v>
      </c>
    </row>
    <row r="292" spans="1:6">
      <c r="A292" s="11">
        <v>291</v>
      </c>
      <c r="B292" s="21" t="s">
        <v>845</v>
      </c>
      <c r="C292" t="s">
        <v>807</v>
      </c>
      <c r="D292" s="13" t="s">
        <v>846</v>
      </c>
      <c r="E292">
        <v>0</v>
      </c>
    </row>
    <row r="293" spans="1:6">
      <c r="A293" s="11">
        <v>292</v>
      </c>
      <c r="B293" s="18" t="s">
        <v>594</v>
      </c>
      <c r="D293" s="13"/>
    </row>
    <row r="294" spans="1:6">
      <c r="A294" s="11">
        <v>293</v>
      </c>
      <c r="B294" s="21" t="s">
        <v>595</v>
      </c>
      <c r="C294" t="s">
        <v>596</v>
      </c>
      <c r="D294" s="13"/>
    </row>
    <row r="295" spans="1:6">
      <c r="A295" s="11">
        <v>294</v>
      </c>
      <c r="B295" s="21" t="s">
        <v>570</v>
      </c>
      <c r="C295" t="s">
        <v>511</v>
      </c>
      <c r="D295" s="13" t="s">
        <v>802</v>
      </c>
      <c r="E295">
        <v>0</v>
      </c>
      <c r="F295" t="s">
        <v>803</v>
      </c>
    </row>
    <row r="296" spans="1:6">
      <c r="A296" s="11">
        <v>295</v>
      </c>
      <c r="B296" s="21" t="s">
        <v>571</v>
      </c>
      <c r="C296" t="s">
        <v>511</v>
      </c>
      <c r="D296" s="13" t="s">
        <v>800</v>
      </c>
      <c r="E296">
        <v>0</v>
      </c>
      <c r="F296" t="s">
        <v>801</v>
      </c>
    </row>
    <row r="297" spans="1:6">
      <c r="A297" s="11">
        <v>296</v>
      </c>
      <c r="B297" s="18" t="s">
        <v>597</v>
      </c>
      <c r="D297" s="13"/>
    </row>
    <row r="298" spans="1:6">
      <c r="A298" s="11">
        <v>297</v>
      </c>
      <c r="B298" s="21" t="s">
        <v>474</v>
      </c>
      <c r="C298" t="s">
        <v>596</v>
      </c>
      <c r="D298" s="13" t="s">
        <v>402</v>
      </c>
      <c r="E298">
        <v>0</v>
      </c>
      <c r="F298" t="s">
        <v>998</v>
      </c>
    </row>
    <row r="299" spans="1:6">
      <c r="A299" s="11">
        <v>298</v>
      </c>
      <c r="B299" s="23" t="s">
        <v>598</v>
      </c>
      <c r="D299" s="13"/>
    </row>
    <row r="300" spans="1:6" ht="28">
      <c r="A300" s="11">
        <v>299</v>
      </c>
      <c r="B300" s="24" t="s">
        <v>505</v>
      </c>
      <c r="C300" t="s">
        <v>596</v>
      </c>
      <c r="D300" s="16" t="s">
        <v>391</v>
      </c>
      <c r="E300">
        <v>2</v>
      </c>
      <c r="F300" t="s">
        <v>969</v>
      </c>
    </row>
    <row r="301" spans="1:6">
      <c r="A301" s="11">
        <v>300</v>
      </c>
      <c r="B301" s="24" t="s">
        <v>506</v>
      </c>
      <c r="C301" t="s">
        <v>596</v>
      </c>
      <c r="D301" s="16" t="s">
        <v>383</v>
      </c>
      <c r="E301">
        <v>2</v>
      </c>
      <c r="F301" t="s">
        <v>1058</v>
      </c>
    </row>
    <row r="302" spans="1:6">
      <c r="A302" s="11">
        <v>301</v>
      </c>
      <c r="B302" s="24" t="s">
        <v>507</v>
      </c>
      <c r="C302" t="s">
        <v>596</v>
      </c>
      <c r="D302" s="13" t="s">
        <v>414</v>
      </c>
      <c r="E302">
        <v>1</v>
      </c>
      <c r="F302" t="s">
        <v>1061</v>
      </c>
    </row>
    <row r="303" spans="1:6">
      <c r="A303" s="11">
        <v>302</v>
      </c>
      <c r="B303" s="18" t="s">
        <v>599</v>
      </c>
      <c r="D303" s="13"/>
    </row>
    <row r="304" spans="1:6">
      <c r="A304" s="11">
        <v>303</v>
      </c>
      <c r="B304" s="21" t="s">
        <v>536</v>
      </c>
      <c r="C304" t="s">
        <v>596</v>
      </c>
      <c r="D304" s="13" t="s">
        <v>391</v>
      </c>
      <c r="E304">
        <v>2</v>
      </c>
      <c r="F304" t="s">
        <v>969</v>
      </c>
    </row>
    <row r="305" spans="1:6">
      <c r="A305" s="11">
        <v>304</v>
      </c>
      <c r="B305" s="21" t="s">
        <v>537</v>
      </c>
      <c r="C305" t="s">
        <v>596</v>
      </c>
      <c r="D305" s="13" t="s">
        <v>958</v>
      </c>
      <c r="E305">
        <v>2</v>
      </c>
      <c r="F305" t="s">
        <v>959</v>
      </c>
    </row>
    <row r="306" spans="1:6">
      <c r="A306" s="11">
        <v>305</v>
      </c>
      <c r="B306" s="21" t="s">
        <v>478</v>
      </c>
      <c r="C306" t="s">
        <v>596</v>
      </c>
      <c r="D306" s="13" t="s">
        <v>385</v>
      </c>
      <c r="E306">
        <v>2</v>
      </c>
      <c r="F306" t="s">
        <v>953</v>
      </c>
    </row>
    <row r="307" spans="1:6">
      <c r="A307" s="11">
        <v>306</v>
      </c>
      <c r="B307" s="21" t="s">
        <v>542</v>
      </c>
      <c r="C307" t="s">
        <v>596</v>
      </c>
      <c r="D307" s="16" t="s">
        <v>390</v>
      </c>
      <c r="E307">
        <v>2</v>
      </c>
      <c r="F307" t="s">
        <v>966</v>
      </c>
    </row>
    <row r="308" spans="1:6">
      <c r="A308" s="11">
        <v>307</v>
      </c>
      <c r="B308" s="21" t="s">
        <v>554</v>
      </c>
      <c r="C308" t="s">
        <v>596</v>
      </c>
      <c r="D308" s="13" t="s">
        <v>393</v>
      </c>
      <c r="E308">
        <v>2</v>
      </c>
      <c r="F308" t="s">
        <v>971</v>
      </c>
    </row>
    <row r="309" spans="1:6">
      <c r="A309" s="11">
        <v>308</v>
      </c>
      <c r="B309" s="12" t="s">
        <v>600</v>
      </c>
      <c r="C309" t="s">
        <v>511</v>
      </c>
      <c r="D309" s="13" t="s">
        <v>425</v>
      </c>
      <c r="E309">
        <v>0</v>
      </c>
      <c r="F309" t="s">
        <v>728</v>
      </c>
    </row>
    <row r="310" spans="1:6" ht="42">
      <c r="A310" s="11">
        <v>309</v>
      </c>
      <c r="B310" s="19" t="s">
        <v>601</v>
      </c>
      <c r="C310" t="s">
        <v>511</v>
      </c>
      <c r="D310" s="13" t="s">
        <v>729</v>
      </c>
      <c r="E310">
        <v>0</v>
      </c>
      <c r="F310" t="s">
        <v>730</v>
      </c>
    </row>
    <row r="311" spans="1:6" ht="42">
      <c r="A311" s="11">
        <v>310</v>
      </c>
      <c r="B311" s="19" t="s">
        <v>602</v>
      </c>
      <c r="C311" t="s">
        <v>511</v>
      </c>
      <c r="D311" s="13" t="s">
        <v>731</v>
      </c>
      <c r="E311">
        <v>0</v>
      </c>
      <c r="F311" t="s">
        <v>732</v>
      </c>
    </row>
    <row r="312" spans="1:6" ht="28">
      <c r="A312" s="11">
        <v>311</v>
      </c>
      <c r="B312" s="19" t="s">
        <v>603</v>
      </c>
      <c r="C312" t="s">
        <v>511</v>
      </c>
      <c r="D312" s="13" t="s">
        <v>733</v>
      </c>
      <c r="E312">
        <v>0</v>
      </c>
      <c r="F312" t="s">
        <v>734</v>
      </c>
    </row>
    <row r="313" spans="1:6" ht="42">
      <c r="A313" s="11">
        <v>312</v>
      </c>
      <c r="B313" s="19" t="s">
        <v>604</v>
      </c>
      <c r="C313" t="s">
        <v>511</v>
      </c>
      <c r="D313" s="13" t="s">
        <v>735</v>
      </c>
      <c r="E313">
        <v>0</v>
      </c>
      <c r="F313" t="s">
        <v>736</v>
      </c>
    </row>
    <row r="314" spans="1:6" ht="28">
      <c r="A314" s="11">
        <v>313</v>
      </c>
      <c r="B314" s="19" t="s">
        <v>605</v>
      </c>
      <c r="C314" t="s">
        <v>511</v>
      </c>
      <c r="D314" s="13" t="s">
        <v>737</v>
      </c>
      <c r="E314">
        <v>0</v>
      </c>
      <c r="F314" t="s">
        <v>738</v>
      </c>
    </row>
    <row r="315" spans="1:6" ht="42">
      <c r="A315" s="11">
        <v>314</v>
      </c>
      <c r="B315" s="19" t="s">
        <v>606</v>
      </c>
      <c r="C315" t="s">
        <v>511</v>
      </c>
      <c r="D315" s="13" t="s">
        <v>739</v>
      </c>
      <c r="E315">
        <v>0</v>
      </c>
      <c r="F315" t="s">
        <v>740</v>
      </c>
    </row>
    <row r="316" spans="1:6" ht="28">
      <c r="A316" s="11">
        <v>315</v>
      </c>
      <c r="B316" s="19" t="s">
        <v>499</v>
      </c>
      <c r="C316" t="s">
        <v>511</v>
      </c>
      <c r="D316" s="13" t="s">
        <v>741</v>
      </c>
      <c r="E316">
        <v>0</v>
      </c>
      <c r="F316" t="s">
        <v>742</v>
      </c>
    </row>
    <row r="317" spans="1:6" ht="42">
      <c r="A317" s="11">
        <v>316</v>
      </c>
      <c r="B317" s="19" t="s">
        <v>607</v>
      </c>
      <c r="C317" t="s">
        <v>511</v>
      </c>
      <c r="D317" s="13" t="s">
        <v>743</v>
      </c>
      <c r="E317">
        <v>0</v>
      </c>
      <c r="F317" t="s">
        <v>744</v>
      </c>
    </row>
    <row r="318" spans="1:6" ht="42">
      <c r="A318" s="11">
        <v>317</v>
      </c>
      <c r="B318" s="19" t="s">
        <v>608</v>
      </c>
      <c r="C318" t="s">
        <v>511</v>
      </c>
      <c r="D318" s="13" t="s">
        <v>745</v>
      </c>
      <c r="E318">
        <v>0</v>
      </c>
      <c r="F318" t="s">
        <v>746</v>
      </c>
    </row>
    <row r="319" spans="1:6">
      <c r="A319" s="11">
        <v>318</v>
      </c>
      <c r="B319" s="19" t="s">
        <v>609</v>
      </c>
      <c r="C319" t="s">
        <v>511</v>
      </c>
      <c r="D319" s="13" t="s">
        <v>747</v>
      </c>
      <c r="E319">
        <v>0</v>
      </c>
      <c r="F319" t="s">
        <v>748</v>
      </c>
    </row>
    <row r="320" spans="1:6">
      <c r="A320" s="11">
        <v>319</v>
      </c>
      <c r="B320" s="19" t="s">
        <v>610</v>
      </c>
      <c r="C320" t="s">
        <v>511</v>
      </c>
      <c r="D320" s="13" t="s">
        <v>749</v>
      </c>
      <c r="E320">
        <v>0</v>
      </c>
      <c r="F320" t="s">
        <v>750</v>
      </c>
    </row>
    <row r="321" spans="1:6">
      <c r="A321" s="11">
        <v>320</v>
      </c>
      <c r="B321" s="19" t="s">
        <v>611</v>
      </c>
      <c r="C321" t="s">
        <v>511</v>
      </c>
      <c r="D321" s="13" t="s">
        <v>751</v>
      </c>
      <c r="E321">
        <v>0</v>
      </c>
      <c r="F321" t="s">
        <v>752</v>
      </c>
    </row>
    <row r="322" spans="1:6">
      <c r="A322" s="11">
        <v>321</v>
      </c>
      <c r="B322" s="19" t="s">
        <v>612</v>
      </c>
      <c r="C322" t="s">
        <v>511</v>
      </c>
      <c r="D322" s="13" t="s">
        <v>753</v>
      </c>
      <c r="E322">
        <v>0</v>
      </c>
      <c r="F322" t="s">
        <v>754</v>
      </c>
    </row>
    <row r="323" spans="1:6">
      <c r="A323" s="11">
        <v>322</v>
      </c>
      <c r="B323" s="19" t="s">
        <v>613</v>
      </c>
      <c r="C323" t="s">
        <v>511</v>
      </c>
      <c r="D323" s="13" t="s">
        <v>755</v>
      </c>
      <c r="E323">
        <v>0</v>
      </c>
      <c r="F323" t="s">
        <v>756</v>
      </c>
    </row>
    <row r="324" spans="1:6">
      <c r="A324" s="11">
        <v>323</v>
      </c>
      <c r="B324" s="12" t="s">
        <v>203</v>
      </c>
      <c r="C324" t="s">
        <v>511</v>
      </c>
      <c r="D324" s="13" t="s">
        <v>757</v>
      </c>
      <c r="E324">
        <v>0</v>
      </c>
      <c r="F324" t="s">
        <v>758</v>
      </c>
    </row>
    <row r="325" spans="1:6">
      <c r="A325" s="11">
        <v>324</v>
      </c>
      <c r="B325" s="19" t="s">
        <v>614</v>
      </c>
      <c r="C325" t="s">
        <v>511</v>
      </c>
      <c r="D325" s="13" t="s">
        <v>757</v>
      </c>
      <c r="E325">
        <v>0</v>
      </c>
      <c r="F325" t="s">
        <v>759</v>
      </c>
    </row>
    <row r="326" spans="1:6">
      <c r="A326" s="11">
        <v>325</v>
      </c>
      <c r="B326" s="19" t="s">
        <v>615</v>
      </c>
      <c r="C326" t="s">
        <v>511</v>
      </c>
      <c r="D326" s="13" t="s">
        <v>760</v>
      </c>
      <c r="E326">
        <v>0</v>
      </c>
      <c r="F326" t="s">
        <v>761</v>
      </c>
    </row>
    <row r="327" spans="1:6">
      <c r="A327" s="11">
        <v>326</v>
      </c>
      <c r="B327" s="19" t="s">
        <v>616</v>
      </c>
      <c r="C327" t="s">
        <v>511</v>
      </c>
      <c r="D327" s="13" t="s">
        <v>762</v>
      </c>
      <c r="E327">
        <v>0</v>
      </c>
      <c r="F327" t="s">
        <v>763</v>
      </c>
    </row>
    <row r="328" spans="1:6">
      <c r="A328" s="11">
        <v>327</v>
      </c>
      <c r="B328" s="19" t="s">
        <v>617</v>
      </c>
      <c r="C328" t="s">
        <v>511</v>
      </c>
      <c r="D328" s="13" t="s">
        <v>764</v>
      </c>
      <c r="E328">
        <v>0</v>
      </c>
      <c r="F328" t="s">
        <v>765</v>
      </c>
    </row>
    <row r="329" spans="1:6">
      <c r="A329" s="11">
        <v>328</v>
      </c>
      <c r="B329" s="19" t="s">
        <v>618</v>
      </c>
      <c r="C329" t="s">
        <v>511</v>
      </c>
      <c r="D329" s="13" t="s">
        <v>766</v>
      </c>
      <c r="E329">
        <v>0</v>
      </c>
      <c r="F329" t="s">
        <v>767</v>
      </c>
    </row>
    <row r="330" spans="1:6">
      <c r="A330" s="11">
        <v>329</v>
      </c>
      <c r="B330" s="19" t="s">
        <v>619</v>
      </c>
      <c r="C330" t="s">
        <v>511</v>
      </c>
      <c r="D330" s="13" t="s">
        <v>768</v>
      </c>
      <c r="E330">
        <v>0</v>
      </c>
      <c r="F330" t="s">
        <v>769</v>
      </c>
    </row>
    <row r="331" spans="1:6">
      <c r="A331" s="11">
        <v>330</v>
      </c>
      <c r="B331" s="12" t="s">
        <v>620</v>
      </c>
      <c r="C331" t="s">
        <v>511</v>
      </c>
      <c r="D331" s="13" t="s">
        <v>770</v>
      </c>
      <c r="E331">
        <v>0</v>
      </c>
      <c r="F331" t="s">
        <v>771</v>
      </c>
    </row>
    <row r="332" spans="1:6">
      <c r="A332" s="11">
        <v>331</v>
      </c>
      <c r="B332" s="14" t="s">
        <v>621</v>
      </c>
      <c r="D332" s="13"/>
    </row>
    <row r="333" spans="1:6">
      <c r="A333" s="11">
        <v>332</v>
      </c>
      <c r="B333" s="18" t="s">
        <v>622</v>
      </c>
      <c r="D333" s="13"/>
    </row>
    <row r="334" spans="1:6">
      <c r="A334" s="11">
        <v>333</v>
      </c>
      <c r="B334" s="17" t="s">
        <v>851</v>
      </c>
      <c r="C334" t="s">
        <v>807</v>
      </c>
      <c r="D334" s="13" t="s">
        <v>852</v>
      </c>
      <c r="E334">
        <v>0</v>
      </c>
    </row>
    <row r="335" spans="1:6">
      <c r="A335" s="11">
        <v>334</v>
      </c>
      <c r="B335" s="18" t="s">
        <v>623</v>
      </c>
      <c r="D335" s="13"/>
    </row>
    <row r="336" spans="1:6">
      <c r="A336" s="11">
        <v>335</v>
      </c>
      <c r="B336" s="17" t="s">
        <v>853</v>
      </c>
      <c r="C336" t="s">
        <v>807</v>
      </c>
      <c r="D336" s="13" t="s">
        <v>854</v>
      </c>
      <c r="E336">
        <v>0</v>
      </c>
    </row>
    <row r="337" spans="1:6">
      <c r="A337" s="11">
        <v>336</v>
      </c>
      <c r="B337" s="14" t="s">
        <v>624</v>
      </c>
      <c r="D337" s="13"/>
    </row>
    <row r="338" spans="1:6">
      <c r="A338" s="11">
        <v>337</v>
      </c>
      <c r="B338" s="18" t="s">
        <v>625</v>
      </c>
      <c r="D338" s="13"/>
    </row>
    <row r="339" spans="1:6">
      <c r="A339" s="11">
        <v>338</v>
      </c>
      <c r="B339" s="17" t="s">
        <v>855</v>
      </c>
      <c r="C339" t="s">
        <v>807</v>
      </c>
      <c r="D339" s="13" t="s">
        <v>856</v>
      </c>
      <c r="E339">
        <v>0</v>
      </c>
    </row>
    <row r="340" spans="1:6">
      <c r="A340" s="11">
        <v>339</v>
      </c>
      <c r="B340" s="12" t="s">
        <v>626</v>
      </c>
      <c r="C340" t="s">
        <v>511</v>
      </c>
      <c r="D340" s="13" t="s">
        <v>772</v>
      </c>
      <c r="E340">
        <v>0</v>
      </c>
      <c r="F340" t="s">
        <v>773</v>
      </c>
    </row>
    <row r="341" spans="1:6">
      <c r="A341" s="11">
        <v>340</v>
      </c>
      <c r="B341" s="14" t="s">
        <v>627</v>
      </c>
      <c r="D341" s="13"/>
    </row>
    <row r="342" spans="1:6">
      <c r="A342" s="11">
        <v>341</v>
      </c>
      <c r="B342" s="18" t="s">
        <v>628</v>
      </c>
      <c r="D342" s="13"/>
    </row>
    <row r="343" spans="1:6" ht="28">
      <c r="A343" s="11">
        <v>342</v>
      </c>
      <c r="B343" s="17" t="s">
        <v>857</v>
      </c>
      <c r="C343" t="s">
        <v>807</v>
      </c>
      <c r="D343" s="13" t="s">
        <v>858</v>
      </c>
      <c r="E343">
        <v>0</v>
      </c>
    </row>
    <row r="344" spans="1:6" ht="42">
      <c r="A344" s="11">
        <v>343</v>
      </c>
      <c r="B344" s="17" t="s">
        <v>859</v>
      </c>
      <c r="C344" t="s">
        <v>807</v>
      </c>
      <c r="D344" s="13" t="s">
        <v>860</v>
      </c>
      <c r="E344">
        <v>0</v>
      </c>
    </row>
    <row r="345" spans="1:6">
      <c r="A345" s="11">
        <v>344</v>
      </c>
      <c r="B345" s="17" t="s">
        <v>861</v>
      </c>
      <c r="C345" t="s">
        <v>807</v>
      </c>
      <c r="D345" s="13" t="s">
        <v>862</v>
      </c>
      <c r="E345">
        <v>0</v>
      </c>
    </row>
    <row r="346" spans="1:6">
      <c r="A346" s="11">
        <v>345</v>
      </c>
      <c r="B346" s="17" t="s">
        <v>863</v>
      </c>
      <c r="C346" t="s">
        <v>807</v>
      </c>
      <c r="D346" s="13" t="s">
        <v>864</v>
      </c>
      <c r="E346">
        <v>0</v>
      </c>
    </row>
    <row r="347" spans="1:6">
      <c r="A347" s="11">
        <v>346</v>
      </c>
      <c r="B347" s="17" t="s">
        <v>865</v>
      </c>
      <c r="C347" t="s">
        <v>807</v>
      </c>
      <c r="D347" s="13" t="s">
        <v>866</v>
      </c>
      <c r="E347">
        <v>0</v>
      </c>
    </row>
    <row r="348" spans="1:6">
      <c r="A348" s="11">
        <v>347</v>
      </c>
      <c r="B348" s="18" t="s">
        <v>629</v>
      </c>
      <c r="D348" s="13"/>
    </row>
    <row r="349" spans="1:6">
      <c r="A349" s="11">
        <v>348</v>
      </c>
      <c r="B349" s="17" t="s">
        <v>867</v>
      </c>
      <c r="C349" t="s">
        <v>807</v>
      </c>
      <c r="D349" s="13" t="s">
        <v>868</v>
      </c>
      <c r="E349">
        <v>0</v>
      </c>
    </row>
    <row r="350" spans="1:6">
      <c r="A350" s="11">
        <v>349</v>
      </c>
      <c r="B350" s="17" t="s">
        <v>869</v>
      </c>
      <c r="C350" t="s">
        <v>807</v>
      </c>
      <c r="D350" s="13" t="s">
        <v>870</v>
      </c>
      <c r="E350">
        <v>0</v>
      </c>
    </row>
    <row r="351" spans="1:6" ht="28">
      <c r="A351" s="11">
        <v>350</v>
      </c>
      <c r="B351" s="17" t="s">
        <v>871</v>
      </c>
      <c r="C351" t="s">
        <v>807</v>
      </c>
      <c r="D351" s="13" t="s">
        <v>872</v>
      </c>
      <c r="E351">
        <v>0</v>
      </c>
    </row>
    <row r="352" spans="1:6">
      <c r="A352" s="11">
        <v>351</v>
      </c>
      <c r="B352" s="14" t="s">
        <v>630</v>
      </c>
      <c r="D352" s="13"/>
    </row>
    <row r="353" spans="1:6">
      <c r="A353" s="11">
        <v>352</v>
      </c>
      <c r="B353" s="15" t="s">
        <v>873</v>
      </c>
      <c r="C353" t="s">
        <v>807</v>
      </c>
      <c r="D353" s="13" t="s">
        <v>415</v>
      </c>
      <c r="E353">
        <v>0</v>
      </c>
    </row>
    <row r="354" spans="1:6">
      <c r="A354" s="11">
        <v>353</v>
      </c>
      <c r="B354" s="12" t="s">
        <v>631</v>
      </c>
      <c r="C354" t="s">
        <v>511</v>
      </c>
      <c r="D354" s="13" t="s">
        <v>774</v>
      </c>
      <c r="E354">
        <v>0</v>
      </c>
      <c r="F354" t="s">
        <v>775</v>
      </c>
    </row>
    <row r="355" spans="1:6">
      <c r="A355" s="11">
        <v>354</v>
      </c>
      <c r="B355" s="12" t="s">
        <v>632</v>
      </c>
      <c r="C355" t="s">
        <v>511</v>
      </c>
      <c r="D355" s="13" t="s">
        <v>776</v>
      </c>
      <c r="E355">
        <v>0</v>
      </c>
      <c r="F355" t="s">
        <v>777</v>
      </c>
    </row>
    <row r="356" spans="1:6">
      <c r="A356" s="11">
        <v>355</v>
      </c>
      <c r="B356" s="14" t="s">
        <v>633</v>
      </c>
      <c r="D356" s="13"/>
    </row>
    <row r="357" spans="1:6">
      <c r="A357" s="11">
        <v>356</v>
      </c>
      <c r="B357" s="15" t="s">
        <v>634</v>
      </c>
      <c r="C357" t="s">
        <v>511</v>
      </c>
      <c r="D357" s="13" t="s">
        <v>802</v>
      </c>
      <c r="E357">
        <v>0</v>
      </c>
      <c r="F357" t="s">
        <v>803</v>
      </c>
    </row>
    <row r="358" spans="1:6">
      <c r="A358" s="11">
        <v>357</v>
      </c>
      <c r="B358" s="19" t="s">
        <v>635</v>
      </c>
      <c r="C358" t="s">
        <v>511</v>
      </c>
      <c r="D358" s="13" t="s">
        <v>778</v>
      </c>
      <c r="E358">
        <v>0</v>
      </c>
      <c r="F358" t="s">
        <v>779</v>
      </c>
    </row>
    <row r="359" spans="1:6">
      <c r="A359" s="11">
        <v>358</v>
      </c>
      <c r="B359" s="18" t="s">
        <v>636</v>
      </c>
      <c r="D359" s="13"/>
    </row>
    <row r="360" spans="1:6">
      <c r="A360" s="11">
        <v>359</v>
      </c>
      <c r="B360" s="21" t="s">
        <v>922</v>
      </c>
      <c r="C360" t="s">
        <v>807</v>
      </c>
      <c r="D360" s="13" t="s">
        <v>923</v>
      </c>
      <c r="E360">
        <v>0</v>
      </c>
    </row>
    <row r="361" spans="1:6">
      <c r="A361" s="11">
        <v>360</v>
      </c>
      <c r="B361" s="21" t="s">
        <v>924</v>
      </c>
      <c r="C361" t="s">
        <v>807</v>
      </c>
      <c r="D361" s="13" t="s">
        <v>925</v>
      </c>
      <c r="E361">
        <v>0</v>
      </c>
    </row>
    <row r="362" spans="1:6">
      <c r="A362" s="11">
        <v>361</v>
      </c>
      <c r="B362" s="21" t="s">
        <v>926</v>
      </c>
      <c r="C362" t="s">
        <v>807</v>
      </c>
      <c r="D362" s="13" t="s">
        <v>927</v>
      </c>
      <c r="E362">
        <v>0</v>
      </c>
    </row>
    <row r="363" spans="1:6">
      <c r="A363" s="11">
        <v>362</v>
      </c>
      <c r="B363" s="19" t="s">
        <v>637</v>
      </c>
      <c r="C363" t="s">
        <v>511</v>
      </c>
      <c r="D363" s="13" t="s">
        <v>783</v>
      </c>
      <c r="E363">
        <v>0</v>
      </c>
      <c r="F363" t="s">
        <v>784</v>
      </c>
    </row>
    <row r="364" spans="1:6">
      <c r="A364" s="11">
        <v>363</v>
      </c>
      <c r="B364" s="19" t="s">
        <v>638</v>
      </c>
      <c r="C364" t="s">
        <v>511</v>
      </c>
      <c r="D364" s="13" t="s">
        <v>785</v>
      </c>
      <c r="E364">
        <v>0</v>
      </c>
      <c r="F364" t="s">
        <v>786</v>
      </c>
    </row>
    <row r="365" spans="1:6">
      <c r="A365" s="11">
        <v>364</v>
      </c>
      <c r="B365" s="19" t="s">
        <v>639</v>
      </c>
      <c r="C365" t="s">
        <v>511</v>
      </c>
      <c r="D365" s="13" t="s">
        <v>787</v>
      </c>
      <c r="E365">
        <v>0</v>
      </c>
      <c r="F365" t="s">
        <v>756</v>
      </c>
    </row>
    <row r="366" spans="1:6">
      <c r="A366" s="11">
        <v>365</v>
      </c>
      <c r="B366" s="12" t="s">
        <v>491</v>
      </c>
      <c r="C366" t="s">
        <v>511</v>
      </c>
      <c r="D366" s="13" t="s">
        <v>788</v>
      </c>
      <c r="E366">
        <v>0</v>
      </c>
      <c r="F366" t="s">
        <v>789</v>
      </c>
    </row>
    <row r="367" spans="1:6">
      <c r="A367" s="11">
        <v>366</v>
      </c>
      <c r="B367" s="19" t="s">
        <v>492</v>
      </c>
      <c r="C367" t="s">
        <v>511</v>
      </c>
      <c r="D367" s="13" t="s">
        <v>790</v>
      </c>
      <c r="E367">
        <v>0</v>
      </c>
      <c r="F367" t="s">
        <v>791</v>
      </c>
    </row>
    <row r="368" spans="1:6">
      <c r="A368" s="11">
        <v>367</v>
      </c>
      <c r="B368" s="20" t="s">
        <v>550</v>
      </c>
      <c r="C368" t="s">
        <v>596</v>
      </c>
      <c r="D368" s="13" t="s">
        <v>411</v>
      </c>
      <c r="E368">
        <v>2</v>
      </c>
      <c r="F368" t="s">
        <v>1044</v>
      </c>
    </row>
    <row r="369" spans="1:6">
      <c r="A369" s="11">
        <v>368</v>
      </c>
      <c r="B369" s="20" t="s">
        <v>583</v>
      </c>
      <c r="C369" t="s">
        <v>596</v>
      </c>
      <c r="D369" s="13" t="s">
        <v>410</v>
      </c>
      <c r="E369">
        <v>2</v>
      </c>
      <c r="F369" t="s">
        <v>1034</v>
      </c>
    </row>
    <row r="370" spans="1:6">
      <c r="A370" s="11">
        <v>369</v>
      </c>
      <c r="B370" s="20" t="s">
        <v>444</v>
      </c>
      <c r="C370" t="s">
        <v>596</v>
      </c>
      <c r="D370" s="13" t="s">
        <v>446</v>
      </c>
      <c r="E370">
        <v>2</v>
      </c>
      <c r="F370" t="s">
        <v>1040</v>
      </c>
    </row>
    <row r="371" spans="1:6">
      <c r="A371" s="11">
        <v>370</v>
      </c>
      <c r="B371" s="20" t="s">
        <v>640</v>
      </c>
      <c r="C371" t="s">
        <v>596</v>
      </c>
      <c r="D371" s="16" t="s">
        <v>380</v>
      </c>
      <c r="E371">
        <v>2</v>
      </c>
      <c r="F371" t="s">
        <v>1052</v>
      </c>
    </row>
    <row r="372" spans="1:6">
      <c r="A372" s="11">
        <v>371</v>
      </c>
      <c r="B372" s="19" t="s">
        <v>641</v>
      </c>
      <c r="C372" t="s">
        <v>511</v>
      </c>
      <c r="D372" s="13" t="s">
        <v>792</v>
      </c>
      <c r="E372">
        <v>0</v>
      </c>
      <c r="F372" t="s">
        <v>793</v>
      </c>
    </row>
    <row r="373" spans="1:6">
      <c r="A373" s="11">
        <v>372</v>
      </c>
      <c r="B373" s="20" t="s">
        <v>509</v>
      </c>
      <c r="C373" t="s">
        <v>596</v>
      </c>
      <c r="D373" s="13" t="s">
        <v>388</v>
      </c>
      <c r="E373">
        <v>0</v>
      </c>
      <c r="F373" t="s">
        <v>961</v>
      </c>
    </row>
    <row r="374" spans="1:6">
      <c r="A374" s="11">
        <v>373</v>
      </c>
      <c r="B374" s="20" t="s">
        <v>444</v>
      </c>
      <c r="C374" t="s">
        <v>596</v>
      </c>
      <c r="D374" s="13" t="s">
        <v>446</v>
      </c>
      <c r="E374">
        <v>2</v>
      </c>
      <c r="F374" t="s">
        <v>1040</v>
      </c>
    </row>
    <row r="375" spans="1:6">
      <c r="A375" s="11">
        <v>374</v>
      </c>
      <c r="B375" s="20" t="s">
        <v>476</v>
      </c>
      <c r="C375" t="s">
        <v>596</v>
      </c>
      <c r="D375" s="13" t="s">
        <v>391</v>
      </c>
      <c r="E375">
        <v>2</v>
      </c>
      <c r="F375" t="s">
        <v>969</v>
      </c>
    </row>
    <row r="376" spans="1:6">
      <c r="A376" s="11">
        <v>375</v>
      </c>
      <c r="B376" s="20" t="s">
        <v>528</v>
      </c>
      <c r="C376" t="s">
        <v>596</v>
      </c>
      <c r="D376" s="13" t="s">
        <v>389</v>
      </c>
      <c r="E376">
        <v>1</v>
      </c>
      <c r="F376" t="s">
        <v>964</v>
      </c>
    </row>
    <row r="377" spans="1:6">
      <c r="A377" s="11">
        <v>376</v>
      </c>
      <c r="B377" s="20" t="s">
        <v>478</v>
      </c>
      <c r="C377" t="s">
        <v>596</v>
      </c>
      <c r="D377" s="13" t="s">
        <v>385</v>
      </c>
      <c r="E377">
        <v>2</v>
      </c>
      <c r="F377" t="s">
        <v>953</v>
      </c>
    </row>
    <row r="378" spans="1:6">
      <c r="A378" s="11">
        <v>377</v>
      </c>
      <c r="B378" s="20" t="s">
        <v>479</v>
      </c>
      <c r="C378" t="s">
        <v>596</v>
      </c>
      <c r="D378" s="13" t="s">
        <v>392</v>
      </c>
      <c r="E378">
        <v>2</v>
      </c>
      <c r="F378" t="s">
        <v>970</v>
      </c>
    </row>
    <row r="379" spans="1:6">
      <c r="A379" s="11">
        <v>378</v>
      </c>
      <c r="B379" s="20" t="s">
        <v>642</v>
      </c>
      <c r="C379" t="s">
        <v>807</v>
      </c>
      <c r="D379" s="13" t="s">
        <v>928</v>
      </c>
      <c r="E379">
        <v>0</v>
      </c>
    </row>
    <row r="380" spans="1:6">
      <c r="A380" s="11">
        <v>379</v>
      </c>
      <c r="B380" s="19" t="s">
        <v>493</v>
      </c>
      <c r="C380" t="s">
        <v>511</v>
      </c>
      <c r="D380" s="13" t="s">
        <v>794</v>
      </c>
      <c r="E380">
        <v>0</v>
      </c>
      <c r="F380" t="s">
        <v>795</v>
      </c>
    </row>
    <row r="381" spans="1:6">
      <c r="A381" s="11">
        <v>380</v>
      </c>
      <c r="B381" s="15" t="s">
        <v>643</v>
      </c>
      <c r="C381" t="s">
        <v>807</v>
      </c>
      <c r="D381" s="13" t="s">
        <v>929</v>
      </c>
      <c r="E381">
        <v>0</v>
      </c>
    </row>
    <row r="382" spans="1:6">
      <c r="A382" s="11">
        <v>381</v>
      </c>
      <c r="B382" s="15" t="s">
        <v>644</v>
      </c>
      <c r="C382" t="s">
        <v>807</v>
      </c>
      <c r="D382" s="13" t="s">
        <v>930</v>
      </c>
      <c r="E382">
        <v>0</v>
      </c>
    </row>
    <row r="383" spans="1:6">
      <c r="A383" s="11">
        <v>382</v>
      </c>
      <c r="B383" s="20" t="s">
        <v>645</v>
      </c>
      <c r="C383" t="s">
        <v>511</v>
      </c>
      <c r="D383" s="16" t="s">
        <v>679</v>
      </c>
      <c r="E383">
        <v>0</v>
      </c>
      <c r="F383" t="s">
        <v>680</v>
      </c>
    </row>
    <row r="384" spans="1:6">
      <c r="A384" s="11">
        <v>383</v>
      </c>
      <c r="B384" s="20" t="s">
        <v>646</v>
      </c>
      <c r="C384" t="s">
        <v>511</v>
      </c>
      <c r="D384" s="13" t="s">
        <v>693</v>
      </c>
      <c r="E384">
        <v>0</v>
      </c>
      <c r="F384" t="s">
        <v>694</v>
      </c>
    </row>
    <row r="385" spans="1:6">
      <c r="A385" s="11">
        <v>384</v>
      </c>
      <c r="B385" s="19" t="s">
        <v>647</v>
      </c>
      <c r="C385" t="s">
        <v>511</v>
      </c>
      <c r="D385" s="13" t="s">
        <v>796</v>
      </c>
      <c r="E385">
        <v>0</v>
      </c>
      <c r="F385" t="s">
        <v>797</v>
      </c>
    </row>
    <row r="386" spans="1:6">
      <c r="A386" s="11">
        <v>385</v>
      </c>
      <c r="B386" s="20" t="s">
        <v>192</v>
      </c>
      <c r="C386" t="s">
        <v>596</v>
      </c>
      <c r="D386" s="16" t="s">
        <v>380</v>
      </c>
      <c r="E386">
        <v>2</v>
      </c>
      <c r="F386" t="s">
        <v>1052</v>
      </c>
    </row>
    <row r="387" spans="1:6">
      <c r="A387" s="11">
        <v>386</v>
      </c>
      <c r="B387" s="20" t="s">
        <v>471</v>
      </c>
      <c r="C387" t="s">
        <v>596</v>
      </c>
      <c r="D387" s="16" t="s">
        <v>381</v>
      </c>
      <c r="E387">
        <v>2</v>
      </c>
      <c r="F387" t="s">
        <v>1055</v>
      </c>
    </row>
    <row r="388" spans="1:6">
      <c r="A388" s="11">
        <v>387</v>
      </c>
      <c r="B388" s="20" t="s">
        <v>472</v>
      </c>
      <c r="C388" t="s">
        <v>596</v>
      </c>
      <c r="D388" s="13" t="s">
        <v>384</v>
      </c>
      <c r="E388">
        <v>0</v>
      </c>
      <c r="F388" t="s">
        <v>995</v>
      </c>
    </row>
    <row r="389" spans="1:6">
      <c r="A389" s="11">
        <v>388</v>
      </c>
      <c r="B389" s="20" t="s">
        <v>931</v>
      </c>
      <c r="C389" t="s">
        <v>807</v>
      </c>
      <c r="D389" s="13" t="s">
        <v>932</v>
      </c>
      <c r="E389">
        <v>0</v>
      </c>
    </row>
    <row r="390" spans="1:6" ht="28">
      <c r="A390" s="11">
        <v>389</v>
      </c>
      <c r="B390" s="20" t="s">
        <v>933</v>
      </c>
      <c r="C390" t="s">
        <v>807</v>
      </c>
      <c r="D390" s="13" t="s">
        <v>934</v>
      </c>
      <c r="E390">
        <v>0</v>
      </c>
    </row>
    <row r="391" spans="1:6">
      <c r="A391" s="11">
        <v>390</v>
      </c>
      <c r="B391" s="20" t="s">
        <v>935</v>
      </c>
      <c r="C391" t="s">
        <v>807</v>
      </c>
      <c r="D391" s="13" t="s">
        <v>936</v>
      </c>
      <c r="E391">
        <v>0</v>
      </c>
    </row>
    <row r="392" spans="1:6" ht="28">
      <c r="A392" s="11">
        <v>391</v>
      </c>
      <c r="B392" s="20" t="s">
        <v>937</v>
      </c>
      <c r="C392" t="s">
        <v>807</v>
      </c>
      <c r="D392" s="13" t="s">
        <v>938</v>
      </c>
      <c r="E392">
        <v>0</v>
      </c>
    </row>
    <row r="393" spans="1:6" ht="28">
      <c r="A393" s="11">
        <v>392</v>
      </c>
      <c r="B393" s="20" t="s">
        <v>939</v>
      </c>
      <c r="C393" t="s">
        <v>807</v>
      </c>
      <c r="D393" s="13" t="s">
        <v>940</v>
      </c>
      <c r="E393">
        <v>0</v>
      </c>
    </row>
    <row r="394" spans="1:6">
      <c r="A394" s="11">
        <v>393</v>
      </c>
      <c r="B394" s="19" t="s">
        <v>648</v>
      </c>
      <c r="C394" t="s">
        <v>511</v>
      </c>
      <c r="D394" s="13" t="s">
        <v>798</v>
      </c>
      <c r="E394">
        <v>0</v>
      </c>
      <c r="F394" t="s">
        <v>799</v>
      </c>
    </row>
    <row r="395" spans="1:6">
      <c r="A395" s="11">
        <v>394</v>
      </c>
      <c r="B395" s="20" t="s">
        <v>941</v>
      </c>
      <c r="C395" t="s">
        <v>807</v>
      </c>
      <c r="D395" s="13" t="s">
        <v>942</v>
      </c>
      <c r="E395">
        <v>0</v>
      </c>
    </row>
    <row r="396" spans="1:6">
      <c r="A396" s="11">
        <v>395</v>
      </c>
      <c r="B396" s="20" t="s">
        <v>943</v>
      </c>
      <c r="C396" t="s">
        <v>807</v>
      </c>
      <c r="D396" s="13" t="s">
        <v>944</v>
      </c>
      <c r="E396">
        <v>0</v>
      </c>
    </row>
    <row r="397" spans="1:6">
      <c r="A397" s="11">
        <v>396</v>
      </c>
      <c r="B397" s="20" t="s">
        <v>945</v>
      </c>
      <c r="C397" t="s">
        <v>807</v>
      </c>
      <c r="D397" s="13" t="s">
        <v>946</v>
      </c>
      <c r="E397">
        <v>0</v>
      </c>
    </row>
    <row r="398" spans="1:6">
      <c r="A398" s="11">
        <v>397</v>
      </c>
      <c r="B398" s="20" t="s">
        <v>947</v>
      </c>
      <c r="C398" t="s">
        <v>807</v>
      </c>
      <c r="D398" s="13" t="s">
        <v>948</v>
      </c>
      <c r="E398">
        <v>0</v>
      </c>
    </row>
    <row r="399" spans="1:6">
      <c r="A399" s="11">
        <v>398</v>
      </c>
      <c r="B399" s="20" t="s">
        <v>949</v>
      </c>
      <c r="C399" t="s">
        <v>807</v>
      </c>
      <c r="D399" s="13" t="s">
        <v>950</v>
      </c>
      <c r="E399">
        <v>0</v>
      </c>
    </row>
    <row r="400" spans="1:6">
      <c r="A400" s="11">
        <v>399</v>
      </c>
      <c r="B400" s="20" t="s">
        <v>645</v>
      </c>
      <c r="C400" t="s">
        <v>511</v>
      </c>
      <c r="D400" s="13" t="s">
        <v>679</v>
      </c>
      <c r="E400">
        <v>0</v>
      </c>
      <c r="F400" t="s">
        <v>680</v>
      </c>
    </row>
    <row r="401" spans="1:6">
      <c r="A401" s="11">
        <v>400</v>
      </c>
      <c r="B401" s="20" t="s">
        <v>646</v>
      </c>
      <c r="C401" t="s">
        <v>511</v>
      </c>
      <c r="D401" s="13" t="s">
        <v>693</v>
      </c>
      <c r="E401">
        <v>0</v>
      </c>
      <c r="F401" t="s">
        <v>694</v>
      </c>
    </row>
    <row r="402" spans="1:6">
      <c r="A402" s="11">
        <v>401</v>
      </c>
      <c r="B402" s="12" t="s">
        <v>649</v>
      </c>
      <c r="C402" t="s">
        <v>511</v>
      </c>
      <c r="D402" s="13" t="s">
        <v>800</v>
      </c>
      <c r="E402">
        <v>0</v>
      </c>
      <c r="F402" t="s">
        <v>801</v>
      </c>
    </row>
    <row r="403" spans="1:6">
      <c r="A403" s="11">
        <v>402</v>
      </c>
      <c r="B403" s="12" t="s">
        <v>650</v>
      </c>
      <c r="C403" t="s">
        <v>511</v>
      </c>
      <c r="D403" s="13" t="s">
        <v>802</v>
      </c>
      <c r="E403">
        <v>0</v>
      </c>
      <c r="F403" t="s">
        <v>803</v>
      </c>
    </row>
    <row r="404" spans="1:6">
      <c r="A404" s="11">
        <v>403</v>
      </c>
      <c r="B404" s="12" t="s">
        <v>651</v>
      </c>
      <c r="C404" t="s">
        <v>511</v>
      </c>
      <c r="D404" s="13" t="s">
        <v>804</v>
      </c>
      <c r="E404">
        <v>0</v>
      </c>
      <c r="F404" t="s">
        <v>805</v>
      </c>
    </row>
    <row r="405" spans="1:6">
      <c r="A405" s="11">
        <v>404</v>
      </c>
      <c r="B405" s="25" t="s">
        <v>652</v>
      </c>
      <c r="C405" t="s">
        <v>954</v>
      </c>
      <c r="D405" s="13" t="s">
        <v>1046</v>
      </c>
      <c r="E405">
        <v>1</v>
      </c>
      <c r="F405" t="s">
        <v>1047</v>
      </c>
    </row>
    <row r="406" spans="1:6">
      <c r="A406" s="11">
        <v>405</v>
      </c>
      <c r="B406" s="26" t="s">
        <v>653</v>
      </c>
      <c r="D406" s="13"/>
    </row>
    <row r="407" spans="1:6">
      <c r="A407" s="11">
        <v>406</v>
      </c>
      <c r="B407" s="27" t="s">
        <v>654</v>
      </c>
      <c r="C407" t="s">
        <v>954</v>
      </c>
      <c r="D407" s="13" t="s">
        <v>406</v>
      </c>
      <c r="E407">
        <v>1</v>
      </c>
      <c r="F407" t="s">
        <v>972</v>
      </c>
    </row>
    <row r="408" spans="1:6">
      <c r="A408" s="11">
        <v>407</v>
      </c>
      <c r="B408" s="27" t="s">
        <v>655</v>
      </c>
      <c r="D408" s="13" t="s">
        <v>416</v>
      </c>
      <c r="E408">
        <v>1</v>
      </c>
      <c r="F408" t="s">
        <v>955</v>
      </c>
    </row>
    <row r="409" spans="1:6">
      <c r="A409" s="11"/>
      <c r="B409" s="27" t="s">
        <v>656</v>
      </c>
      <c r="D409" s="13" t="s">
        <v>417</v>
      </c>
    </row>
    <row r="410" spans="1:6">
      <c r="A410" s="11"/>
      <c r="B410" s="27" t="s">
        <v>657</v>
      </c>
      <c r="D410" s="13" t="s">
        <v>418</v>
      </c>
    </row>
    <row r="411" spans="1:6">
      <c r="A411" s="11"/>
      <c r="B411" s="27" t="s">
        <v>658</v>
      </c>
      <c r="D411" s="13" t="s">
        <v>659</v>
      </c>
    </row>
    <row r="412" spans="1:6">
      <c r="A412" s="11"/>
      <c r="B412" s="27" t="s">
        <v>660</v>
      </c>
      <c r="D412" s="13" t="s">
        <v>391</v>
      </c>
    </row>
    <row r="413" spans="1:6">
      <c r="A413" s="11"/>
      <c r="B413" s="27" t="s">
        <v>661</v>
      </c>
      <c r="D413" s="13" t="s">
        <v>433</v>
      </c>
    </row>
    <row r="414" spans="1:6">
      <c r="A414" s="11"/>
      <c r="B414" s="27" t="s">
        <v>662</v>
      </c>
      <c r="D414" s="13" t="s">
        <v>437</v>
      </c>
    </row>
    <row r="415" spans="1:6">
      <c r="A415" s="11"/>
      <c r="B415" s="27" t="s">
        <v>663</v>
      </c>
      <c r="D415" s="13" t="s">
        <v>419</v>
      </c>
    </row>
    <row r="416" spans="1:6">
      <c r="A416" s="11"/>
      <c r="B416" s="27" t="s">
        <v>51</v>
      </c>
      <c r="D416" s="13" t="s">
        <v>385</v>
      </c>
    </row>
    <row r="417" spans="1:6">
      <c r="A417" s="11"/>
      <c r="B417" s="27" t="s">
        <v>664</v>
      </c>
      <c r="C417" t="s">
        <v>596</v>
      </c>
      <c r="D417" s="13" t="s">
        <v>394</v>
      </c>
    </row>
    <row r="418" spans="1:6">
      <c r="A418" s="11"/>
      <c r="B418" s="27" t="s">
        <v>665</v>
      </c>
      <c r="C418" t="s">
        <v>954</v>
      </c>
      <c r="D418" s="13" t="s">
        <v>386</v>
      </c>
    </row>
    <row r="419" spans="1:6">
      <c r="A419" s="11">
        <v>413</v>
      </c>
      <c r="B419" s="26" t="s">
        <v>666</v>
      </c>
      <c r="D419" s="13"/>
    </row>
    <row r="420" spans="1:6">
      <c r="A420" s="11">
        <v>414</v>
      </c>
      <c r="B420" s="28" t="s">
        <v>185</v>
      </c>
      <c r="C420" t="s">
        <v>511</v>
      </c>
      <c r="D420" s="13" t="s">
        <v>679</v>
      </c>
      <c r="E420">
        <v>0</v>
      </c>
      <c r="F420" t="s">
        <v>680</v>
      </c>
    </row>
    <row r="421" spans="1:6">
      <c r="A421" s="11">
        <v>415</v>
      </c>
      <c r="B421" s="28" t="s">
        <v>667</v>
      </c>
      <c r="C421" t="s">
        <v>511</v>
      </c>
      <c r="D421" s="13" t="s">
        <v>693</v>
      </c>
      <c r="E421">
        <v>0</v>
      </c>
      <c r="F421" t="s">
        <v>694</v>
      </c>
    </row>
    <row r="422" spans="1:6">
      <c r="A422" s="11">
        <v>416</v>
      </c>
      <c r="B422" s="28" t="s">
        <v>668</v>
      </c>
      <c r="C422" t="s">
        <v>511</v>
      </c>
      <c r="D422" s="13" t="s">
        <v>707</v>
      </c>
      <c r="E422">
        <v>0</v>
      </c>
      <c r="F422" t="s">
        <v>708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topLeftCell="D1" zoomScale="125" zoomScaleNormal="125" zoomScalePageLayoutView="125" workbookViewId="0">
      <selection activeCell="B15" sqref="B15"/>
    </sheetView>
  </sheetViews>
  <sheetFormatPr baseColWidth="10" defaultColWidth="8.83203125" defaultRowHeight="14" x14ac:dyDescent="0"/>
  <cols>
    <col min="2" max="2" width="68.5" customWidth="1"/>
    <col min="3" max="3" width="15.83203125" customWidth="1"/>
    <col min="4" max="4" width="19.1640625" customWidth="1"/>
    <col min="6" max="6" width="63.83203125" customWidth="1"/>
  </cols>
  <sheetData>
    <row r="1" spans="1:6" ht="20" thickBot="1">
      <c r="A1" s="8" t="s">
        <v>669</v>
      </c>
      <c r="B1" s="8" t="s">
        <v>465</v>
      </c>
      <c r="C1" s="8" t="s">
        <v>466</v>
      </c>
      <c r="D1" s="8" t="s">
        <v>379</v>
      </c>
      <c r="E1" s="8" t="s">
        <v>467</v>
      </c>
      <c r="F1" s="6" t="s">
        <v>468</v>
      </c>
    </row>
    <row r="2" spans="1:6" ht="15" thickTop="1">
      <c r="A2">
        <v>1</v>
      </c>
      <c r="B2" s="29" t="s">
        <v>676</v>
      </c>
      <c r="C2" t="s">
        <v>511</v>
      </c>
      <c r="D2" t="s">
        <v>677</v>
      </c>
      <c r="E2">
        <v>0</v>
      </c>
      <c r="F2" t="s">
        <v>678</v>
      </c>
    </row>
    <row r="3" spans="1:6">
      <c r="A3">
        <v>2</v>
      </c>
      <c r="B3" s="29" t="s">
        <v>501</v>
      </c>
      <c r="C3" t="s">
        <v>511</v>
      </c>
      <c r="D3" t="s">
        <v>679</v>
      </c>
      <c r="E3">
        <v>0</v>
      </c>
      <c r="F3" t="s">
        <v>680</v>
      </c>
    </row>
    <row r="4" spans="1:6">
      <c r="A4">
        <v>3</v>
      </c>
      <c r="B4" s="30" t="s">
        <v>502</v>
      </c>
      <c r="C4" t="s">
        <v>511</v>
      </c>
      <c r="D4" t="s">
        <v>681</v>
      </c>
      <c r="E4">
        <v>0</v>
      </c>
      <c r="F4" t="s">
        <v>682</v>
      </c>
    </row>
    <row r="5" spans="1:6">
      <c r="A5">
        <v>4</v>
      </c>
      <c r="B5" s="30" t="s">
        <v>178</v>
      </c>
      <c r="C5" t="s">
        <v>511</v>
      </c>
      <c r="D5" t="s">
        <v>683</v>
      </c>
      <c r="E5">
        <v>0</v>
      </c>
      <c r="F5" t="s">
        <v>684</v>
      </c>
    </row>
    <row r="6" spans="1:6">
      <c r="A6">
        <v>5</v>
      </c>
      <c r="B6" s="30" t="s">
        <v>164</v>
      </c>
      <c r="C6" t="s">
        <v>511</v>
      </c>
      <c r="D6" t="s">
        <v>685</v>
      </c>
      <c r="E6">
        <v>0</v>
      </c>
      <c r="F6" t="s">
        <v>686</v>
      </c>
    </row>
    <row r="7" spans="1:6">
      <c r="A7">
        <v>6</v>
      </c>
      <c r="B7" s="30" t="s">
        <v>498</v>
      </c>
      <c r="C7" t="s">
        <v>511</v>
      </c>
      <c r="D7" t="s">
        <v>687</v>
      </c>
      <c r="E7">
        <v>0</v>
      </c>
      <c r="F7" t="s">
        <v>688</v>
      </c>
    </row>
    <row r="8" spans="1:6">
      <c r="A8">
        <v>7</v>
      </c>
      <c r="B8" s="30" t="s">
        <v>499</v>
      </c>
      <c r="C8" t="s">
        <v>511</v>
      </c>
      <c r="D8" t="s">
        <v>512</v>
      </c>
      <c r="E8">
        <v>0</v>
      </c>
      <c r="F8" t="s">
        <v>513</v>
      </c>
    </row>
    <row r="9" spans="1:6">
      <c r="A9">
        <v>8</v>
      </c>
      <c r="B9" s="30" t="s">
        <v>79</v>
      </c>
      <c r="C9" t="s">
        <v>511</v>
      </c>
      <c r="D9" t="s">
        <v>689</v>
      </c>
      <c r="E9">
        <v>0</v>
      </c>
      <c r="F9" t="s">
        <v>690</v>
      </c>
    </row>
    <row r="10" spans="1:6">
      <c r="A10">
        <v>9</v>
      </c>
      <c r="B10" s="30" t="s">
        <v>500</v>
      </c>
      <c r="C10" t="s">
        <v>511</v>
      </c>
      <c r="D10" t="s">
        <v>691</v>
      </c>
      <c r="E10">
        <v>0</v>
      </c>
      <c r="F10" t="s">
        <v>692</v>
      </c>
    </row>
    <row r="11" spans="1:6">
      <c r="A11">
        <v>10</v>
      </c>
      <c r="B11" s="30" t="s">
        <v>670</v>
      </c>
      <c r="C11" t="s">
        <v>596</v>
      </c>
      <c r="D11" t="s">
        <v>380</v>
      </c>
      <c r="E11">
        <v>2</v>
      </c>
      <c r="F11" t="s">
        <v>1052</v>
      </c>
    </row>
    <row r="12" spans="1:6">
      <c r="A12">
        <v>11</v>
      </c>
      <c r="B12" s="30" t="s">
        <v>671</v>
      </c>
      <c r="C12" t="s">
        <v>596</v>
      </c>
      <c r="D12" t="s">
        <v>384</v>
      </c>
      <c r="E12">
        <v>0</v>
      </c>
      <c r="F12" t="s">
        <v>995</v>
      </c>
    </row>
    <row r="13" spans="1:6">
      <c r="A13">
        <v>12</v>
      </c>
      <c r="B13" s="29" t="s">
        <v>520</v>
      </c>
      <c r="C13" t="s">
        <v>511</v>
      </c>
      <c r="D13" t="s">
        <v>693</v>
      </c>
      <c r="E13">
        <v>0</v>
      </c>
      <c r="F13" t="s">
        <v>694</v>
      </c>
    </row>
    <row r="14" spans="1:6">
      <c r="A14">
        <v>13</v>
      </c>
      <c r="B14" s="30" t="s">
        <v>521</v>
      </c>
      <c r="C14" t="s">
        <v>511</v>
      </c>
      <c r="D14" t="s">
        <v>695</v>
      </c>
      <c r="E14">
        <v>0</v>
      </c>
      <c r="F14" t="s">
        <v>696</v>
      </c>
    </row>
    <row r="15" spans="1:6">
      <c r="A15">
        <v>14</v>
      </c>
      <c r="B15" s="30" t="s">
        <v>522</v>
      </c>
      <c r="C15" t="s">
        <v>511</v>
      </c>
      <c r="D15" t="s">
        <v>697</v>
      </c>
      <c r="E15">
        <v>0</v>
      </c>
      <c r="F15" t="s">
        <v>698</v>
      </c>
    </row>
    <row r="16" spans="1:6">
      <c r="A16">
        <v>15</v>
      </c>
      <c r="B16" s="30" t="s">
        <v>541</v>
      </c>
      <c r="C16" t="s">
        <v>511</v>
      </c>
      <c r="D16" t="s">
        <v>699</v>
      </c>
      <c r="E16">
        <v>0</v>
      </c>
      <c r="F16" t="s">
        <v>700</v>
      </c>
    </row>
    <row r="17" spans="1:6">
      <c r="A17">
        <v>16</v>
      </c>
      <c r="B17" s="30" t="s">
        <v>524</v>
      </c>
      <c r="C17" t="s">
        <v>511</v>
      </c>
      <c r="D17" t="s">
        <v>701</v>
      </c>
      <c r="E17">
        <v>0</v>
      </c>
      <c r="F17" t="s">
        <v>702</v>
      </c>
    </row>
    <row r="18" spans="1:6">
      <c r="A18">
        <v>17</v>
      </c>
      <c r="B18" s="30" t="s">
        <v>178</v>
      </c>
      <c r="C18" t="s">
        <v>511</v>
      </c>
      <c r="D18" t="s">
        <v>703</v>
      </c>
      <c r="E18">
        <v>0</v>
      </c>
      <c r="F18" t="s">
        <v>704</v>
      </c>
    </row>
    <row r="19" spans="1:6">
      <c r="A19">
        <v>18</v>
      </c>
      <c r="B19" s="30" t="s">
        <v>164</v>
      </c>
      <c r="C19" t="s">
        <v>511</v>
      </c>
      <c r="D19" t="s">
        <v>705</v>
      </c>
      <c r="E19">
        <v>0</v>
      </c>
      <c r="F19" t="s">
        <v>706</v>
      </c>
    </row>
    <row r="20" spans="1:6">
      <c r="A20">
        <v>19</v>
      </c>
      <c r="B20" s="30" t="s">
        <v>498</v>
      </c>
      <c r="C20" t="s">
        <v>511</v>
      </c>
      <c r="D20" t="s">
        <v>707</v>
      </c>
      <c r="E20">
        <v>0</v>
      </c>
      <c r="F20" t="s">
        <v>708</v>
      </c>
    </row>
    <row r="21" spans="1:6">
      <c r="A21">
        <v>20</v>
      </c>
      <c r="B21" s="30" t="s">
        <v>499</v>
      </c>
      <c r="C21" t="s">
        <v>511</v>
      </c>
      <c r="D21" t="s">
        <v>709</v>
      </c>
      <c r="E21">
        <v>0</v>
      </c>
      <c r="F21" t="s">
        <v>710</v>
      </c>
    </row>
    <row r="22" spans="1:6">
      <c r="A22">
        <v>21</v>
      </c>
      <c r="B22" s="30" t="s">
        <v>79</v>
      </c>
      <c r="C22" t="s">
        <v>511</v>
      </c>
      <c r="D22" t="s">
        <v>711</v>
      </c>
      <c r="E22">
        <v>0</v>
      </c>
      <c r="F22" t="s">
        <v>712</v>
      </c>
    </row>
    <row r="23" spans="1:6">
      <c r="A23">
        <v>22</v>
      </c>
      <c r="B23" s="30" t="s">
        <v>500</v>
      </c>
      <c r="C23" t="s">
        <v>511</v>
      </c>
      <c r="D23" t="s">
        <v>525</v>
      </c>
      <c r="E23">
        <v>0</v>
      </c>
      <c r="F23" t="s">
        <v>526</v>
      </c>
    </row>
    <row r="24" spans="1:6">
      <c r="A24">
        <v>23</v>
      </c>
      <c r="B24" s="30" t="s">
        <v>672</v>
      </c>
      <c r="C24" t="s">
        <v>596</v>
      </c>
      <c r="D24" t="s">
        <v>391</v>
      </c>
      <c r="E24">
        <v>2</v>
      </c>
      <c r="F24" t="s">
        <v>969</v>
      </c>
    </row>
    <row r="25" spans="1:6">
      <c r="A25">
        <v>24</v>
      </c>
      <c r="B25" s="30" t="s">
        <v>673</v>
      </c>
      <c r="C25" t="s">
        <v>596</v>
      </c>
      <c r="D25" t="s">
        <v>396</v>
      </c>
      <c r="E25">
        <v>2</v>
      </c>
      <c r="F25" t="s">
        <v>976</v>
      </c>
    </row>
    <row r="26" spans="1:6">
      <c r="A26">
        <v>25</v>
      </c>
      <c r="B26" s="29" t="s">
        <v>170</v>
      </c>
      <c r="C26" t="s">
        <v>511</v>
      </c>
      <c r="D26" t="s">
        <v>713</v>
      </c>
      <c r="E26">
        <v>0</v>
      </c>
      <c r="F26" t="s">
        <v>714</v>
      </c>
    </row>
    <row r="27" spans="1:6">
      <c r="A27">
        <v>26</v>
      </c>
      <c r="B27" s="30" t="s">
        <v>178</v>
      </c>
      <c r="C27" t="s">
        <v>511</v>
      </c>
      <c r="D27" t="s">
        <v>715</v>
      </c>
      <c r="E27">
        <v>0</v>
      </c>
      <c r="F27" t="s">
        <v>716</v>
      </c>
    </row>
    <row r="28" spans="1:6">
      <c r="A28">
        <v>27</v>
      </c>
      <c r="B28" s="30" t="s">
        <v>164</v>
      </c>
      <c r="C28" t="s">
        <v>511</v>
      </c>
      <c r="D28" t="s">
        <v>717</v>
      </c>
      <c r="E28">
        <v>0</v>
      </c>
      <c r="F28" t="s">
        <v>718</v>
      </c>
    </row>
    <row r="29" spans="1:6">
      <c r="A29">
        <v>28</v>
      </c>
      <c r="B29" s="30" t="s">
        <v>498</v>
      </c>
      <c r="C29" t="s">
        <v>511</v>
      </c>
      <c r="D29" t="s">
        <v>719</v>
      </c>
      <c r="E29">
        <v>0</v>
      </c>
      <c r="F29" t="s">
        <v>720</v>
      </c>
    </row>
    <row r="30" spans="1:6">
      <c r="A30">
        <v>29</v>
      </c>
      <c r="B30" s="30" t="s">
        <v>499</v>
      </c>
      <c r="C30" t="s">
        <v>511</v>
      </c>
      <c r="D30" t="s">
        <v>721</v>
      </c>
      <c r="E30">
        <v>0</v>
      </c>
      <c r="F30" t="s">
        <v>722</v>
      </c>
    </row>
    <row r="31" spans="1:6">
      <c r="A31">
        <v>30</v>
      </c>
      <c r="B31" s="30" t="s">
        <v>79</v>
      </c>
      <c r="C31" t="s">
        <v>511</v>
      </c>
      <c r="D31" t="s">
        <v>723</v>
      </c>
      <c r="E31">
        <v>0</v>
      </c>
      <c r="F31" t="s">
        <v>724</v>
      </c>
    </row>
    <row r="32" spans="1:6">
      <c r="A32">
        <v>31</v>
      </c>
      <c r="B32" s="30" t="s">
        <v>500</v>
      </c>
      <c r="C32" t="s">
        <v>511</v>
      </c>
      <c r="D32" t="s">
        <v>726</v>
      </c>
      <c r="E32">
        <v>0</v>
      </c>
      <c r="F32" t="s">
        <v>727</v>
      </c>
    </row>
    <row r="33" spans="1:6">
      <c r="A33">
        <v>32</v>
      </c>
      <c r="B33" s="30" t="s">
        <v>565</v>
      </c>
      <c r="C33" t="s">
        <v>596</v>
      </c>
      <c r="D33" t="s">
        <v>397</v>
      </c>
      <c r="E33">
        <v>1</v>
      </c>
      <c r="F33" t="s">
        <v>980</v>
      </c>
    </row>
    <row r="34" spans="1:6">
      <c r="A34">
        <v>33</v>
      </c>
      <c r="B34" s="30" t="s">
        <v>564</v>
      </c>
      <c r="C34" t="s">
        <v>596</v>
      </c>
      <c r="D34" t="s">
        <v>1008</v>
      </c>
      <c r="E34">
        <v>1</v>
      </c>
      <c r="F34" t="s">
        <v>1009</v>
      </c>
    </row>
    <row r="35" spans="1:6">
      <c r="B35" s="30" t="s">
        <v>674</v>
      </c>
      <c r="C35" t="s">
        <v>511</v>
      </c>
      <c r="D35" t="s">
        <v>725</v>
      </c>
    </row>
    <row r="36" spans="1:6">
      <c r="A36">
        <v>34</v>
      </c>
      <c r="B36" s="29" t="s">
        <v>600</v>
      </c>
      <c r="C36" t="s">
        <v>511</v>
      </c>
      <c r="D36" t="s">
        <v>425</v>
      </c>
      <c r="E36">
        <v>0</v>
      </c>
      <c r="F36" t="s">
        <v>728</v>
      </c>
    </row>
    <row r="37" spans="1:6">
      <c r="A37">
        <v>35</v>
      </c>
      <c r="B37" s="30" t="s">
        <v>601</v>
      </c>
      <c r="C37" t="s">
        <v>511</v>
      </c>
      <c r="D37" t="s">
        <v>729</v>
      </c>
      <c r="E37">
        <v>0</v>
      </c>
      <c r="F37" t="s">
        <v>730</v>
      </c>
    </row>
    <row r="38" spans="1:6">
      <c r="A38">
        <v>36</v>
      </c>
      <c r="B38" s="30" t="s">
        <v>602</v>
      </c>
      <c r="C38" t="s">
        <v>511</v>
      </c>
      <c r="D38" t="s">
        <v>731</v>
      </c>
      <c r="E38">
        <v>0</v>
      </c>
      <c r="F38" t="s">
        <v>732</v>
      </c>
    </row>
    <row r="39" spans="1:6">
      <c r="A39">
        <v>37</v>
      </c>
      <c r="B39" s="30" t="s">
        <v>603</v>
      </c>
      <c r="C39" t="s">
        <v>511</v>
      </c>
      <c r="D39" t="s">
        <v>733</v>
      </c>
      <c r="E39">
        <v>0</v>
      </c>
      <c r="F39" t="s">
        <v>734</v>
      </c>
    </row>
    <row r="40" spans="1:6">
      <c r="A40">
        <v>38</v>
      </c>
      <c r="B40" s="30" t="s">
        <v>604</v>
      </c>
      <c r="C40" t="s">
        <v>511</v>
      </c>
      <c r="D40" t="s">
        <v>735</v>
      </c>
      <c r="E40">
        <v>0</v>
      </c>
      <c r="F40" t="s">
        <v>736</v>
      </c>
    </row>
    <row r="41" spans="1:6">
      <c r="A41">
        <v>39</v>
      </c>
      <c r="B41" s="30" t="s">
        <v>605</v>
      </c>
      <c r="C41" t="s">
        <v>511</v>
      </c>
      <c r="D41" t="s">
        <v>737</v>
      </c>
      <c r="E41">
        <v>0</v>
      </c>
      <c r="F41" t="s">
        <v>738</v>
      </c>
    </row>
    <row r="42" spans="1:6">
      <c r="A42">
        <v>40</v>
      </c>
      <c r="B42" s="30" t="s">
        <v>606</v>
      </c>
      <c r="C42" t="s">
        <v>511</v>
      </c>
      <c r="D42" t="s">
        <v>739</v>
      </c>
      <c r="E42">
        <v>0</v>
      </c>
      <c r="F42" t="s">
        <v>740</v>
      </c>
    </row>
    <row r="43" spans="1:6">
      <c r="A43">
        <v>41</v>
      </c>
      <c r="B43" s="30" t="s">
        <v>499</v>
      </c>
      <c r="C43" t="s">
        <v>511</v>
      </c>
      <c r="D43" t="s">
        <v>741</v>
      </c>
      <c r="E43">
        <v>0</v>
      </c>
      <c r="F43" t="s">
        <v>742</v>
      </c>
    </row>
    <row r="44" spans="1:6">
      <c r="A44">
        <v>42</v>
      </c>
      <c r="B44" s="30" t="s">
        <v>607</v>
      </c>
      <c r="C44" t="s">
        <v>511</v>
      </c>
      <c r="D44" t="s">
        <v>743</v>
      </c>
      <c r="E44">
        <v>0</v>
      </c>
      <c r="F44" t="s">
        <v>744</v>
      </c>
    </row>
    <row r="45" spans="1:6">
      <c r="A45">
        <v>43</v>
      </c>
      <c r="B45" s="30" t="s">
        <v>608</v>
      </c>
      <c r="C45" t="s">
        <v>511</v>
      </c>
      <c r="D45" t="s">
        <v>745</v>
      </c>
      <c r="E45">
        <v>0</v>
      </c>
      <c r="F45" t="s">
        <v>746</v>
      </c>
    </row>
    <row r="46" spans="1:6">
      <c r="A46">
        <v>44</v>
      </c>
      <c r="B46" s="29" t="s">
        <v>203</v>
      </c>
      <c r="C46" t="s">
        <v>511</v>
      </c>
      <c r="D46" t="s">
        <v>757</v>
      </c>
      <c r="E46">
        <v>0</v>
      </c>
      <c r="F46" t="s">
        <v>758</v>
      </c>
    </row>
    <row r="47" spans="1:6">
      <c r="A47">
        <v>45</v>
      </c>
      <c r="B47" s="30" t="s">
        <v>614</v>
      </c>
      <c r="C47" t="s">
        <v>511</v>
      </c>
      <c r="D47" t="s">
        <v>757</v>
      </c>
      <c r="E47">
        <v>0</v>
      </c>
      <c r="F47" t="s">
        <v>759</v>
      </c>
    </row>
    <row r="48" spans="1:6">
      <c r="A48">
        <v>46</v>
      </c>
      <c r="B48" s="30" t="s">
        <v>615</v>
      </c>
      <c r="C48" t="s">
        <v>511</v>
      </c>
      <c r="D48" t="s">
        <v>760</v>
      </c>
      <c r="E48">
        <v>0</v>
      </c>
      <c r="F48" t="s">
        <v>761</v>
      </c>
    </row>
    <row r="49" spans="1:6">
      <c r="A49">
        <v>47</v>
      </c>
      <c r="B49" s="30" t="s">
        <v>616</v>
      </c>
      <c r="C49" t="s">
        <v>511</v>
      </c>
      <c r="D49" t="s">
        <v>762</v>
      </c>
      <c r="E49">
        <v>0</v>
      </c>
      <c r="F49" t="s">
        <v>763</v>
      </c>
    </row>
    <row r="50" spans="1:6">
      <c r="A50">
        <v>48</v>
      </c>
      <c r="B50" s="30" t="s">
        <v>617</v>
      </c>
      <c r="C50" t="s">
        <v>511</v>
      </c>
      <c r="D50" t="s">
        <v>764</v>
      </c>
      <c r="E50">
        <v>0</v>
      </c>
      <c r="F50" t="s">
        <v>765</v>
      </c>
    </row>
    <row r="51" spans="1:6">
      <c r="A51">
        <v>49</v>
      </c>
      <c r="B51" s="30" t="s">
        <v>618</v>
      </c>
      <c r="C51" t="s">
        <v>511</v>
      </c>
      <c r="D51" t="s">
        <v>766</v>
      </c>
      <c r="E51">
        <v>0</v>
      </c>
      <c r="F51" t="s">
        <v>767</v>
      </c>
    </row>
    <row r="52" spans="1:6">
      <c r="A52">
        <v>50</v>
      </c>
      <c r="B52" s="30" t="s">
        <v>619</v>
      </c>
      <c r="C52" t="s">
        <v>511</v>
      </c>
      <c r="D52" t="s">
        <v>768</v>
      </c>
      <c r="E52">
        <v>0</v>
      </c>
      <c r="F52" t="s">
        <v>769</v>
      </c>
    </row>
    <row r="53" spans="1:6">
      <c r="A53">
        <v>51</v>
      </c>
      <c r="B53" s="29" t="s">
        <v>620</v>
      </c>
      <c r="C53" t="s">
        <v>511</v>
      </c>
      <c r="D53" t="s">
        <v>770</v>
      </c>
      <c r="E53">
        <v>0</v>
      </c>
      <c r="F53" t="s">
        <v>771</v>
      </c>
    </row>
    <row r="54" spans="1:6">
      <c r="A54">
        <v>52</v>
      </c>
      <c r="B54" s="30" t="s">
        <v>626</v>
      </c>
      <c r="C54" t="s">
        <v>511</v>
      </c>
      <c r="D54" t="s">
        <v>772</v>
      </c>
      <c r="E54">
        <v>0</v>
      </c>
      <c r="F54" t="s">
        <v>773</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workbookViewId="0">
      <selection activeCell="K5" sqref="K5"/>
    </sheetView>
  </sheetViews>
  <sheetFormatPr baseColWidth="10" defaultColWidth="8.83203125" defaultRowHeight="14" x14ac:dyDescent="0"/>
  <sheetData>
    <row r="1" spans="1:6">
      <c r="A1" s="543" t="s">
        <v>675</v>
      </c>
      <c r="B1" s="543"/>
      <c r="C1" s="543"/>
      <c r="D1" s="543"/>
      <c r="E1" s="543"/>
      <c r="F1" s="543"/>
    </row>
    <row r="2" spans="1:6" ht="20" thickBot="1">
      <c r="A2" s="8" t="s">
        <v>669</v>
      </c>
      <c r="B2" s="8" t="s">
        <v>465</v>
      </c>
      <c r="C2" s="8" t="s">
        <v>466</v>
      </c>
      <c r="D2" s="8" t="s">
        <v>379</v>
      </c>
      <c r="E2" s="8" t="s">
        <v>467</v>
      </c>
      <c r="F2" s="6" t="s">
        <v>468</v>
      </c>
    </row>
    <row r="3" spans="1:6" ht="15" thickTop="1">
      <c r="A3">
        <v>1</v>
      </c>
      <c r="B3" s="29" t="s">
        <v>676</v>
      </c>
      <c r="C3" t="s">
        <v>511</v>
      </c>
      <c r="D3" t="s">
        <v>677</v>
      </c>
      <c r="E3">
        <v>0</v>
      </c>
      <c r="F3" t="s">
        <v>678</v>
      </c>
    </row>
    <row r="4" spans="1:6">
      <c r="A4">
        <v>2</v>
      </c>
      <c r="B4" s="29" t="s">
        <v>501</v>
      </c>
      <c r="C4" t="s">
        <v>511</v>
      </c>
      <c r="D4" t="s">
        <v>679</v>
      </c>
      <c r="E4">
        <v>0</v>
      </c>
      <c r="F4" t="s">
        <v>680</v>
      </c>
    </row>
    <row r="5" spans="1:6">
      <c r="A5">
        <v>3</v>
      </c>
      <c r="B5" s="30" t="s">
        <v>502</v>
      </c>
      <c r="C5" t="s">
        <v>511</v>
      </c>
      <c r="D5" t="s">
        <v>681</v>
      </c>
      <c r="E5">
        <v>0</v>
      </c>
      <c r="F5" t="s">
        <v>682</v>
      </c>
    </row>
    <row r="6" spans="1:6">
      <c r="A6">
        <v>4</v>
      </c>
      <c r="B6" s="30" t="s">
        <v>178</v>
      </c>
      <c r="C6" t="s">
        <v>511</v>
      </c>
      <c r="D6" t="s">
        <v>683</v>
      </c>
      <c r="E6">
        <v>0</v>
      </c>
      <c r="F6" t="s">
        <v>684</v>
      </c>
    </row>
    <row r="7" spans="1:6">
      <c r="A7">
        <v>5</v>
      </c>
      <c r="B7" s="30" t="s">
        <v>164</v>
      </c>
      <c r="C7" t="s">
        <v>511</v>
      </c>
      <c r="D7" t="s">
        <v>685</v>
      </c>
      <c r="E7">
        <v>0</v>
      </c>
      <c r="F7" t="s">
        <v>686</v>
      </c>
    </row>
    <row r="8" spans="1:6">
      <c r="A8">
        <v>6</v>
      </c>
      <c r="B8" s="30" t="s">
        <v>498</v>
      </c>
      <c r="C8" t="s">
        <v>511</v>
      </c>
      <c r="D8" t="s">
        <v>687</v>
      </c>
      <c r="E8">
        <v>0</v>
      </c>
      <c r="F8" t="s">
        <v>688</v>
      </c>
    </row>
    <row r="9" spans="1:6">
      <c r="A9">
        <v>7</v>
      </c>
      <c r="B9" s="30" t="s">
        <v>499</v>
      </c>
      <c r="C9" t="s">
        <v>511</v>
      </c>
      <c r="D9" t="s">
        <v>512</v>
      </c>
      <c r="E9">
        <v>0</v>
      </c>
      <c r="F9" t="s">
        <v>513</v>
      </c>
    </row>
    <row r="10" spans="1:6">
      <c r="A10">
        <v>8</v>
      </c>
      <c r="B10" s="30" t="s">
        <v>79</v>
      </c>
      <c r="C10" t="s">
        <v>511</v>
      </c>
      <c r="D10" t="s">
        <v>689</v>
      </c>
      <c r="E10">
        <v>0</v>
      </c>
      <c r="F10" t="s">
        <v>690</v>
      </c>
    </row>
    <row r="11" spans="1:6">
      <c r="A11">
        <v>9</v>
      </c>
      <c r="B11" s="30" t="s">
        <v>500</v>
      </c>
      <c r="C11" t="s">
        <v>511</v>
      </c>
      <c r="D11" t="s">
        <v>691</v>
      </c>
      <c r="E11">
        <v>0</v>
      </c>
      <c r="F11" t="s">
        <v>692</v>
      </c>
    </row>
    <row r="12" spans="1:6">
      <c r="A12">
        <v>10</v>
      </c>
      <c r="B12" s="29" t="s">
        <v>520</v>
      </c>
      <c r="C12" t="s">
        <v>511</v>
      </c>
      <c r="D12" t="s">
        <v>693</v>
      </c>
      <c r="E12">
        <v>0</v>
      </c>
      <c r="F12" t="s">
        <v>694</v>
      </c>
    </row>
    <row r="13" spans="1:6">
      <c r="A13">
        <v>11</v>
      </c>
      <c r="B13" s="30" t="s">
        <v>521</v>
      </c>
      <c r="C13" t="s">
        <v>511</v>
      </c>
      <c r="D13" t="s">
        <v>695</v>
      </c>
      <c r="E13">
        <v>0</v>
      </c>
      <c r="F13" t="s">
        <v>696</v>
      </c>
    </row>
    <row r="14" spans="1:6">
      <c r="A14">
        <v>12</v>
      </c>
      <c r="B14" s="30" t="s">
        <v>522</v>
      </c>
      <c r="C14" t="s">
        <v>511</v>
      </c>
      <c r="D14" t="s">
        <v>697</v>
      </c>
      <c r="E14">
        <v>0</v>
      </c>
      <c r="F14" t="s">
        <v>698</v>
      </c>
    </row>
    <row r="15" spans="1:6">
      <c r="A15">
        <v>13</v>
      </c>
      <c r="B15" s="30" t="s">
        <v>541</v>
      </c>
      <c r="C15" t="s">
        <v>511</v>
      </c>
      <c r="D15" t="s">
        <v>699</v>
      </c>
      <c r="E15">
        <v>0</v>
      </c>
      <c r="F15" t="s">
        <v>700</v>
      </c>
    </row>
    <row r="16" spans="1:6">
      <c r="A16">
        <v>14</v>
      </c>
      <c r="B16" s="30" t="s">
        <v>524</v>
      </c>
      <c r="C16" t="s">
        <v>511</v>
      </c>
      <c r="D16" t="s">
        <v>701</v>
      </c>
      <c r="E16">
        <v>0</v>
      </c>
      <c r="F16" t="s">
        <v>702</v>
      </c>
    </row>
    <row r="17" spans="1:6">
      <c r="A17">
        <v>15</v>
      </c>
      <c r="B17" s="30" t="s">
        <v>178</v>
      </c>
      <c r="C17" t="s">
        <v>511</v>
      </c>
      <c r="D17" t="s">
        <v>703</v>
      </c>
      <c r="E17">
        <v>0</v>
      </c>
      <c r="F17" t="s">
        <v>704</v>
      </c>
    </row>
    <row r="18" spans="1:6">
      <c r="A18">
        <v>16</v>
      </c>
      <c r="B18" s="30" t="s">
        <v>164</v>
      </c>
      <c r="C18" t="s">
        <v>511</v>
      </c>
      <c r="D18" t="s">
        <v>705</v>
      </c>
      <c r="E18">
        <v>0</v>
      </c>
      <c r="F18" t="s">
        <v>706</v>
      </c>
    </row>
    <row r="19" spans="1:6">
      <c r="A19">
        <v>17</v>
      </c>
      <c r="B19" s="30" t="s">
        <v>498</v>
      </c>
      <c r="C19" t="s">
        <v>511</v>
      </c>
      <c r="D19" t="s">
        <v>707</v>
      </c>
      <c r="E19">
        <v>0</v>
      </c>
      <c r="F19" t="s">
        <v>708</v>
      </c>
    </row>
    <row r="20" spans="1:6">
      <c r="A20">
        <v>18</v>
      </c>
      <c r="B20" s="30" t="s">
        <v>499</v>
      </c>
      <c r="C20" t="s">
        <v>511</v>
      </c>
      <c r="D20" t="s">
        <v>709</v>
      </c>
      <c r="E20">
        <v>0</v>
      </c>
      <c r="F20" t="s">
        <v>710</v>
      </c>
    </row>
    <row r="21" spans="1:6">
      <c r="A21">
        <v>19</v>
      </c>
      <c r="B21" s="30" t="s">
        <v>79</v>
      </c>
      <c r="C21" t="s">
        <v>511</v>
      </c>
      <c r="D21" t="s">
        <v>711</v>
      </c>
      <c r="E21">
        <v>0</v>
      </c>
      <c r="F21" t="s">
        <v>712</v>
      </c>
    </row>
    <row r="22" spans="1:6">
      <c r="A22">
        <v>20</v>
      </c>
      <c r="B22" s="30" t="s">
        <v>500</v>
      </c>
      <c r="C22" t="s">
        <v>511</v>
      </c>
      <c r="D22" t="s">
        <v>525</v>
      </c>
      <c r="E22">
        <v>0</v>
      </c>
      <c r="F22" t="s">
        <v>526</v>
      </c>
    </row>
    <row r="23" spans="1:6">
      <c r="A23">
        <v>21</v>
      </c>
      <c r="B23" s="31" t="s">
        <v>170</v>
      </c>
      <c r="C23" t="s">
        <v>511</v>
      </c>
      <c r="D23" t="s">
        <v>713</v>
      </c>
      <c r="E23">
        <v>0</v>
      </c>
      <c r="F23" t="s">
        <v>714</v>
      </c>
    </row>
    <row r="24" spans="1:6">
      <c r="A24">
        <v>22</v>
      </c>
      <c r="B24" s="30" t="s">
        <v>178</v>
      </c>
      <c r="C24" t="s">
        <v>511</v>
      </c>
      <c r="D24" t="s">
        <v>715</v>
      </c>
      <c r="E24">
        <v>0</v>
      </c>
      <c r="F24" t="s">
        <v>716</v>
      </c>
    </row>
    <row r="25" spans="1:6">
      <c r="A25">
        <v>23</v>
      </c>
      <c r="B25" s="30" t="s">
        <v>164</v>
      </c>
      <c r="C25" t="s">
        <v>511</v>
      </c>
      <c r="D25" t="s">
        <v>717</v>
      </c>
      <c r="E25">
        <v>0</v>
      </c>
      <c r="F25" t="s">
        <v>718</v>
      </c>
    </row>
    <row r="26" spans="1:6">
      <c r="A26">
        <v>24</v>
      </c>
      <c r="B26" s="32" t="s">
        <v>498</v>
      </c>
      <c r="C26" t="s">
        <v>511</v>
      </c>
      <c r="D26" t="s">
        <v>719</v>
      </c>
      <c r="E26">
        <v>0</v>
      </c>
      <c r="F26" t="s">
        <v>720</v>
      </c>
    </row>
    <row r="27" spans="1:6">
      <c r="A27">
        <v>25</v>
      </c>
      <c r="B27" s="30" t="s">
        <v>499</v>
      </c>
      <c r="C27" t="s">
        <v>511</v>
      </c>
      <c r="D27" t="s">
        <v>721</v>
      </c>
      <c r="E27">
        <v>0</v>
      </c>
      <c r="F27" t="s">
        <v>722</v>
      </c>
    </row>
    <row r="28" spans="1:6">
      <c r="A28">
        <v>26</v>
      </c>
      <c r="B28" s="30" t="s">
        <v>79</v>
      </c>
      <c r="C28" t="s">
        <v>511</v>
      </c>
      <c r="D28" t="s">
        <v>723</v>
      </c>
      <c r="E28">
        <v>0</v>
      </c>
      <c r="F28" t="s">
        <v>724</v>
      </c>
    </row>
    <row r="29" spans="1:6">
      <c r="B29" s="30" t="s">
        <v>674</v>
      </c>
      <c r="C29" t="s">
        <v>511</v>
      </c>
      <c r="D29" t="s">
        <v>725</v>
      </c>
    </row>
    <row r="30" spans="1:6">
      <c r="A30">
        <v>27</v>
      </c>
      <c r="B30" s="30" t="s">
        <v>500</v>
      </c>
      <c r="C30" t="s">
        <v>511</v>
      </c>
      <c r="D30" t="s">
        <v>726</v>
      </c>
      <c r="E30">
        <v>0</v>
      </c>
      <c r="F30" t="s">
        <v>727</v>
      </c>
    </row>
    <row r="31" spans="1:6">
      <c r="A31">
        <v>28</v>
      </c>
      <c r="B31" s="31" t="s">
        <v>600</v>
      </c>
      <c r="C31" t="s">
        <v>511</v>
      </c>
      <c r="D31" t="s">
        <v>425</v>
      </c>
      <c r="E31">
        <v>0</v>
      </c>
      <c r="F31" t="s">
        <v>728</v>
      </c>
    </row>
    <row r="32" spans="1:6">
      <c r="A32">
        <v>29</v>
      </c>
      <c r="B32" s="30" t="s">
        <v>601</v>
      </c>
      <c r="C32" t="s">
        <v>511</v>
      </c>
      <c r="D32" t="s">
        <v>729</v>
      </c>
      <c r="E32">
        <v>0</v>
      </c>
      <c r="F32" t="s">
        <v>730</v>
      </c>
    </row>
    <row r="33" spans="1:6">
      <c r="A33">
        <v>30</v>
      </c>
      <c r="B33" s="30" t="s">
        <v>602</v>
      </c>
      <c r="C33" t="s">
        <v>511</v>
      </c>
      <c r="D33" t="s">
        <v>731</v>
      </c>
      <c r="E33">
        <v>0</v>
      </c>
      <c r="F33" t="s">
        <v>732</v>
      </c>
    </row>
    <row r="34" spans="1:6">
      <c r="A34">
        <v>31</v>
      </c>
      <c r="B34" s="30" t="s">
        <v>603</v>
      </c>
      <c r="C34" t="s">
        <v>511</v>
      </c>
      <c r="D34" t="s">
        <v>733</v>
      </c>
      <c r="E34">
        <v>0</v>
      </c>
      <c r="F34" t="s">
        <v>734</v>
      </c>
    </row>
    <row r="35" spans="1:6">
      <c r="A35">
        <v>32</v>
      </c>
      <c r="B35" s="30" t="s">
        <v>604</v>
      </c>
      <c r="C35" t="s">
        <v>511</v>
      </c>
      <c r="D35" t="s">
        <v>735</v>
      </c>
      <c r="E35">
        <v>0</v>
      </c>
      <c r="F35" t="s">
        <v>736</v>
      </c>
    </row>
    <row r="36" spans="1:6">
      <c r="A36">
        <v>33</v>
      </c>
      <c r="B36" s="30" t="s">
        <v>605</v>
      </c>
      <c r="C36" t="s">
        <v>511</v>
      </c>
      <c r="D36" t="s">
        <v>737</v>
      </c>
      <c r="E36">
        <v>0</v>
      </c>
      <c r="F36" t="s">
        <v>738</v>
      </c>
    </row>
    <row r="37" spans="1:6">
      <c r="A37">
        <v>34</v>
      </c>
      <c r="B37" s="30" t="s">
        <v>606</v>
      </c>
      <c r="C37" t="s">
        <v>511</v>
      </c>
      <c r="D37" t="s">
        <v>739</v>
      </c>
      <c r="E37">
        <v>0</v>
      </c>
      <c r="F37" t="s">
        <v>740</v>
      </c>
    </row>
    <row r="38" spans="1:6">
      <c r="A38">
        <v>35</v>
      </c>
      <c r="B38" s="30" t="s">
        <v>499</v>
      </c>
      <c r="C38" t="s">
        <v>511</v>
      </c>
      <c r="D38" t="s">
        <v>741</v>
      </c>
      <c r="E38">
        <v>0</v>
      </c>
      <c r="F38" t="s">
        <v>742</v>
      </c>
    </row>
    <row r="39" spans="1:6">
      <c r="A39">
        <v>36</v>
      </c>
      <c r="B39" s="30" t="s">
        <v>607</v>
      </c>
      <c r="C39" t="s">
        <v>511</v>
      </c>
      <c r="D39" t="s">
        <v>743</v>
      </c>
      <c r="E39">
        <v>0</v>
      </c>
      <c r="F39" t="s">
        <v>744</v>
      </c>
    </row>
    <row r="40" spans="1:6">
      <c r="A40">
        <v>37</v>
      </c>
      <c r="B40" s="30" t="s">
        <v>608</v>
      </c>
      <c r="C40" t="s">
        <v>511</v>
      </c>
      <c r="D40" t="s">
        <v>745</v>
      </c>
      <c r="E40">
        <v>0</v>
      </c>
      <c r="F40" t="s">
        <v>746</v>
      </c>
    </row>
    <row r="41" spans="1:6">
      <c r="A41">
        <v>38</v>
      </c>
      <c r="B41" s="30" t="s">
        <v>609</v>
      </c>
      <c r="C41" t="s">
        <v>511</v>
      </c>
      <c r="D41" t="s">
        <v>747</v>
      </c>
      <c r="E41">
        <v>0</v>
      </c>
      <c r="F41" t="s">
        <v>748</v>
      </c>
    </row>
    <row r="42" spans="1:6">
      <c r="A42">
        <v>39</v>
      </c>
      <c r="B42" s="30" t="s">
        <v>610</v>
      </c>
      <c r="C42" t="s">
        <v>511</v>
      </c>
      <c r="D42" t="s">
        <v>749</v>
      </c>
      <c r="E42">
        <v>0</v>
      </c>
      <c r="F42" t="s">
        <v>750</v>
      </c>
    </row>
    <row r="43" spans="1:6">
      <c r="A43">
        <v>40</v>
      </c>
      <c r="B43" s="30" t="s">
        <v>611</v>
      </c>
      <c r="C43" t="s">
        <v>511</v>
      </c>
      <c r="D43" t="s">
        <v>751</v>
      </c>
      <c r="E43">
        <v>0</v>
      </c>
      <c r="F43" t="s">
        <v>752</v>
      </c>
    </row>
    <row r="44" spans="1:6">
      <c r="A44">
        <v>41</v>
      </c>
      <c r="B44" s="30" t="s">
        <v>612</v>
      </c>
      <c r="C44" t="s">
        <v>511</v>
      </c>
      <c r="D44" t="s">
        <v>753</v>
      </c>
      <c r="E44">
        <v>0</v>
      </c>
      <c r="F44" t="s">
        <v>754</v>
      </c>
    </row>
    <row r="45" spans="1:6">
      <c r="A45">
        <v>42</v>
      </c>
      <c r="B45" s="30" t="s">
        <v>613</v>
      </c>
      <c r="C45" t="s">
        <v>511</v>
      </c>
      <c r="D45" t="s">
        <v>755</v>
      </c>
      <c r="E45">
        <v>0</v>
      </c>
      <c r="F45" s="33" t="s">
        <v>756</v>
      </c>
    </row>
    <row r="46" spans="1:6">
      <c r="A46">
        <v>43</v>
      </c>
      <c r="B46" s="31" t="s">
        <v>203</v>
      </c>
      <c r="C46" t="s">
        <v>511</v>
      </c>
      <c r="D46" t="s">
        <v>757</v>
      </c>
      <c r="E46">
        <v>0</v>
      </c>
      <c r="F46" t="s">
        <v>758</v>
      </c>
    </row>
    <row r="47" spans="1:6">
      <c r="A47">
        <v>44</v>
      </c>
      <c r="B47" s="30" t="s">
        <v>614</v>
      </c>
      <c r="C47" t="s">
        <v>511</v>
      </c>
      <c r="D47" t="s">
        <v>757</v>
      </c>
      <c r="E47">
        <v>0</v>
      </c>
      <c r="F47" t="s">
        <v>759</v>
      </c>
    </row>
    <row r="48" spans="1:6">
      <c r="A48">
        <v>45</v>
      </c>
      <c r="B48" s="30" t="s">
        <v>615</v>
      </c>
      <c r="C48" t="s">
        <v>511</v>
      </c>
      <c r="D48" t="s">
        <v>760</v>
      </c>
      <c r="E48">
        <v>0</v>
      </c>
      <c r="F48" t="s">
        <v>761</v>
      </c>
    </row>
    <row r="49" spans="1:6">
      <c r="A49">
        <v>46</v>
      </c>
      <c r="B49" s="30" t="s">
        <v>616</v>
      </c>
      <c r="C49" t="s">
        <v>511</v>
      </c>
      <c r="D49" t="s">
        <v>762</v>
      </c>
      <c r="E49">
        <v>0</v>
      </c>
      <c r="F49" t="s">
        <v>763</v>
      </c>
    </row>
    <row r="50" spans="1:6">
      <c r="A50">
        <v>47</v>
      </c>
      <c r="B50" s="30" t="s">
        <v>617</v>
      </c>
      <c r="C50" t="s">
        <v>511</v>
      </c>
      <c r="D50" t="s">
        <v>764</v>
      </c>
      <c r="E50">
        <v>0</v>
      </c>
      <c r="F50" t="s">
        <v>765</v>
      </c>
    </row>
    <row r="51" spans="1:6">
      <c r="A51">
        <v>48</v>
      </c>
      <c r="B51" s="30" t="s">
        <v>618</v>
      </c>
      <c r="C51" t="s">
        <v>511</v>
      </c>
      <c r="D51" t="s">
        <v>766</v>
      </c>
      <c r="E51">
        <v>0</v>
      </c>
      <c r="F51" t="s">
        <v>767</v>
      </c>
    </row>
    <row r="52" spans="1:6">
      <c r="A52">
        <v>49</v>
      </c>
      <c r="B52" s="30" t="s">
        <v>619</v>
      </c>
      <c r="C52" t="s">
        <v>511</v>
      </c>
      <c r="D52" t="s">
        <v>768</v>
      </c>
      <c r="E52">
        <v>0</v>
      </c>
      <c r="F52" t="s">
        <v>769</v>
      </c>
    </row>
    <row r="53" spans="1:6">
      <c r="A53">
        <v>50</v>
      </c>
      <c r="B53" s="31" t="s">
        <v>620</v>
      </c>
      <c r="C53" t="s">
        <v>511</v>
      </c>
      <c r="D53" t="s">
        <v>770</v>
      </c>
      <c r="E53">
        <v>0</v>
      </c>
      <c r="F53" t="s">
        <v>771</v>
      </c>
    </row>
    <row r="54" spans="1:6">
      <c r="A54">
        <v>51</v>
      </c>
      <c r="B54" s="31" t="s">
        <v>626</v>
      </c>
      <c r="C54" t="s">
        <v>511</v>
      </c>
      <c r="D54" t="s">
        <v>772</v>
      </c>
      <c r="E54">
        <v>0</v>
      </c>
      <c r="F54" t="s">
        <v>773</v>
      </c>
    </row>
    <row r="55" spans="1:6">
      <c r="A55">
        <v>52</v>
      </c>
      <c r="B55" s="31" t="s">
        <v>631</v>
      </c>
      <c r="C55" t="s">
        <v>511</v>
      </c>
      <c r="D55" t="s">
        <v>774</v>
      </c>
      <c r="E55">
        <v>0</v>
      </c>
      <c r="F55" t="s">
        <v>775</v>
      </c>
    </row>
    <row r="56" spans="1:6">
      <c r="A56">
        <v>53</v>
      </c>
      <c r="B56" s="31" t="s">
        <v>632</v>
      </c>
      <c r="C56" t="s">
        <v>511</v>
      </c>
      <c r="D56" t="s">
        <v>776</v>
      </c>
      <c r="E56">
        <v>0</v>
      </c>
      <c r="F56" t="s">
        <v>777</v>
      </c>
    </row>
    <row r="57" spans="1:6">
      <c r="A57">
        <v>54</v>
      </c>
      <c r="B57" s="30" t="s">
        <v>635</v>
      </c>
      <c r="C57" t="s">
        <v>511</v>
      </c>
      <c r="D57" t="s">
        <v>778</v>
      </c>
      <c r="E57">
        <v>0</v>
      </c>
      <c r="F57" t="s">
        <v>779</v>
      </c>
    </row>
    <row r="58" spans="1:6">
      <c r="A58">
        <v>55</v>
      </c>
      <c r="B58" s="30" t="s">
        <v>780</v>
      </c>
      <c r="C58" t="s">
        <v>511</v>
      </c>
      <c r="D58" t="s">
        <v>781</v>
      </c>
      <c r="E58">
        <v>0</v>
      </c>
      <c r="F58" t="s">
        <v>782</v>
      </c>
    </row>
    <row r="59" spans="1:6">
      <c r="A59">
        <v>56</v>
      </c>
      <c r="B59" s="30" t="s">
        <v>637</v>
      </c>
      <c r="C59" t="s">
        <v>511</v>
      </c>
      <c r="D59" t="s">
        <v>783</v>
      </c>
      <c r="E59">
        <v>0</v>
      </c>
      <c r="F59" t="s">
        <v>784</v>
      </c>
    </row>
    <row r="60" spans="1:6">
      <c r="A60">
        <v>57</v>
      </c>
      <c r="B60" s="30" t="s">
        <v>638</v>
      </c>
      <c r="C60" t="s">
        <v>511</v>
      </c>
      <c r="D60" t="s">
        <v>785</v>
      </c>
      <c r="E60">
        <v>0</v>
      </c>
      <c r="F60" t="s">
        <v>786</v>
      </c>
    </row>
    <row r="61" spans="1:6">
      <c r="A61">
        <v>58</v>
      </c>
      <c r="B61" s="30" t="s">
        <v>639</v>
      </c>
      <c r="C61" t="s">
        <v>511</v>
      </c>
      <c r="D61" t="s">
        <v>787</v>
      </c>
      <c r="E61">
        <v>0</v>
      </c>
      <c r="F61" s="33" t="s">
        <v>756</v>
      </c>
    </row>
    <row r="62" spans="1:6">
      <c r="A62">
        <v>59</v>
      </c>
      <c r="B62" s="31" t="s">
        <v>491</v>
      </c>
      <c r="C62" t="s">
        <v>511</v>
      </c>
      <c r="D62" t="s">
        <v>788</v>
      </c>
      <c r="E62">
        <v>0</v>
      </c>
      <c r="F62" t="s">
        <v>789</v>
      </c>
    </row>
    <row r="63" spans="1:6">
      <c r="A63">
        <v>60</v>
      </c>
      <c r="B63" s="30" t="s">
        <v>492</v>
      </c>
      <c r="C63" t="s">
        <v>511</v>
      </c>
      <c r="D63" t="s">
        <v>790</v>
      </c>
      <c r="E63">
        <v>0</v>
      </c>
      <c r="F63" t="s">
        <v>791</v>
      </c>
    </row>
    <row r="64" spans="1:6">
      <c r="A64">
        <v>61</v>
      </c>
      <c r="B64" s="30" t="s">
        <v>641</v>
      </c>
      <c r="C64" t="s">
        <v>511</v>
      </c>
      <c r="D64" t="s">
        <v>792</v>
      </c>
      <c r="E64">
        <v>0</v>
      </c>
      <c r="F64" t="s">
        <v>793</v>
      </c>
    </row>
    <row r="65" spans="1:6">
      <c r="A65">
        <v>62</v>
      </c>
      <c r="B65" s="30" t="s">
        <v>493</v>
      </c>
      <c r="C65" t="s">
        <v>511</v>
      </c>
      <c r="D65" t="s">
        <v>794</v>
      </c>
      <c r="E65">
        <v>0</v>
      </c>
      <c r="F65" t="s">
        <v>795</v>
      </c>
    </row>
    <row r="66" spans="1:6">
      <c r="A66">
        <v>63</v>
      </c>
      <c r="B66" s="30" t="s">
        <v>647</v>
      </c>
      <c r="C66" t="s">
        <v>511</v>
      </c>
      <c r="D66" t="s">
        <v>796</v>
      </c>
      <c r="E66">
        <v>0</v>
      </c>
      <c r="F66" t="s">
        <v>797</v>
      </c>
    </row>
    <row r="67" spans="1:6">
      <c r="A67">
        <v>64</v>
      </c>
      <c r="B67" s="30" t="s">
        <v>648</v>
      </c>
      <c r="C67" t="s">
        <v>511</v>
      </c>
      <c r="D67" t="s">
        <v>798</v>
      </c>
      <c r="E67">
        <v>0</v>
      </c>
      <c r="F67" t="s">
        <v>799</v>
      </c>
    </row>
    <row r="68" spans="1:6">
      <c r="A68">
        <v>65</v>
      </c>
      <c r="B68" s="31" t="s">
        <v>649</v>
      </c>
      <c r="C68" t="s">
        <v>511</v>
      </c>
      <c r="D68" t="s">
        <v>800</v>
      </c>
      <c r="E68">
        <v>0</v>
      </c>
      <c r="F68" t="s">
        <v>801</v>
      </c>
    </row>
    <row r="69" spans="1:6">
      <c r="A69">
        <v>66</v>
      </c>
      <c r="B69" s="31" t="s">
        <v>650</v>
      </c>
      <c r="C69" t="s">
        <v>511</v>
      </c>
      <c r="D69" t="s">
        <v>802</v>
      </c>
      <c r="E69">
        <v>0</v>
      </c>
      <c r="F69" t="s">
        <v>803</v>
      </c>
    </row>
    <row r="70" spans="1:6">
      <c r="A70">
        <v>67</v>
      </c>
      <c r="B70" s="31" t="s">
        <v>651</v>
      </c>
      <c r="C70" t="s">
        <v>511</v>
      </c>
      <c r="D70" t="s">
        <v>804</v>
      </c>
      <c r="E70">
        <v>0</v>
      </c>
      <c r="F70" t="s">
        <v>805</v>
      </c>
    </row>
  </sheetData>
  <mergeCells count="1">
    <mergeCell ref="A1:F1"/>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
  <sheetViews>
    <sheetView workbookViewId="0">
      <selection activeCell="G9" sqref="G9"/>
    </sheetView>
  </sheetViews>
  <sheetFormatPr baseColWidth="10" defaultColWidth="8.83203125" defaultRowHeight="14" x14ac:dyDescent="0"/>
  <cols>
    <col min="2" max="2" width="68.33203125" customWidth="1"/>
    <col min="3" max="3" width="15.5" customWidth="1"/>
    <col min="4" max="4" width="87.83203125" customWidth="1"/>
    <col min="5" max="5" width="18.6640625" customWidth="1"/>
  </cols>
  <sheetData>
    <row r="1" spans="1:5" ht="36.75" customHeight="1">
      <c r="A1" s="544" t="s">
        <v>675</v>
      </c>
      <c r="B1" s="544"/>
      <c r="C1" s="544"/>
      <c r="D1" s="544"/>
      <c r="E1" s="544"/>
    </row>
    <row r="2" spans="1:5" ht="30" customHeight="1" thickBot="1">
      <c r="A2" s="8" t="s">
        <v>669</v>
      </c>
      <c r="B2" s="8" t="s">
        <v>465</v>
      </c>
      <c r="C2" s="8" t="s">
        <v>466</v>
      </c>
      <c r="D2" s="8" t="s">
        <v>379</v>
      </c>
      <c r="E2" s="8" t="s">
        <v>467</v>
      </c>
    </row>
    <row r="3" spans="1:5" ht="15" thickTop="1">
      <c r="A3">
        <v>1</v>
      </c>
      <c r="B3" s="34" t="s">
        <v>806</v>
      </c>
      <c r="C3" t="s">
        <v>807</v>
      </c>
      <c r="D3" t="s">
        <v>808</v>
      </c>
      <c r="E3">
        <v>0</v>
      </c>
    </row>
    <row r="4" spans="1:5">
      <c r="A4">
        <v>2</v>
      </c>
      <c r="B4" s="34" t="s">
        <v>809</v>
      </c>
      <c r="C4" t="s">
        <v>807</v>
      </c>
      <c r="D4" t="s">
        <v>810</v>
      </c>
      <c r="E4">
        <v>0</v>
      </c>
    </row>
    <row r="5" spans="1:5">
      <c r="A5">
        <v>3</v>
      </c>
      <c r="B5" s="34" t="s">
        <v>811</v>
      </c>
      <c r="C5" t="s">
        <v>807</v>
      </c>
      <c r="D5" t="s">
        <v>812</v>
      </c>
      <c r="E5">
        <v>0</v>
      </c>
    </row>
    <row r="6" spans="1:5">
      <c r="A6">
        <v>4</v>
      </c>
      <c r="B6" s="34" t="s">
        <v>813</v>
      </c>
      <c r="C6" t="s">
        <v>807</v>
      </c>
      <c r="D6" t="s">
        <v>814</v>
      </c>
      <c r="E6">
        <v>0</v>
      </c>
    </row>
    <row r="7" spans="1:5">
      <c r="A7">
        <v>5</v>
      </c>
      <c r="B7" s="34" t="s">
        <v>815</v>
      </c>
      <c r="C7" t="s">
        <v>807</v>
      </c>
      <c r="D7" t="s">
        <v>816</v>
      </c>
      <c r="E7">
        <v>0</v>
      </c>
    </row>
    <row r="8" spans="1:5">
      <c r="A8">
        <v>6</v>
      </c>
      <c r="B8" s="11" t="s">
        <v>817</v>
      </c>
      <c r="C8" t="s">
        <v>807</v>
      </c>
      <c r="D8" s="35" t="s">
        <v>818</v>
      </c>
      <c r="E8">
        <v>0</v>
      </c>
    </row>
    <row r="9" spans="1:5">
      <c r="A9">
        <v>7</v>
      </c>
      <c r="B9" s="11" t="s">
        <v>819</v>
      </c>
      <c r="C9" t="s">
        <v>807</v>
      </c>
      <c r="D9" s="35" t="s">
        <v>820</v>
      </c>
      <c r="E9">
        <v>0</v>
      </c>
    </row>
    <row r="10" spans="1:5">
      <c r="A10">
        <v>8</v>
      </c>
      <c r="B10" s="11" t="s">
        <v>821</v>
      </c>
      <c r="C10" t="s">
        <v>807</v>
      </c>
      <c r="D10" s="35" t="s">
        <v>822</v>
      </c>
      <c r="E10">
        <v>0</v>
      </c>
    </row>
    <row r="11" spans="1:5">
      <c r="A11">
        <v>9</v>
      </c>
      <c r="B11" s="34" t="s">
        <v>823</v>
      </c>
      <c r="C11" t="s">
        <v>807</v>
      </c>
      <c r="D11" t="s">
        <v>824</v>
      </c>
      <c r="E11">
        <v>0</v>
      </c>
    </row>
    <row r="12" spans="1:5">
      <c r="A12">
        <v>10</v>
      </c>
      <c r="B12" s="34" t="s">
        <v>825</v>
      </c>
      <c r="C12" t="s">
        <v>807</v>
      </c>
      <c r="D12" t="s">
        <v>826</v>
      </c>
      <c r="E12">
        <v>0</v>
      </c>
    </row>
    <row r="13" spans="1:5">
      <c r="A13">
        <v>11</v>
      </c>
      <c r="B13" s="34" t="s">
        <v>827</v>
      </c>
      <c r="C13" t="s">
        <v>807</v>
      </c>
      <c r="D13" t="s">
        <v>828</v>
      </c>
      <c r="E13">
        <v>0</v>
      </c>
    </row>
    <row r="14" spans="1:5">
      <c r="A14">
        <v>12</v>
      </c>
      <c r="B14" s="34" t="s">
        <v>829</v>
      </c>
      <c r="C14" t="s">
        <v>807</v>
      </c>
      <c r="D14" s="35" t="s">
        <v>830</v>
      </c>
      <c r="E14">
        <v>0</v>
      </c>
    </row>
    <row r="15" spans="1:5">
      <c r="A15">
        <v>13</v>
      </c>
      <c r="B15" s="34" t="s">
        <v>831</v>
      </c>
      <c r="C15" t="s">
        <v>807</v>
      </c>
      <c r="D15" t="s">
        <v>832</v>
      </c>
      <c r="E15">
        <v>0</v>
      </c>
    </row>
    <row r="16" spans="1:5">
      <c r="A16">
        <v>14</v>
      </c>
      <c r="B16" s="34" t="s">
        <v>833</v>
      </c>
      <c r="C16" t="s">
        <v>807</v>
      </c>
      <c r="D16" t="s">
        <v>834</v>
      </c>
      <c r="E16">
        <v>0</v>
      </c>
    </row>
    <row r="17" spans="1:5">
      <c r="A17">
        <v>15</v>
      </c>
      <c r="B17" s="34" t="s">
        <v>835</v>
      </c>
      <c r="C17" t="s">
        <v>807</v>
      </c>
      <c r="D17" t="s">
        <v>836</v>
      </c>
      <c r="E17">
        <v>0</v>
      </c>
    </row>
    <row r="18" spans="1:5">
      <c r="A18">
        <v>16</v>
      </c>
      <c r="B18" s="34" t="s">
        <v>837</v>
      </c>
      <c r="C18" t="s">
        <v>807</v>
      </c>
      <c r="D18" t="s">
        <v>838</v>
      </c>
      <c r="E18">
        <v>0</v>
      </c>
    </row>
    <row r="19" spans="1:5">
      <c r="A19">
        <v>17</v>
      </c>
      <c r="B19" s="34" t="s">
        <v>839</v>
      </c>
      <c r="C19" t="s">
        <v>807</v>
      </c>
      <c r="D19" t="s">
        <v>840</v>
      </c>
      <c r="E19">
        <v>0</v>
      </c>
    </row>
    <row r="20" spans="1:5">
      <c r="A20">
        <v>18</v>
      </c>
      <c r="B20" s="34" t="s">
        <v>841</v>
      </c>
      <c r="C20" t="s">
        <v>807</v>
      </c>
      <c r="D20" t="s">
        <v>842</v>
      </c>
      <c r="E20">
        <v>0</v>
      </c>
    </row>
    <row r="21" spans="1:5">
      <c r="A21">
        <v>19</v>
      </c>
      <c r="B21" s="34" t="s">
        <v>843</v>
      </c>
      <c r="C21" t="s">
        <v>807</v>
      </c>
      <c r="D21" t="s">
        <v>844</v>
      </c>
      <c r="E21">
        <v>0</v>
      </c>
    </row>
    <row r="22" spans="1:5">
      <c r="A22">
        <v>20</v>
      </c>
      <c r="B22" s="34" t="s">
        <v>845</v>
      </c>
      <c r="C22" t="s">
        <v>807</v>
      </c>
      <c r="D22" t="s">
        <v>846</v>
      </c>
      <c r="E22">
        <v>0</v>
      </c>
    </row>
    <row r="23" spans="1:5">
      <c r="A23">
        <v>21</v>
      </c>
      <c r="B23" s="11" t="s">
        <v>847</v>
      </c>
      <c r="C23" t="s">
        <v>807</v>
      </c>
      <c r="D23" s="35" t="s">
        <v>848</v>
      </c>
      <c r="E23">
        <v>0</v>
      </c>
    </row>
    <row r="24" spans="1:5">
      <c r="A24">
        <v>22</v>
      </c>
      <c r="B24" s="11" t="s">
        <v>849</v>
      </c>
      <c r="C24" t="s">
        <v>807</v>
      </c>
      <c r="D24" s="35" t="s">
        <v>850</v>
      </c>
      <c r="E24">
        <v>0</v>
      </c>
    </row>
    <row r="25" spans="1:5">
      <c r="A25">
        <v>23</v>
      </c>
      <c r="B25" s="34" t="s">
        <v>851</v>
      </c>
      <c r="C25" t="s">
        <v>807</v>
      </c>
      <c r="D25" s="35" t="s">
        <v>852</v>
      </c>
      <c r="E25">
        <v>0</v>
      </c>
    </row>
    <row r="26" spans="1:5">
      <c r="A26">
        <v>24</v>
      </c>
      <c r="B26" s="34" t="s">
        <v>853</v>
      </c>
      <c r="C26" t="s">
        <v>807</v>
      </c>
      <c r="D26" s="35" t="s">
        <v>854</v>
      </c>
      <c r="E26">
        <v>0</v>
      </c>
    </row>
    <row r="27" spans="1:5">
      <c r="A27">
        <v>25</v>
      </c>
      <c r="B27" s="34" t="s">
        <v>855</v>
      </c>
      <c r="C27" t="s">
        <v>807</v>
      </c>
      <c r="D27" s="35" t="s">
        <v>856</v>
      </c>
      <c r="E27">
        <v>0</v>
      </c>
    </row>
    <row r="28" spans="1:5">
      <c r="A28">
        <v>26</v>
      </c>
      <c r="B28" s="34" t="s">
        <v>857</v>
      </c>
      <c r="C28" t="s">
        <v>807</v>
      </c>
      <c r="D28" s="35" t="s">
        <v>858</v>
      </c>
      <c r="E28">
        <v>0</v>
      </c>
    </row>
    <row r="29" spans="1:5">
      <c r="A29">
        <v>27</v>
      </c>
      <c r="B29" s="34" t="s">
        <v>859</v>
      </c>
      <c r="C29" t="s">
        <v>807</v>
      </c>
      <c r="D29" s="35" t="s">
        <v>860</v>
      </c>
      <c r="E29">
        <v>0</v>
      </c>
    </row>
    <row r="30" spans="1:5">
      <c r="A30">
        <v>28</v>
      </c>
      <c r="B30" s="34" t="s">
        <v>861</v>
      </c>
      <c r="C30" t="s">
        <v>807</v>
      </c>
      <c r="D30" s="35" t="s">
        <v>862</v>
      </c>
      <c r="E30">
        <v>0</v>
      </c>
    </row>
    <row r="31" spans="1:5">
      <c r="A31">
        <v>29</v>
      </c>
      <c r="B31" s="34" t="s">
        <v>863</v>
      </c>
      <c r="C31" t="s">
        <v>807</v>
      </c>
      <c r="D31" s="35" t="s">
        <v>864</v>
      </c>
      <c r="E31">
        <v>0</v>
      </c>
    </row>
    <row r="32" spans="1:5">
      <c r="A32">
        <v>30</v>
      </c>
      <c r="B32" s="34" t="s">
        <v>865</v>
      </c>
      <c r="C32" t="s">
        <v>807</v>
      </c>
      <c r="D32" s="35" t="s">
        <v>866</v>
      </c>
      <c r="E32">
        <v>0</v>
      </c>
    </row>
    <row r="33" spans="1:5">
      <c r="A33">
        <v>31</v>
      </c>
      <c r="B33" s="34" t="s">
        <v>867</v>
      </c>
      <c r="C33" t="s">
        <v>807</v>
      </c>
      <c r="D33" s="35" t="s">
        <v>868</v>
      </c>
      <c r="E33">
        <v>0</v>
      </c>
    </row>
    <row r="34" spans="1:5">
      <c r="A34">
        <v>32</v>
      </c>
      <c r="B34" s="34" t="s">
        <v>869</v>
      </c>
      <c r="C34" t="s">
        <v>807</v>
      </c>
      <c r="D34" s="35" t="s">
        <v>870</v>
      </c>
      <c r="E34">
        <v>0</v>
      </c>
    </row>
    <row r="35" spans="1:5">
      <c r="A35">
        <v>33</v>
      </c>
      <c r="B35" s="34" t="s">
        <v>871</v>
      </c>
      <c r="C35" t="s">
        <v>807</v>
      </c>
      <c r="D35" s="35" t="s">
        <v>872</v>
      </c>
      <c r="E35">
        <v>0</v>
      </c>
    </row>
    <row r="36" spans="1:5">
      <c r="A36">
        <v>34</v>
      </c>
      <c r="B36" s="34" t="s">
        <v>873</v>
      </c>
      <c r="C36" t="s">
        <v>807</v>
      </c>
      <c r="D36" s="35" t="s">
        <v>415</v>
      </c>
      <c r="E36">
        <v>0</v>
      </c>
    </row>
    <row r="37" spans="1:5">
      <c r="A37">
        <v>35</v>
      </c>
      <c r="B37" s="34" t="s">
        <v>874</v>
      </c>
      <c r="C37" t="s">
        <v>807</v>
      </c>
      <c r="D37" t="s">
        <v>875</v>
      </c>
      <c r="E37">
        <v>0</v>
      </c>
    </row>
    <row r="38" spans="1:5">
      <c r="A38">
        <v>36</v>
      </c>
      <c r="B38" s="34" t="s">
        <v>876</v>
      </c>
      <c r="C38" t="s">
        <v>807</v>
      </c>
      <c r="D38" t="s">
        <v>877</v>
      </c>
      <c r="E38">
        <v>0</v>
      </c>
    </row>
    <row r="39" spans="1:5">
      <c r="A39">
        <v>37</v>
      </c>
      <c r="B39" s="34" t="s">
        <v>878</v>
      </c>
      <c r="C39" t="s">
        <v>807</v>
      </c>
      <c r="D39" s="36" t="s">
        <v>879</v>
      </c>
      <c r="E39">
        <v>0</v>
      </c>
    </row>
    <row r="40" spans="1:5">
      <c r="A40">
        <v>38</v>
      </c>
      <c r="B40" s="34" t="s">
        <v>880</v>
      </c>
      <c r="C40" t="s">
        <v>807</v>
      </c>
      <c r="D40" t="s">
        <v>881</v>
      </c>
      <c r="E40">
        <v>0</v>
      </c>
    </row>
    <row r="41" spans="1:5">
      <c r="A41">
        <v>39</v>
      </c>
      <c r="B41" s="34" t="s">
        <v>882</v>
      </c>
      <c r="C41" t="s">
        <v>807</v>
      </c>
      <c r="D41" t="s">
        <v>883</v>
      </c>
      <c r="E41">
        <v>0</v>
      </c>
    </row>
    <row r="42" spans="1:5">
      <c r="A42">
        <v>40</v>
      </c>
      <c r="B42" s="34" t="s">
        <v>884</v>
      </c>
      <c r="C42" t="s">
        <v>807</v>
      </c>
      <c r="D42" t="s">
        <v>885</v>
      </c>
      <c r="E42">
        <v>0</v>
      </c>
    </row>
    <row r="43" spans="1:5">
      <c r="A43">
        <v>41</v>
      </c>
      <c r="B43" s="34" t="s">
        <v>886</v>
      </c>
      <c r="C43" t="s">
        <v>807</v>
      </c>
      <c r="D43" t="s">
        <v>887</v>
      </c>
      <c r="E43">
        <v>0</v>
      </c>
    </row>
    <row r="44" spans="1:5">
      <c r="A44">
        <v>42</v>
      </c>
      <c r="B44" s="34" t="s">
        <v>888</v>
      </c>
      <c r="C44" t="s">
        <v>807</v>
      </c>
      <c r="D44" t="s">
        <v>889</v>
      </c>
      <c r="E44">
        <v>0</v>
      </c>
    </row>
    <row r="45" spans="1:5">
      <c r="A45">
        <v>43</v>
      </c>
      <c r="B45" s="34" t="s">
        <v>890</v>
      </c>
      <c r="C45" t="s">
        <v>807</v>
      </c>
      <c r="D45" t="s">
        <v>891</v>
      </c>
      <c r="E45">
        <v>0</v>
      </c>
    </row>
    <row r="46" spans="1:5">
      <c r="A46">
        <v>44</v>
      </c>
      <c r="B46" s="34" t="s">
        <v>892</v>
      </c>
      <c r="C46" t="s">
        <v>807</v>
      </c>
      <c r="D46" t="s">
        <v>893</v>
      </c>
      <c r="E46">
        <v>0</v>
      </c>
    </row>
    <row r="47" spans="1:5">
      <c r="A47">
        <v>45</v>
      </c>
      <c r="B47" s="34" t="s">
        <v>894</v>
      </c>
      <c r="C47" t="s">
        <v>807</v>
      </c>
      <c r="D47" t="s">
        <v>895</v>
      </c>
      <c r="E47">
        <v>0</v>
      </c>
    </row>
    <row r="48" spans="1:5">
      <c r="A48">
        <v>46</v>
      </c>
      <c r="B48" s="34" t="s">
        <v>896</v>
      </c>
      <c r="C48" t="s">
        <v>807</v>
      </c>
      <c r="D48" t="s">
        <v>897</v>
      </c>
      <c r="E48">
        <v>0</v>
      </c>
    </row>
    <row r="49" spans="1:5">
      <c r="A49">
        <v>47</v>
      </c>
      <c r="B49" s="34" t="s">
        <v>898</v>
      </c>
      <c r="C49" t="s">
        <v>807</v>
      </c>
      <c r="D49" t="s">
        <v>899</v>
      </c>
      <c r="E49">
        <v>0</v>
      </c>
    </row>
    <row r="50" spans="1:5">
      <c r="A50">
        <v>48</v>
      </c>
      <c r="B50" s="34" t="s">
        <v>900</v>
      </c>
      <c r="C50" t="s">
        <v>807</v>
      </c>
      <c r="D50" t="s">
        <v>901</v>
      </c>
      <c r="E50">
        <v>0</v>
      </c>
    </row>
    <row r="51" spans="1:5">
      <c r="A51">
        <v>49</v>
      </c>
      <c r="B51" s="34" t="s">
        <v>902</v>
      </c>
      <c r="C51" t="s">
        <v>807</v>
      </c>
      <c r="D51" t="s">
        <v>903</v>
      </c>
      <c r="E51">
        <v>0</v>
      </c>
    </row>
    <row r="52" spans="1:5">
      <c r="A52">
        <v>50</v>
      </c>
      <c r="B52" s="34" t="s">
        <v>904</v>
      </c>
      <c r="C52" t="s">
        <v>807</v>
      </c>
      <c r="D52" t="s">
        <v>905</v>
      </c>
      <c r="E52">
        <v>0</v>
      </c>
    </row>
    <row r="53" spans="1:5">
      <c r="A53">
        <v>51</v>
      </c>
      <c r="B53" s="34" t="s">
        <v>906</v>
      </c>
      <c r="C53" t="s">
        <v>807</v>
      </c>
      <c r="D53" t="s">
        <v>907</v>
      </c>
      <c r="E53">
        <v>0</v>
      </c>
    </row>
    <row r="54" spans="1:5">
      <c r="A54">
        <v>52</v>
      </c>
      <c r="B54" s="34" t="s">
        <v>908</v>
      </c>
      <c r="C54" t="s">
        <v>807</v>
      </c>
      <c r="D54" t="s">
        <v>909</v>
      </c>
      <c r="E54">
        <v>0</v>
      </c>
    </row>
    <row r="55" spans="1:5">
      <c r="A55">
        <v>53</v>
      </c>
      <c r="B55" s="34" t="s">
        <v>910</v>
      </c>
      <c r="C55" t="s">
        <v>807</v>
      </c>
      <c r="D55" t="s">
        <v>911</v>
      </c>
      <c r="E55">
        <v>0</v>
      </c>
    </row>
    <row r="56" spans="1:5">
      <c r="A56">
        <v>54</v>
      </c>
      <c r="B56" s="34" t="s">
        <v>912</v>
      </c>
      <c r="C56" t="s">
        <v>807</v>
      </c>
      <c r="D56" t="s">
        <v>913</v>
      </c>
      <c r="E56">
        <v>0</v>
      </c>
    </row>
    <row r="57" spans="1:5">
      <c r="A57">
        <v>55</v>
      </c>
      <c r="B57" s="34" t="s">
        <v>914</v>
      </c>
      <c r="C57" t="s">
        <v>807</v>
      </c>
      <c r="D57" t="s">
        <v>915</v>
      </c>
      <c r="E57">
        <v>0</v>
      </c>
    </row>
    <row r="58" spans="1:5">
      <c r="A58">
        <v>56</v>
      </c>
      <c r="B58" s="34" t="s">
        <v>916</v>
      </c>
      <c r="C58" t="s">
        <v>807</v>
      </c>
      <c r="D58" t="s">
        <v>917</v>
      </c>
      <c r="E58">
        <v>0</v>
      </c>
    </row>
    <row r="59" spans="1:5">
      <c r="A59">
        <v>57</v>
      </c>
      <c r="B59" s="34" t="s">
        <v>918</v>
      </c>
      <c r="C59" t="s">
        <v>807</v>
      </c>
      <c r="D59" t="s">
        <v>919</v>
      </c>
      <c r="E59">
        <v>0</v>
      </c>
    </row>
    <row r="60" spans="1:5">
      <c r="A60">
        <v>58</v>
      </c>
      <c r="B60" s="34" t="s">
        <v>920</v>
      </c>
      <c r="C60" t="s">
        <v>807</v>
      </c>
      <c r="D60" t="s">
        <v>921</v>
      </c>
      <c r="E60">
        <v>0</v>
      </c>
    </row>
    <row r="61" spans="1:5">
      <c r="A61">
        <v>59</v>
      </c>
      <c r="B61" s="34" t="s">
        <v>922</v>
      </c>
      <c r="C61" t="s">
        <v>807</v>
      </c>
      <c r="D61" t="s">
        <v>923</v>
      </c>
      <c r="E61">
        <v>0</v>
      </c>
    </row>
    <row r="62" spans="1:5">
      <c r="A62">
        <v>60</v>
      </c>
      <c r="B62" s="34" t="s">
        <v>924</v>
      </c>
      <c r="C62" t="s">
        <v>807</v>
      </c>
      <c r="D62" t="s">
        <v>925</v>
      </c>
      <c r="E62">
        <v>0</v>
      </c>
    </row>
    <row r="63" spans="1:5">
      <c r="A63">
        <v>61</v>
      </c>
      <c r="B63" s="34" t="s">
        <v>926</v>
      </c>
      <c r="C63" t="s">
        <v>807</v>
      </c>
      <c r="D63" t="s">
        <v>927</v>
      </c>
      <c r="E63">
        <v>0</v>
      </c>
    </row>
    <row r="64" spans="1:5">
      <c r="A64">
        <v>62</v>
      </c>
      <c r="B64" s="34" t="s">
        <v>642</v>
      </c>
      <c r="C64" t="s">
        <v>807</v>
      </c>
      <c r="D64" t="s">
        <v>928</v>
      </c>
      <c r="E64">
        <v>0</v>
      </c>
    </row>
    <row r="65" spans="1:5">
      <c r="A65">
        <v>63</v>
      </c>
      <c r="B65" s="34" t="s">
        <v>643</v>
      </c>
      <c r="C65" t="s">
        <v>807</v>
      </c>
      <c r="D65" t="s">
        <v>929</v>
      </c>
      <c r="E65">
        <v>0</v>
      </c>
    </row>
    <row r="66" spans="1:5">
      <c r="A66">
        <v>64</v>
      </c>
      <c r="B66" s="34" t="s">
        <v>644</v>
      </c>
      <c r="C66" t="s">
        <v>807</v>
      </c>
      <c r="D66" t="s">
        <v>930</v>
      </c>
      <c r="E66">
        <v>0</v>
      </c>
    </row>
    <row r="67" spans="1:5">
      <c r="A67">
        <v>65</v>
      </c>
      <c r="B67" s="34" t="s">
        <v>931</v>
      </c>
      <c r="C67" t="s">
        <v>807</v>
      </c>
      <c r="D67" t="s">
        <v>932</v>
      </c>
      <c r="E67">
        <v>0</v>
      </c>
    </row>
    <row r="68" spans="1:5">
      <c r="A68">
        <v>66</v>
      </c>
      <c r="B68" s="34" t="s">
        <v>933</v>
      </c>
      <c r="C68" t="s">
        <v>807</v>
      </c>
      <c r="D68" t="s">
        <v>934</v>
      </c>
      <c r="E68">
        <v>0</v>
      </c>
    </row>
    <row r="69" spans="1:5">
      <c r="A69">
        <v>67</v>
      </c>
      <c r="B69" s="34" t="s">
        <v>935</v>
      </c>
      <c r="C69" t="s">
        <v>807</v>
      </c>
      <c r="D69" t="s">
        <v>936</v>
      </c>
      <c r="E69">
        <v>0</v>
      </c>
    </row>
    <row r="70" spans="1:5">
      <c r="A70">
        <v>68</v>
      </c>
      <c r="B70" s="34" t="s">
        <v>937</v>
      </c>
      <c r="C70" t="s">
        <v>807</v>
      </c>
      <c r="D70" t="s">
        <v>938</v>
      </c>
      <c r="E70">
        <v>0</v>
      </c>
    </row>
    <row r="71" spans="1:5">
      <c r="A71">
        <v>69</v>
      </c>
      <c r="B71" s="34" t="s">
        <v>939</v>
      </c>
      <c r="C71" t="s">
        <v>807</v>
      </c>
      <c r="D71" t="s">
        <v>940</v>
      </c>
      <c r="E71">
        <v>0</v>
      </c>
    </row>
    <row r="72" spans="1:5">
      <c r="A72">
        <v>70</v>
      </c>
      <c r="B72" s="34" t="s">
        <v>941</v>
      </c>
      <c r="C72" t="s">
        <v>807</v>
      </c>
      <c r="D72" t="s">
        <v>942</v>
      </c>
      <c r="E72">
        <v>0</v>
      </c>
    </row>
    <row r="73" spans="1:5">
      <c r="A73">
        <v>71</v>
      </c>
      <c r="B73" s="34" t="s">
        <v>943</v>
      </c>
      <c r="C73" t="s">
        <v>807</v>
      </c>
      <c r="D73" t="s">
        <v>944</v>
      </c>
      <c r="E73">
        <v>0</v>
      </c>
    </row>
    <row r="74" spans="1:5">
      <c r="A74">
        <v>72</v>
      </c>
      <c r="B74" s="34" t="s">
        <v>945</v>
      </c>
      <c r="C74" t="s">
        <v>807</v>
      </c>
      <c r="D74" t="s">
        <v>946</v>
      </c>
      <c r="E74">
        <v>0</v>
      </c>
    </row>
    <row r="75" spans="1:5">
      <c r="A75">
        <v>73</v>
      </c>
      <c r="B75" s="34" t="s">
        <v>947</v>
      </c>
      <c r="C75" t="s">
        <v>807</v>
      </c>
      <c r="D75" t="s">
        <v>948</v>
      </c>
      <c r="E75">
        <v>0</v>
      </c>
    </row>
    <row r="76" spans="1:5">
      <c r="A76">
        <v>74</v>
      </c>
      <c r="B76" s="34" t="s">
        <v>949</v>
      </c>
      <c r="C76" t="s">
        <v>807</v>
      </c>
      <c r="D76" t="s">
        <v>950</v>
      </c>
      <c r="E76">
        <v>0</v>
      </c>
    </row>
  </sheetData>
  <mergeCells count="1">
    <mergeCell ref="A1:E1"/>
  </mergeCells>
  <hyperlinks>
    <hyperlink ref="D39" r:id="rId1"/>
  </hyperlink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topLeftCell="B1" workbookViewId="0">
      <selection activeCell="R10" sqref="R10"/>
    </sheetView>
  </sheetViews>
  <sheetFormatPr baseColWidth="10" defaultColWidth="8.83203125" defaultRowHeight="14" x14ac:dyDescent="0"/>
  <cols>
    <col min="1" max="1" width="41.83203125" hidden="1" customWidth="1"/>
    <col min="2" max="2" width="46.6640625" customWidth="1"/>
    <col min="3" max="3" width="38" hidden="1" customWidth="1"/>
    <col min="4" max="4" width="126.5" customWidth="1"/>
    <col min="5" max="5" width="18.6640625" customWidth="1"/>
    <col min="6" max="6" width="71.1640625" customWidth="1"/>
    <col min="7" max="7" width="47.1640625" customWidth="1"/>
    <col min="8" max="8" width="32.33203125" customWidth="1"/>
    <col min="9" max="9" width="92.83203125" customWidth="1"/>
    <col min="10" max="10" width="26.33203125" customWidth="1"/>
    <col min="11" max="11" width="26.6640625" customWidth="1"/>
    <col min="12" max="12" width="25.6640625" customWidth="1"/>
    <col min="13" max="13" width="25.33203125" customWidth="1"/>
    <col min="14" max="14" width="21.83203125" customWidth="1"/>
    <col min="15" max="15" width="25.33203125" customWidth="1"/>
  </cols>
  <sheetData>
    <row r="1" spans="1:10" ht="20" thickBot="1">
      <c r="A1" s="8" t="s">
        <v>669</v>
      </c>
      <c r="B1" s="8" t="s">
        <v>465</v>
      </c>
      <c r="C1" s="8" t="s">
        <v>466</v>
      </c>
      <c r="D1" s="8" t="s">
        <v>379</v>
      </c>
      <c r="E1" s="8" t="s">
        <v>467</v>
      </c>
      <c r="F1" s="6" t="s">
        <v>468</v>
      </c>
      <c r="G1" s="6" t="s">
        <v>951</v>
      </c>
      <c r="H1" s="37" t="s">
        <v>952</v>
      </c>
    </row>
    <row r="2" spans="1:10" ht="15" thickTop="1">
      <c r="A2">
        <v>1</v>
      </c>
      <c r="B2" t="s">
        <v>478</v>
      </c>
      <c r="C2" t="s">
        <v>596</v>
      </c>
      <c r="D2" t="s">
        <v>385</v>
      </c>
      <c r="E2">
        <v>2</v>
      </c>
      <c r="F2" t="s">
        <v>953</v>
      </c>
      <c r="G2" t="s">
        <v>51</v>
      </c>
    </row>
    <row r="3" spans="1:10">
      <c r="A3">
        <v>2</v>
      </c>
      <c r="B3" t="s">
        <v>665</v>
      </c>
      <c r="C3" t="s">
        <v>954</v>
      </c>
      <c r="D3" t="s">
        <v>386</v>
      </c>
      <c r="E3">
        <v>1</v>
      </c>
      <c r="F3" t="s">
        <v>955</v>
      </c>
      <c r="G3" t="s">
        <v>665</v>
      </c>
    </row>
    <row r="4" spans="1:10">
      <c r="A4">
        <v>3</v>
      </c>
      <c r="B4" t="s">
        <v>46</v>
      </c>
      <c r="C4" t="s">
        <v>596</v>
      </c>
      <c r="D4" t="s">
        <v>387</v>
      </c>
      <c r="E4">
        <v>2</v>
      </c>
      <c r="F4" t="s">
        <v>956</v>
      </c>
      <c r="G4" t="s">
        <v>46</v>
      </c>
    </row>
    <row r="5" spans="1:10">
      <c r="A5">
        <v>4</v>
      </c>
      <c r="B5" t="s">
        <v>957</v>
      </c>
      <c r="C5" t="s">
        <v>596</v>
      </c>
      <c r="D5" t="s">
        <v>958</v>
      </c>
      <c r="E5">
        <v>2</v>
      </c>
      <c r="F5" t="s">
        <v>959</v>
      </c>
      <c r="G5" t="s">
        <v>960</v>
      </c>
    </row>
    <row r="6" spans="1:10">
      <c r="A6">
        <v>5</v>
      </c>
      <c r="B6" t="s">
        <v>509</v>
      </c>
      <c r="C6" t="s">
        <v>596</v>
      </c>
      <c r="D6" t="s">
        <v>388</v>
      </c>
      <c r="E6">
        <v>0</v>
      </c>
      <c r="F6" t="s">
        <v>961</v>
      </c>
      <c r="G6" t="s">
        <v>962</v>
      </c>
    </row>
    <row r="7" spans="1:10">
      <c r="A7">
        <v>6</v>
      </c>
      <c r="B7" t="s">
        <v>963</v>
      </c>
      <c r="C7" t="s">
        <v>596</v>
      </c>
      <c r="D7" t="s">
        <v>389</v>
      </c>
      <c r="E7">
        <v>1</v>
      </c>
      <c r="F7" t="s">
        <v>964</v>
      </c>
      <c r="G7" t="s">
        <v>965</v>
      </c>
    </row>
    <row r="8" spans="1:10">
      <c r="A8">
        <v>7</v>
      </c>
      <c r="B8" t="s">
        <v>477</v>
      </c>
      <c r="C8" t="s">
        <v>596</v>
      </c>
      <c r="D8" t="s">
        <v>390</v>
      </c>
      <c r="E8">
        <v>2</v>
      </c>
      <c r="F8" t="s">
        <v>966</v>
      </c>
      <c r="G8" t="s">
        <v>967</v>
      </c>
    </row>
    <row r="9" spans="1:10">
      <c r="A9">
        <v>8</v>
      </c>
      <c r="B9" t="s">
        <v>968</v>
      </c>
      <c r="C9" t="s">
        <v>596</v>
      </c>
      <c r="D9" t="s">
        <v>391</v>
      </c>
      <c r="E9">
        <v>2</v>
      </c>
      <c r="F9" t="s">
        <v>969</v>
      </c>
      <c r="G9" t="s">
        <v>476</v>
      </c>
    </row>
    <row r="10" spans="1:10">
      <c r="A10">
        <v>9</v>
      </c>
      <c r="B10" t="s">
        <v>479</v>
      </c>
      <c r="C10" t="s">
        <v>596</v>
      </c>
      <c r="D10" t="s">
        <v>392</v>
      </c>
      <c r="E10">
        <v>2</v>
      </c>
      <c r="F10" t="s">
        <v>970</v>
      </c>
      <c r="G10" t="s">
        <v>21</v>
      </c>
    </row>
    <row r="11" spans="1:10">
      <c r="A11">
        <v>10</v>
      </c>
      <c r="B11" t="s">
        <v>59</v>
      </c>
      <c r="C11" t="s">
        <v>596</v>
      </c>
      <c r="D11" t="s">
        <v>393</v>
      </c>
      <c r="E11">
        <v>2</v>
      </c>
      <c r="F11" t="s">
        <v>971</v>
      </c>
      <c r="G11" t="s">
        <v>59</v>
      </c>
    </row>
    <row r="12" spans="1:10">
      <c r="A12">
        <v>11</v>
      </c>
      <c r="B12" t="s">
        <v>41</v>
      </c>
      <c r="C12" t="s">
        <v>596</v>
      </c>
      <c r="D12" t="s">
        <v>394</v>
      </c>
      <c r="E12">
        <v>1</v>
      </c>
      <c r="F12" t="s">
        <v>972</v>
      </c>
      <c r="G12" t="s">
        <v>41</v>
      </c>
    </row>
    <row r="13" spans="1:10">
      <c r="A13">
        <v>12</v>
      </c>
      <c r="B13" t="s">
        <v>538</v>
      </c>
      <c r="C13" t="s">
        <v>596</v>
      </c>
      <c r="D13" t="s">
        <v>395</v>
      </c>
      <c r="E13">
        <v>2</v>
      </c>
      <c r="F13" t="s">
        <v>973</v>
      </c>
      <c r="G13" t="s">
        <v>974</v>
      </c>
      <c r="H13" t="s">
        <v>975</v>
      </c>
    </row>
    <row r="14" spans="1:10">
      <c r="A14">
        <v>13</v>
      </c>
      <c r="B14" t="s">
        <v>487</v>
      </c>
      <c r="C14" t="s">
        <v>596</v>
      </c>
      <c r="D14" t="s">
        <v>396</v>
      </c>
      <c r="E14">
        <v>2</v>
      </c>
      <c r="F14" t="s">
        <v>976</v>
      </c>
      <c r="G14" t="s">
        <v>977</v>
      </c>
      <c r="I14" t="s">
        <v>978</v>
      </c>
      <c r="J14" t="s">
        <v>979</v>
      </c>
    </row>
    <row r="15" spans="1:10">
      <c r="A15">
        <v>14</v>
      </c>
      <c r="B15" t="s">
        <v>128</v>
      </c>
      <c r="C15" t="s">
        <v>596</v>
      </c>
      <c r="D15" t="s">
        <v>397</v>
      </c>
      <c r="E15">
        <v>1</v>
      </c>
      <c r="F15" t="s">
        <v>980</v>
      </c>
      <c r="G15" t="s">
        <v>128</v>
      </c>
    </row>
    <row r="16" spans="1:10">
      <c r="A16">
        <v>15</v>
      </c>
      <c r="B16" t="s">
        <v>981</v>
      </c>
      <c r="C16" t="s">
        <v>596</v>
      </c>
      <c r="D16" t="s">
        <v>398</v>
      </c>
      <c r="E16">
        <v>1</v>
      </c>
      <c r="F16" t="s">
        <v>982</v>
      </c>
      <c r="G16" t="s">
        <v>983</v>
      </c>
    </row>
    <row r="17" spans="1:10">
      <c r="A17">
        <v>16</v>
      </c>
      <c r="B17" t="s">
        <v>984</v>
      </c>
      <c r="C17" t="s">
        <v>596</v>
      </c>
      <c r="D17" t="s">
        <v>399</v>
      </c>
      <c r="E17">
        <v>2</v>
      </c>
      <c r="F17" t="s">
        <v>985</v>
      </c>
      <c r="G17" t="s">
        <v>986</v>
      </c>
    </row>
    <row r="18" spans="1:10">
      <c r="A18">
        <v>17</v>
      </c>
      <c r="B18" t="s">
        <v>987</v>
      </c>
      <c r="C18" t="s">
        <v>596</v>
      </c>
      <c r="D18" t="s">
        <v>400</v>
      </c>
      <c r="E18">
        <v>2</v>
      </c>
      <c r="F18" t="s">
        <v>988</v>
      </c>
      <c r="G18" t="s">
        <v>989</v>
      </c>
    </row>
    <row r="19" spans="1:10">
      <c r="A19">
        <v>18</v>
      </c>
      <c r="B19" t="s">
        <v>990</v>
      </c>
      <c r="C19" t="s">
        <v>596</v>
      </c>
      <c r="D19" t="s">
        <v>401</v>
      </c>
      <c r="E19">
        <v>2</v>
      </c>
      <c r="F19" t="s">
        <v>991</v>
      </c>
      <c r="G19" t="s">
        <v>91</v>
      </c>
      <c r="I19" t="s">
        <v>992</v>
      </c>
      <c r="J19" t="s">
        <v>993</v>
      </c>
    </row>
    <row r="20" spans="1:10">
      <c r="A20">
        <v>19</v>
      </c>
      <c r="B20" t="s">
        <v>994</v>
      </c>
      <c r="C20" t="s">
        <v>596</v>
      </c>
      <c r="D20" t="s">
        <v>384</v>
      </c>
      <c r="E20">
        <v>0</v>
      </c>
      <c r="F20" t="s">
        <v>995</v>
      </c>
      <c r="G20" t="s">
        <v>996</v>
      </c>
    </row>
    <row r="21" spans="1:10">
      <c r="A21">
        <v>20</v>
      </c>
      <c r="B21" t="s">
        <v>997</v>
      </c>
      <c r="C21" t="s">
        <v>596</v>
      </c>
      <c r="D21" t="s">
        <v>402</v>
      </c>
      <c r="E21">
        <v>0</v>
      </c>
      <c r="F21" t="s">
        <v>998</v>
      </c>
      <c r="G21" t="s">
        <v>117</v>
      </c>
    </row>
    <row r="22" spans="1:10">
      <c r="A22">
        <v>21</v>
      </c>
      <c r="B22" t="s">
        <v>546</v>
      </c>
      <c r="C22" t="s">
        <v>596</v>
      </c>
      <c r="D22" t="s">
        <v>403</v>
      </c>
      <c r="E22">
        <v>0</v>
      </c>
      <c r="F22" t="s">
        <v>999</v>
      </c>
      <c r="G22" t="s">
        <v>1000</v>
      </c>
    </row>
    <row r="23" spans="1:10">
      <c r="A23">
        <v>22</v>
      </c>
      <c r="B23" t="s">
        <v>1001</v>
      </c>
      <c r="C23" t="s">
        <v>596</v>
      </c>
      <c r="D23" t="s">
        <v>404</v>
      </c>
      <c r="E23">
        <v>1</v>
      </c>
      <c r="F23" t="s">
        <v>1002</v>
      </c>
      <c r="G23" t="s">
        <v>1003</v>
      </c>
    </row>
    <row r="24" spans="1:10">
      <c r="A24">
        <v>23</v>
      </c>
      <c r="B24" t="s">
        <v>1004</v>
      </c>
      <c r="C24" t="s">
        <v>596</v>
      </c>
      <c r="D24" t="s">
        <v>405</v>
      </c>
      <c r="E24">
        <v>0</v>
      </c>
      <c r="F24" t="s">
        <v>1005</v>
      </c>
      <c r="G24" t="s">
        <v>1006</v>
      </c>
    </row>
    <row r="25" spans="1:10">
      <c r="A25">
        <v>24</v>
      </c>
      <c r="B25" t="s">
        <v>1007</v>
      </c>
      <c r="C25" t="s">
        <v>596</v>
      </c>
      <c r="D25" s="36" t="s">
        <v>1008</v>
      </c>
      <c r="E25">
        <v>1</v>
      </c>
      <c r="F25" t="s">
        <v>1009</v>
      </c>
      <c r="G25" t="s">
        <v>1007</v>
      </c>
    </row>
    <row r="26" spans="1:10">
      <c r="A26">
        <v>25</v>
      </c>
      <c r="B26" t="s">
        <v>1010</v>
      </c>
      <c r="C26" t="s">
        <v>596</v>
      </c>
      <c r="D26" t="s">
        <v>1011</v>
      </c>
      <c r="E26">
        <v>2</v>
      </c>
      <c r="F26" t="s">
        <v>1012</v>
      </c>
      <c r="G26" t="s">
        <v>1013</v>
      </c>
    </row>
    <row r="27" spans="1:10">
      <c r="A27">
        <v>26</v>
      </c>
      <c r="B27" t="s">
        <v>556</v>
      </c>
      <c r="C27" t="s">
        <v>596</v>
      </c>
      <c r="D27" t="s">
        <v>1014</v>
      </c>
      <c r="E27">
        <v>2</v>
      </c>
      <c r="F27" t="s">
        <v>1015</v>
      </c>
      <c r="G27" t="s">
        <v>1016</v>
      </c>
    </row>
    <row r="28" spans="1:10">
      <c r="A28">
        <v>27</v>
      </c>
      <c r="B28" t="s">
        <v>1017</v>
      </c>
      <c r="C28" t="s">
        <v>596</v>
      </c>
      <c r="D28" t="s">
        <v>424</v>
      </c>
      <c r="E28">
        <v>2</v>
      </c>
      <c r="F28" t="s">
        <v>1018</v>
      </c>
      <c r="G28" t="s">
        <v>1019</v>
      </c>
    </row>
    <row r="29" spans="1:10">
      <c r="A29">
        <v>28</v>
      </c>
      <c r="B29" t="s">
        <v>1020</v>
      </c>
      <c r="C29" t="s">
        <v>596</v>
      </c>
      <c r="D29" t="s">
        <v>420</v>
      </c>
      <c r="E29">
        <v>2</v>
      </c>
      <c r="F29" t="s">
        <v>1021</v>
      </c>
      <c r="G29" t="s">
        <v>1022</v>
      </c>
    </row>
    <row r="30" spans="1:10">
      <c r="A30">
        <v>29</v>
      </c>
      <c r="B30" t="s">
        <v>1023</v>
      </c>
      <c r="C30" t="s">
        <v>596</v>
      </c>
      <c r="D30" t="s">
        <v>422</v>
      </c>
      <c r="E30">
        <v>2</v>
      </c>
      <c r="F30" t="s">
        <v>1024</v>
      </c>
      <c r="G30" t="s">
        <v>1025</v>
      </c>
    </row>
    <row r="31" spans="1:10">
      <c r="A31">
        <v>30</v>
      </c>
      <c r="B31" t="s">
        <v>1026</v>
      </c>
      <c r="C31" t="s">
        <v>596</v>
      </c>
      <c r="D31" t="s">
        <v>423</v>
      </c>
      <c r="E31">
        <v>2</v>
      </c>
      <c r="F31" t="s">
        <v>1027</v>
      </c>
      <c r="G31" t="s">
        <v>1028</v>
      </c>
    </row>
    <row r="32" spans="1:10">
      <c r="A32">
        <v>31</v>
      </c>
      <c r="B32" t="s">
        <v>540</v>
      </c>
      <c r="C32" t="s">
        <v>596</v>
      </c>
      <c r="D32" t="s">
        <v>408</v>
      </c>
      <c r="E32">
        <v>2</v>
      </c>
      <c r="F32" t="s">
        <v>1029</v>
      </c>
      <c r="G32" t="s">
        <v>540</v>
      </c>
    </row>
    <row r="33" spans="1:7">
      <c r="A33">
        <v>32</v>
      </c>
      <c r="B33" t="s">
        <v>1030</v>
      </c>
      <c r="C33" t="s">
        <v>596</v>
      </c>
      <c r="D33" t="s">
        <v>409</v>
      </c>
      <c r="E33">
        <v>2</v>
      </c>
      <c r="F33" t="s">
        <v>1031</v>
      </c>
      <c r="G33" t="s">
        <v>1032</v>
      </c>
    </row>
    <row r="34" spans="1:7">
      <c r="A34">
        <v>33</v>
      </c>
      <c r="B34" t="s">
        <v>1033</v>
      </c>
      <c r="C34" t="s">
        <v>596</v>
      </c>
      <c r="D34" t="s">
        <v>410</v>
      </c>
      <c r="E34">
        <v>2</v>
      </c>
      <c r="F34" t="s">
        <v>1034</v>
      </c>
      <c r="G34" t="s">
        <v>1033</v>
      </c>
    </row>
    <row r="35" spans="1:7">
      <c r="A35">
        <v>34</v>
      </c>
      <c r="B35" t="s">
        <v>1035</v>
      </c>
      <c r="C35" t="s">
        <v>596</v>
      </c>
      <c r="D35" t="s">
        <v>1036</v>
      </c>
      <c r="E35">
        <v>2</v>
      </c>
      <c r="F35" t="s">
        <v>1037</v>
      </c>
      <c r="G35" t="s">
        <v>1038</v>
      </c>
    </row>
    <row r="36" spans="1:7">
      <c r="A36">
        <v>35</v>
      </c>
      <c r="B36" t="s">
        <v>1039</v>
      </c>
      <c r="C36" t="s">
        <v>596</v>
      </c>
      <c r="D36" t="s">
        <v>446</v>
      </c>
      <c r="E36">
        <v>2</v>
      </c>
      <c r="F36" t="s">
        <v>1040</v>
      </c>
      <c r="G36" t="s">
        <v>443</v>
      </c>
    </row>
    <row r="37" spans="1:7">
      <c r="A37">
        <v>36</v>
      </c>
      <c r="B37" t="s">
        <v>76</v>
      </c>
      <c r="C37" t="s">
        <v>596</v>
      </c>
      <c r="D37" t="s">
        <v>413</v>
      </c>
      <c r="E37">
        <v>2</v>
      </c>
      <c r="F37" t="s">
        <v>1041</v>
      </c>
      <c r="G37" t="s">
        <v>76</v>
      </c>
    </row>
    <row r="38" spans="1:7">
      <c r="A38">
        <v>37</v>
      </c>
      <c r="B38" t="s">
        <v>72</v>
      </c>
      <c r="C38" t="s">
        <v>596</v>
      </c>
      <c r="D38" t="s">
        <v>412</v>
      </c>
      <c r="E38">
        <v>2</v>
      </c>
      <c r="F38" t="s">
        <v>1042</v>
      </c>
      <c r="G38" t="s">
        <v>72</v>
      </c>
    </row>
    <row r="39" spans="1:7">
      <c r="A39">
        <v>38</v>
      </c>
      <c r="B39" t="s">
        <v>1043</v>
      </c>
      <c r="C39" t="s">
        <v>596</v>
      </c>
      <c r="D39" t="s">
        <v>411</v>
      </c>
      <c r="E39">
        <v>2</v>
      </c>
      <c r="F39" t="s">
        <v>1044</v>
      </c>
      <c r="G39" t="s">
        <v>1045</v>
      </c>
    </row>
    <row r="40" spans="1:7">
      <c r="A40">
        <v>39</v>
      </c>
      <c r="B40" t="s">
        <v>652</v>
      </c>
      <c r="C40" t="s">
        <v>954</v>
      </c>
      <c r="D40" t="s">
        <v>1046</v>
      </c>
      <c r="E40">
        <v>1</v>
      </c>
      <c r="F40" t="s">
        <v>1047</v>
      </c>
    </row>
    <row r="41" spans="1:7">
      <c r="A41">
        <v>40</v>
      </c>
      <c r="B41" t="s">
        <v>1048</v>
      </c>
      <c r="C41" t="s">
        <v>954</v>
      </c>
      <c r="D41" t="s">
        <v>406</v>
      </c>
      <c r="E41">
        <v>1</v>
      </c>
      <c r="F41" t="s">
        <v>1049</v>
      </c>
      <c r="G41" t="s">
        <v>1048</v>
      </c>
    </row>
    <row r="42" spans="1:7">
      <c r="A42">
        <v>41</v>
      </c>
      <c r="B42" t="s">
        <v>560</v>
      </c>
      <c r="C42" t="s">
        <v>596</v>
      </c>
      <c r="D42" t="s">
        <v>1050</v>
      </c>
      <c r="E42">
        <v>0</v>
      </c>
      <c r="F42" t="s">
        <v>1051</v>
      </c>
      <c r="G42" t="s">
        <v>560</v>
      </c>
    </row>
    <row r="43" spans="1:7">
      <c r="A43">
        <v>42</v>
      </c>
      <c r="B43" t="s">
        <v>192</v>
      </c>
      <c r="C43" t="s">
        <v>596</v>
      </c>
      <c r="D43" t="s">
        <v>380</v>
      </c>
      <c r="E43">
        <v>2</v>
      </c>
      <c r="F43" t="s">
        <v>1052</v>
      </c>
      <c r="G43" t="s">
        <v>1053</v>
      </c>
    </row>
    <row r="44" spans="1:7">
      <c r="A44">
        <v>43</v>
      </c>
      <c r="B44" t="s">
        <v>1054</v>
      </c>
      <c r="C44" t="s">
        <v>596</v>
      </c>
      <c r="D44" t="s">
        <v>381</v>
      </c>
      <c r="E44">
        <v>2</v>
      </c>
      <c r="F44" t="s">
        <v>1055</v>
      </c>
      <c r="G44" t="s">
        <v>1056</v>
      </c>
    </row>
    <row r="45" spans="1:7">
      <c r="A45">
        <v>44</v>
      </c>
      <c r="B45" t="s">
        <v>1057</v>
      </c>
      <c r="C45" t="s">
        <v>596</v>
      </c>
      <c r="D45" t="s">
        <v>383</v>
      </c>
      <c r="E45">
        <v>2</v>
      </c>
      <c r="F45" t="s">
        <v>1058</v>
      </c>
      <c r="G45" t="s">
        <v>1059</v>
      </c>
    </row>
    <row r="46" spans="1:7">
      <c r="A46">
        <v>45</v>
      </c>
      <c r="B46" t="s">
        <v>1060</v>
      </c>
      <c r="C46" t="s">
        <v>596</v>
      </c>
      <c r="D46" t="s">
        <v>414</v>
      </c>
      <c r="E46">
        <v>1</v>
      </c>
      <c r="F46" t="s">
        <v>1061</v>
      </c>
      <c r="G46" t="s">
        <v>1062</v>
      </c>
    </row>
    <row r="47" spans="1:7">
      <c r="A47">
        <v>46</v>
      </c>
      <c r="B47" t="s">
        <v>1063</v>
      </c>
      <c r="C47" t="s">
        <v>596</v>
      </c>
      <c r="D47" t="s">
        <v>1064</v>
      </c>
    </row>
  </sheetData>
  <hyperlinks>
    <hyperlink ref="D25" r:id="rId1"/>
  </hyperlink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
  <sheetViews>
    <sheetView workbookViewId="0">
      <selection sqref="A1:XFD1"/>
    </sheetView>
  </sheetViews>
  <sheetFormatPr baseColWidth="10" defaultColWidth="8.83203125" defaultRowHeight="14" x14ac:dyDescent="0"/>
  <sheetData>
    <row r="1" spans="1:27" ht="66" customHeight="1">
      <c r="A1" s="1" t="s">
        <v>203</v>
      </c>
      <c r="B1" s="1" t="s">
        <v>204</v>
      </c>
      <c r="C1" s="1" t="s">
        <v>300</v>
      </c>
      <c r="D1" s="1" t="s">
        <v>281</v>
      </c>
      <c r="E1" s="4" t="s">
        <v>282</v>
      </c>
      <c r="F1" s="4" t="s">
        <v>14</v>
      </c>
      <c r="G1" s="4" t="s">
        <v>353</v>
      </c>
      <c r="H1" s="1" t="s">
        <v>277</v>
      </c>
      <c r="I1" s="1" t="s">
        <v>56</v>
      </c>
      <c r="J1" s="1" t="s">
        <v>11</v>
      </c>
      <c r="K1" s="1" t="s">
        <v>18</v>
      </c>
      <c r="L1" s="1" t="s">
        <v>1204</v>
      </c>
      <c r="M1" s="42" t="s">
        <v>280</v>
      </c>
      <c r="N1" s="42" t="s">
        <v>1196</v>
      </c>
      <c r="O1" s="42" t="s">
        <v>281</v>
      </c>
      <c r="P1" s="4" t="s">
        <v>14</v>
      </c>
      <c r="Q1" s="4" t="s">
        <v>1070</v>
      </c>
      <c r="R1" s="4" t="s">
        <v>1070</v>
      </c>
      <c r="S1" s="43" t="s">
        <v>421</v>
      </c>
      <c r="T1" s="52" t="s">
        <v>14</v>
      </c>
      <c r="U1" s="52" t="s">
        <v>14</v>
      </c>
      <c r="V1" s="54" t="s">
        <v>14</v>
      </c>
      <c r="W1" s="4"/>
      <c r="X1" s="3"/>
      <c r="Y1" s="3"/>
      <c r="Z1" s="3"/>
      <c r="AA1" s="3"/>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Feature Landscape</vt:lpstr>
      <vt:lpstr>Universal Capabilities</vt:lpstr>
      <vt:lpstr>Definitions</vt:lpstr>
      <vt:lpstr>Site Map</vt:lpstr>
      <vt:lpstr>Main Menu</vt:lpstr>
      <vt:lpstr>Footer</vt:lpstr>
      <vt:lpstr>Third Party</vt:lpstr>
      <vt:lpstr>"Features"</vt:lpstr>
      <vt:lpstr>Previously Migrated Features</vt:lpstr>
      <vt:lpstr>Pivot Table (To sort by ripple)</vt:lpstr>
      <vt:lpstr>Metrics - Reporting Notes</vt:lpstr>
      <vt:lpstr>Metrics - DS Logon Data</vt:lpstr>
      <vt:lpstr>Metrics - DS Logon Bar Graph</vt:lpstr>
      <vt:lpstr>Metrics - DS Logon %</vt:lpstr>
      <vt:lpstr>Metrics - DS Logon Data (v2)</vt:lpstr>
      <vt:lpstr>Metrics - DS Logon Pivot Table</vt:lpstr>
      <vt:lpstr>Metrics - DD-214 (DPRIS)</vt:lpstr>
      <vt:lpstr>Metrics - COE</vt:lpstr>
      <vt:lpstr>Metrics - C&amp;P (Google)</vt:lpstr>
      <vt:lpstr>Metrics - Pay History (Google)</vt:lpstr>
      <vt:lpstr>Metrics - Appeals (Google)</vt:lpstr>
      <vt:lpstr>Metrics - Letters by Type</vt:lpstr>
      <vt:lpstr>Met - Oct11-Apr12 Pg Access </vt:lpstr>
      <vt:lpstr>Met - Monthly Acct Data (2)</vt:lpstr>
      <vt:lpstr>Met - As of 3.25.16 - Pg Views</vt:lpstr>
      <vt:lpstr>Met-Frd Inc Sum as of 03.16.16</vt:lpstr>
      <vt:lpstr>Met-Frd Inc Sum as of 03.30.16 </vt:lpstr>
      <vt:lpstr>Sheet18</vt:lpstr>
    </vt:vector>
  </TitlesOfParts>
  <Company>SRA International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Nickerson, Sandra</dc:creator>
  <cp:lastModifiedBy>Department of Veterans Affairs</cp:lastModifiedBy>
  <cp:lastPrinted>2016-04-12T12:36:03Z</cp:lastPrinted>
  <dcterms:created xsi:type="dcterms:W3CDTF">2015-03-17T14:51:54Z</dcterms:created>
  <dcterms:modified xsi:type="dcterms:W3CDTF">2016-04-12T12:36:21Z</dcterms:modified>
</cp:coreProperties>
</file>