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style24.xml" ContentType="application/vnd.ms-office.chart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CC23FAED-27D2-492E-8E97-5D6F03DB045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os de laboratorio" sheetId="2" r:id="rId1"/>
    <sheet name="1" sheetId="24" r:id="rId2"/>
    <sheet name="2" sheetId="3" r:id="rId3"/>
    <sheet name="3" sheetId="26" r:id="rId4"/>
    <sheet name="4" sheetId="27" r:id="rId5"/>
    <sheet name="5" sheetId="28" r:id="rId6"/>
    <sheet name="6" sheetId="29" r:id="rId7"/>
    <sheet name="7" sheetId="30" r:id="rId8"/>
    <sheet name="8" sheetId="31" r:id="rId9"/>
    <sheet name="9" sheetId="32" r:id="rId10"/>
    <sheet name="10" sheetId="34" r:id="rId11"/>
    <sheet name="11" sheetId="35" r:id="rId12"/>
    <sheet name="12" sheetId="36" r:id="rId13"/>
    <sheet name="13" sheetId="37" r:id="rId14"/>
    <sheet name="14" sheetId="38" r:id="rId15"/>
    <sheet name="15" sheetId="39" r:id="rId16"/>
    <sheet name="16" sheetId="40" r:id="rId17"/>
    <sheet name="17" sheetId="41" r:id="rId18"/>
    <sheet name="18" sheetId="42" r:id="rId19"/>
    <sheet name="19" sheetId="43" r:id="rId20"/>
    <sheet name="20" sheetId="44" r:id="rId21"/>
  </sheets>
  <definedNames>
    <definedName name="_xlnm._FilterDatabase" localSheetId="0" hidden="1">'Datos de laboratorio'!$C$2:$F$102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5" l="1"/>
  <c r="B4" i="31"/>
  <c r="C4" i="31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C4" i="29" s="1"/>
  <c r="F4" i="29" s="1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4" i="2"/>
  <c r="AA5" i="2"/>
  <c r="AA6" i="2"/>
  <c r="AA7" i="2"/>
  <c r="AA8" i="2"/>
  <c r="AA9" i="2"/>
  <c r="AA10" i="2"/>
  <c r="AA11" i="2"/>
  <c r="AA12" i="2"/>
  <c r="AA13" i="2"/>
  <c r="AA14" i="2"/>
  <c r="AA15" i="2"/>
  <c r="B26" i="44" l="1"/>
  <c r="B4" i="44"/>
  <c r="B5" i="44"/>
  <c r="S43" i="44" l="1"/>
  <c r="S42" i="44"/>
  <c r="S41" i="44"/>
  <c r="S40" i="44"/>
  <c r="S39" i="44"/>
  <c r="S38" i="44"/>
  <c r="F28" i="44"/>
  <c r="I28" i="44" s="1"/>
  <c r="E28" i="44"/>
  <c r="C28" i="44"/>
  <c r="B28" i="44"/>
  <c r="S30" i="44" s="1"/>
  <c r="A26" i="44"/>
  <c r="S18" i="44"/>
  <c r="S17" i="44"/>
  <c r="S16" i="44"/>
  <c r="S15" i="44"/>
  <c r="S14" i="44"/>
  <c r="S13" i="44"/>
  <c r="C3" i="44"/>
  <c r="F3" i="44" s="1"/>
  <c r="B3" i="44"/>
  <c r="B4" i="43"/>
  <c r="S43" i="43"/>
  <c r="S42" i="43"/>
  <c r="S41" i="43"/>
  <c r="S40" i="43"/>
  <c r="S39" i="43"/>
  <c r="S38" i="43"/>
  <c r="C28" i="43"/>
  <c r="F28" i="43" s="1"/>
  <c r="B28" i="43"/>
  <c r="E28" i="43" s="1"/>
  <c r="B26" i="43"/>
  <c r="A26" i="43"/>
  <c r="S18" i="43"/>
  <c r="S17" i="43"/>
  <c r="S16" i="43"/>
  <c r="S15" i="43"/>
  <c r="S14" i="43"/>
  <c r="S13" i="43"/>
  <c r="E3" i="43"/>
  <c r="H3" i="43" s="1"/>
  <c r="C3" i="43"/>
  <c r="F3" i="43" s="1"/>
  <c r="B3" i="43"/>
  <c r="S5" i="43" s="1"/>
  <c r="B4" i="42"/>
  <c r="S43" i="42"/>
  <c r="S42" i="42"/>
  <c r="S41" i="42"/>
  <c r="S40" i="42"/>
  <c r="S39" i="42"/>
  <c r="S38" i="42"/>
  <c r="C28" i="42"/>
  <c r="B28" i="42"/>
  <c r="S30" i="42" s="1"/>
  <c r="B26" i="42"/>
  <c r="A26" i="42"/>
  <c r="S18" i="42"/>
  <c r="S17" i="42"/>
  <c r="S16" i="42"/>
  <c r="S15" i="42"/>
  <c r="S14" i="42"/>
  <c r="S13" i="42"/>
  <c r="F3" i="42"/>
  <c r="I3" i="42" s="1"/>
  <c r="E3" i="42"/>
  <c r="C3" i="42"/>
  <c r="B3" i="42"/>
  <c r="S5" i="42" s="1"/>
  <c r="B4" i="41"/>
  <c r="S43" i="41"/>
  <c r="S42" i="41"/>
  <c r="S41" i="41"/>
  <c r="S40" i="41"/>
  <c r="S39" i="41"/>
  <c r="S38" i="41"/>
  <c r="C28" i="41"/>
  <c r="F28" i="41" s="1"/>
  <c r="B28" i="41"/>
  <c r="E28" i="41" s="1"/>
  <c r="B26" i="41"/>
  <c r="A26" i="41"/>
  <c r="S18" i="41"/>
  <c r="S17" i="41"/>
  <c r="S16" i="41"/>
  <c r="S15" i="41"/>
  <c r="S14" i="41"/>
  <c r="S13" i="41"/>
  <c r="S5" i="41"/>
  <c r="E3" i="41"/>
  <c r="H17" i="41" s="1"/>
  <c r="C3" i="41"/>
  <c r="F3" i="41" s="1"/>
  <c r="B3" i="41"/>
  <c r="B4" i="40"/>
  <c r="S43" i="40"/>
  <c r="S42" i="40"/>
  <c r="S41" i="40"/>
  <c r="S40" i="40"/>
  <c r="S39" i="40"/>
  <c r="S38" i="40"/>
  <c r="C28" i="40"/>
  <c r="F28" i="40" s="1"/>
  <c r="B28" i="40"/>
  <c r="E28" i="40" s="1"/>
  <c r="B26" i="40"/>
  <c r="A26" i="40"/>
  <c r="S18" i="40"/>
  <c r="S17" i="40"/>
  <c r="S16" i="40"/>
  <c r="S15" i="40"/>
  <c r="S14" i="40"/>
  <c r="S13" i="40"/>
  <c r="C3" i="40"/>
  <c r="F3" i="40" s="1"/>
  <c r="B3" i="40"/>
  <c r="S5" i="40" s="1"/>
  <c r="S43" i="39"/>
  <c r="S42" i="39"/>
  <c r="S41" i="39"/>
  <c r="S40" i="39"/>
  <c r="S39" i="39"/>
  <c r="S38" i="39"/>
  <c r="S30" i="39"/>
  <c r="E28" i="39"/>
  <c r="H28" i="39" s="1"/>
  <c r="C28" i="39"/>
  <c r="F28" i="39" s="1"/>
  <c r="B28" i="39"/>
  <c r="B26" i="39"/>
  <c r="A26" i="39"/>
  <c r="S18" i="39"/>
  <c r="S17" i="39"/>
  <c r="S16" i="39"/>
  <c r="S15" i="39"/>
  <c r="S14" i="39"/>
  <c r="S13" i="39"/>
  <c r="E3" i="39"/>
  <c r="H3" i="39" s="1"/>
  <c r="C3" i="39"/>
  <c r="F3" i="39" s="1"/>
  <c r="B3" i="39"/>
  <c r="S5" i="39" s="1"/>
  <c r="B4" i="38"/>
  <c r="S43" i="38"/>
  <c r="S42" i="38"/>
  <c r="S41" i="38"/>
  <c r="S40" i="38"/>
  <c r="S39" i="38"/>
  <c r="S38" i="38"/>
  <c r="C28" i="38"/>
  <c r="F28" i="38" s="1"/>
  <c r="B28" i="38"/>
  <c r="E28" i="38" s="1"/>
  <c r="B26" i="38"/>
  <c r="A26" i="38"/>
  <c r="S18" i="38"/>
  <c r="S17" i="38"/>
  <c r="S16" i="38"/>
  <c r="S15" i="38"/>
  <c r="S14" i="38"/>
  <c r="S13" i="38"/>
  <c r="S5" i="38"/>
  <c r="E3" i="38"/>
  <c r="H17" i="38" s="1"/>
  <c r="C3" i="38"/>
  <c r="B3" i="38"/>
  <c r="E3" i="40" l="1"/>
  <c r="H3" i="40" s="1"/>
  <c r="S30" i="43"/>
  <c r="H3" i="38"/>
  <c r="H3" i="41"/>
  <c r="E28" i="42"/>
  <c r="H28" i="42" s="1"/>
  <c r="S30" i="41"/>
  <c r="S30" i="40"/>
  <c r="E3" i="44"/>
  <c r="S5" i="44"/>
  <c r="I3" i="44"/>
  <c r="G28" i="44"/>
  <c r="H28" i="44"/>
  <c r="G28" i="43"/>
  <c r="H28" i="43"/>
  <c r="I3" i="43"/>
  <c r="I28" i="43"/>
  <c r="G3" i="43"/>
  <c r="H17" i="43"/>
  <c r="H3" i="42"/>
  <c r="G3" i="42"/>
  <c r="H17" i="42"/>
  <c r="F28" i="42"/>
  <c r="G28" i="42" s="1"/>
  <c r="G28" i="41"/>
  <c r="H28" i="41"/>
  <c r="I28" i="41"/>
  <c r="I3" i="41"/>
  <c r="G3" i="41"/>
  <c r="G28" i="40"/>
  <c r="H28" i="40"/>
  <c r="I3" i="40"/>
  <c r="I28" i="40"/>
  <c r="G3" i="40"/>
  <c r="H17" i="40"/>
  <c r="I3" i="39"/>
  <c r="I28" i="39"/>
  <c r="G28" i="39"/>
  <c r="G3" i="39"/>
  <c r="H17" i="39"/>
  <c r="H28" i="38"/>
  <c r="G28" i="38"/>
  <c r="I28" i="38"/>
  <c r="S30" i="38"/>
  <c r="F3" i="38"/>
  <c r="G3" i="38"/>
  <c r="S43" i="37"/>
  <c r="S42" i="37"/>
  <c r="S41" i="37"/>
  <c r="S40" i="37"/>
  <c r="S39" i="37"/>
  <c r="S38" i="37"/>
  <c r="C28" i="37"/>
  <c r="F28" i="37" s="1"/>
  <c r="B28" i="37"/>
  <c r="S30" i="37" s="1"/>
  <c r="B26" i="37"/>
  <c r="A26" i="37"/>
  <c r="S18" i="37"/>
  <c r="S17" i="37"/>
  <c r="S16" i="37"/>
  <c r="S15" i="37"/>
  <c r="S14" i="37"/>
  <c r="S13" i="37"/>
  <c r="C3" i="37"/>
  <c r="F3" i="37" s="1"/>
  <c r="I3" i="37" s="1"/>
  <c r="B3" i="37"/>
  <c r="S5" i="37" s="1"/>
  <c r="S43" i="36"/>
  <c r="S42" i="36"/>
  <c r="S41" i="36"/>
  <c r="S40" i="36"/>
  <c r="S39" i="36"/>
  <c r="S38" i="36"/>
  <c r="C28" i="36"/>
  <c r="F28" i="36" s="1"/>
  <c r="I28" i="36" s="1"/>
  <c r="B28" i="36"/>
  <c r="E28" i="36" s="1"/>
  <c r="B26" i="36"/>
  <c r="A26" i="36"/>
  <c r="S18" i="36"/>
  <c r="S17" i="36"/>
  <c r="S16" i="36"/>
  <c r="S15" i="36"/>
  <c r="S14" i="36"/>
  <c r="S13" i="36"/>
  <c r="C3" i="36"/>
  <c r="F3" i="36" s="1"/>
  <c r="B3" i="36"/>
  <c r="S43" i="35"/>
  <c r="S42" i="35"/>
  <c r="S41" i="35"/>
  <c r="S40" i="35"/>
  <c r="S39" i="35"/>
  <c r="S38" i="35"/>
  <c r="S30" i="35"/>
  <c r="E28" i="35"/>
  <c r="H28" i="35" s="1"/>
  <c r="C28" i="35"/>
  <c r="F28" i="35" s="1"/>
  <c r="B28" i="35"/>
  <c r="B26" i="35"/>
  <c r="A26" i="35"/>
  <c r="S18" i="35"/>
  <c r="S17" i="35"/>
  <c r="S16" i="35"/>
  <c r="S15" i="35"/>
  <c r="S14" i="35"/>
  <c r="S13" i="35"/>
  <c r="C3" i="35"/>
  <c r="F3" i="35" s="1"/>
  <c r="I3" i="35" s="1"/>
  <c r="B3" i="35"/>
  <c r="S5" i="35" s="1"/>
  <c r="S43" i="34"/>
  <c r="S42" i="34"/>
  <c r="S41" i="34"/>
  <c r="S40" i="34"/>
  <c r="S39" i="34"/>
  <c r="S38" i="34"/>
  <c r="S30" i="34"/>
  <c r="C28" i="34"/>
  <c r="F28" i="34" s="1"/>
  <c r="B28" i="34"/>
  <c r="E28" i="34" s="1"/>
  <c r="B26" i="34"/>
  <c r="A26" i="34"/>
  <c r="S18" i="34"/>
  <c r="S17" i="34"/>
  <c r="S16" i="34"/>
  <c r="S15" i="34"/>
  <c r="S14" i="34"/>
  <c r="S13" i="34"/>
  <c r="C3" i="34"/>
  <c r="F3" i="34" s="1"/>
  <c r="B3" i="34"/>
  <c r="S5" i="34" s="1"/>
  <c r="S43" i="32"/>
  <c r="S42" i="32"/>
  <c r="S41" i="32"/>
  <c r="S40" i="32"/>
  <c r="S39" i="32"/>
  <c r="S38" i="32"/>
  <c r="C28" i="32"/>
  <c r="F28" i="32" s="1"/>
  <c r="B28" i="32"/>
  <c r="E28" i="32" s="1"/>
  <c r="B26" i="32"/>
  <c r="A26" i="32"/>
  <c r="S18" i="32"/>
  <c r="S17" i="32"/>
  <c r="S16" i="32"/>
  <c r="S15" i="32"/>
  <c r="S14" i="32"/>
  <c r="S13" i="32"/>
  <c r="E3" i="32"/>
  <c r="H3" i="32" s="1"/>
  <c r="C3" i="32"/>
  <c r="F3" i="32" s="1"/>
  <c r="B3" i="32"/>
  <c r="S5" i="32" s="1"/>
  <c r="S43" i="31"/>
  <c r="S42" i="31"/>
  <c r="S41" i="31"/>
  <c r="S40" i="31"/>
  <c r="S39" i="31"/>
  <c r="S38" i="31"/>
  <c r="F28" i="31"/>
  <c r="I28" i="31" s="1"/>
  <c r="E28" i="31"/>
  <c r="C28" i="31"/>
  <c r="B28" i="31"/>
  <c r="S30" i="31" s="1"/>
  <c r="B26" i="31"/>
  <c r="A26" i="31"/>
  <c r="S18" i="31"/>
  <c r="S17" i="31"/>
  <c r="S16" i="31"/>
  <c r="S15" i="31"/>
  <c r="S14" i="31"/>
  <c r="S13" i="31"/>
  <c r="F3" i="31"/>
  <c r="I3" i="31" s="1"/>
  <c r="C3" i="31"/>
  <c r="B3" i="31"/>
  <c r="S43" i="30"/>
  <c r="S42" i="30"/>
  <c r="S41" i="30"/>
  <c r="S40" i="30"/>
  <c r="S39" i="30"/>
  <c r="S38" i="30"/>
  <c r="C28" i="30"/>
  <c r="F28" i="30" s="1"/>
  <c r="B28" i="30"/>
  <c r="E28" i="30" s="1"/>
  <c r="B26" i="30"/>
  <c r="A26" i="30"/>
  <c r="S18" i="30"/>
  <c r="S17" i="30"/>
  <c r="S16" i="30"/>
  <c r="S15" i="30"/>
  <c r="S14" i="30"/>
  <c r="S13" i="30"/>
  <c r="E3" i="30"/>
  <c r="H3" i="30" s="1"/>
  <c r="C3" i="30"/>
  <c r="F3" i="30" s="1"/>
  <c r="B3" i="30"/>
  <c r="S5" i="30" s="1"/>
  <c r="S43" i="29"/>
  <c r="S42" i="29"/>
  <c r="S41" i="29"/>
  <c r="S40" i="29"/>
  <c r="S39" i="29"/>
  <c r="S38" i="29"/>
  <c r="C28" i="29"/>
  <c r="F28" i="29" s="1"/>
  <c r="B28" i="29"/>
  <c r="E28" i="29" s="1"/>
  <c r="B26" i="29"/>
  <c r="A26" i="29"/>
  <c r="S18" i="29"/>
  <c r="S17" i="29"/>
  <c r="S16" i="29"/>
  <c r="S15" i="29"/>
  <c r="S14" i="29"/>
  <c r="S13" i="29"/>
  <c r="C3" i="29"/>
  <c r="B3" i="29"/>
  <c r="S5" i="29" s="1"/>
  <c r="S43" i="28"/>
  <c r="S42" i="28"/>
  <c r="S41" i="28"/>
  <c r="S40" i="28"/>
  <c r="S39" i="28"/>
  <c r="S38" i="28"/>
  <c r="C28" i="28"/>
  <c r="F28" i="28" s="1"/>
  <c r="B28" i="28"/>
  <c r="E28" i="28" s="1"/>
  <c r="B26" i="28"/>
  <c r="A26" i="28"/>
  <c r="S18" i="28"/>
  <c r="S17" i="28"/>
  <c r="S16" i="28"/>
  <c r="S15" i="28"/>
  <c r="S14" i="28"/>
  <c r="S13" i="28"/>
  <c r="E3" i="28"/>
  <c r="H3" i="28" s="1"/>
  <c r="C3" i="28"/>
  <c r="F3" i="28" s="1"/>
  <c r="B3" i="28"/>
  <c r="S5" i="28" s="1"/>
  <c r="S43" i="27"/>
  <c r="S42" i="27"/>
  <c r="S41" i="27"/>
  <c r="S40" i="27"/>
  <c r="S39" i="27"/>
  <c r="S38" i="27"/>
  <c r="C28" i="27"/>
  <c r="F28" i="27" s="1"/>
  <c r="B28" i="27"/>
  <c r="E28" i="27" s="1"/>
  <c r="B26" i="27"/>
  <c r="A26" i="27"/>
  <c r="S18" i="27"/>
  <c r="S17" i="27"/>
  <c r="S16" i="27"/>
  <c r="S15" i="27"/>
  <c r="S14" i="27"/>
  <c r="S13" i="27"/>
  <c r="C3" i="27"/>
  <c r="F3" i="27" s="1"/>
  <c r="B3" i="27"/>
  <c r="S5" i="27" s="1"/>
  <c r="S43" i="26"/>
  <c r="S42" i="26"/>
  <c r="S41" i="26"/>
  <c r="S40" i="26"/>
  <c r="S39" i="26"/>
  <c r="S38" i="26"/>
  <c r="C28" i="26"/>
  <c r="F28" i="26" s="1"/>
  <c r="B28" i="26"/>
  <c r="E28" i="26" s="1"/>
  <c r="B26" i="26"/>
  <c r="A26" i="26"/>
  <c r="S18" i="26"/>
  <c r="S17" i="26"/>
  <c r="S16" i="26"/>
  <c r="S15" i="26"/>
  <c r="S14" i="26"/>
  <c r="S13" i="26"/>
  <c r="E3" i="26"/>
  <c r="H3" i="26" s="1"/>
  <c r="C3" i="26"/>
  <c r="F3" i="26" s="1"/>
  <c r="B3" i="26"/>
  <c r="S5" i="26" s="1"/>
  <c r="S14" i="24"/>
  <c r="S13" i="24"/>
  <c r="S15" i="24"/>
  <c r="S16" i="24"/>
  <c r="S13" i="3"/>
  <c r="S14" i="3"/>
  <c r="S15" i="3"/>
  <c r="S16" i="3"/>
  <c r="S17" i="3"/>
  <c r="S38" i="3"/>
  <c r="S39" i="3"/>
  <c r="S40" i="3"/>
  <c r="S41" i="3"/>
  <c r="S38" i="24"/>
  <c r="S39" i="24"/>
  <c r="S40" i="24"/>
  <c r="S43" i="24"/>
  <c r="S42" i="24"/>
  <c r="S41" i="24"/>
  <c r="C28" i="24"/>
  <c r="B28" i="24"/>
  <c r="E28" i="24" s="1"/>
  <c r="H28" i="24" s="1"/>
  <c r="B26" i="24"/>
  <c r="A26" i="24"/>
  <c r="S18" i="24"/>
  <c r="S17" i="24"/>
  <c r="C3" i="24"/>
  <c r="F3" i="24" s="1"/>
  <c r="B3" i="24"/>
  <c r="E3" i="24" s="1"/>
  <c r="C28" i="3"/>
  <c r="F28" i="3" s="1"/>
  <c r="I28" i="3" s="1"/>
  <c r="B28" i="3"/>
  <c r="E28" i="3" s="1"/>
  <c r="E3" i="35" l="1"/>
  <c r="H3" i="35" s="1"/>
  <c r="E28" i="37"/>
  <c r="H28" i="37" s="1"/>
  <c r="S30" i="28"/>
  <c r="S30" i="30"/>
  <c r="E3" i="27"/>
  <c r="H3" i="27" s="1"/>
  <c r="E3" i="29"/>
  <c r="H17" i="29" s="1"/>
  <c r="S30" i="32"/>
  <c r="E3" i="34"/>
  <c r="H3" i="34" s="1"/>
  <c r="E3" i="37"/>
  <c r="H3" i="37" s="1"/>
  <c r="S30" i="26"/>
  <c r="S30" i="27"/>
  <c r="H3" i="44"/>
  <c r="G3" i="44"/>
  <c r="H17" i="44"/>
  <c r="I28" i="42"/>
  <c r="I3" i="38"/>
  <c r="I28" i="37"/>
  <c r="G28" i="37"/>
  <c r="G3" i="37"/>
  <c r="H17" i="37"/>
  <c r="H28" i="36"/>
  <c r="G28" i="36"/>
  <c r="E3" i="36"/>
  <c r="S5" i="36"/>
  <c r="I3" i="36"/>
  <c r="S30" i="36"/>
  <c r="I28" i="35"/>
  <c r="G28" i="35"/>
  <c r="G3" i="35"/>
  <c r="H17" i="35"/>
  <c r="I3" i="34"/>
  <c r="G28" i="34"/>
  <c r="H28" i="34"/>
  <c r="I28" i="34"/>
  <c r="G3" i="34"/>
  <c r="H17" i="34"/>
  <c r="G28" i="32"/>
  <c r="H28" i="32"/>
  <c r="I3" i="32"/>
  <c r="I28" i="32"/>
  <c r="G3" i="32"/>
  <c r="H17" i="32"/>
  <c r="E3" i="31"/>
  <c r="S5" i="31"/>
  <c r="H28" i="31"/>
  <c r="G28" i="31"/>
  <c r="G28" i="30"/>
  <c r="H28" i="30"/>
  <c r="I3" i="30"/>
  <c r="I28" i="30"/>
  <c r="G3" i="30"/>
  <c r="H17" i="30"/>
  <c r="I28" i="29"/>
  <c r="G28" i="29"/>
  <c r="H28" i="29"/>
  <c r="S30" i="29"/>
  <c r="F3" i="29"/>
  <c r="I28" i="28"/>
  <c r="I3" i="28"/>
  <c r="G28" i="28"/>
  <c r="H28" i="28"/>
  <c r="H17" i="28"/>
  <c r="G3" i="28"/>
  <c r="G28" i="27"/>
  <c r="H28" i="27"/>
  <c r="I3" i="27"/>
  <c r="I28" i="27"/>
  <c r="G3" i="27"/>
  <c r="H17" i="27"/>
  <c r="G28" i="26"/>
  <c r="H28" i="26"/>
  <c r="I3" i="26"/>
  <c r="I28" i="26"/>
  <c r="G3" i="26"/>
  <c r="H17" i="26"/>
  <c r="H28" i="3"/>
  <c r="G28" i="3"/>
  <c r="S30" i="3"/>
  <c r="S30" i="24"/>
  <c r="H3" i="24"/>
  <c r="G3" i="24"/>
  <c r="H17" i="24"/>
  <c r="I3" i="24"/>
  <c r="S5" i="24"/>
  <c r="F28" i="24"/>
  <c r="H3" i="29" l="1"/>
  <c r="H3" i="36"/>
  <c r="H17" i="36"/>
  <c r="G3" i="36"/>
  <c r="H3" i="31"/>
  <c r="G3" i="31"/>
  <c r="H17" i="31"/>
  <c r="I3" i="29"/>
  <c r="G3" i="29"/>
  <c r="I28" i="24"/>
  <c r="G28" i="24"/>
  <c r="C3" i="3" l="1"/>
  <c r="F3" i="3" s="1"/>
  <c r="I3" i="3" s="1"/>
  <c r="B3" i="3"/>
  <c r="S5" i="3" s="1"/>
  <c r="E3" i="3" l="1"/>
  <c r="B26" i="3"/>
  <c r="A26" i="3"/>
  <c r="S43" i="3"/>
  <c r="S42" i="3"/>
  <c r="S18" i="3"/>
  <c r="H17" i="3" l="1"/>
  <c r="G3" i="3"/>
  <c r="H3" i="3"/>
  <c r="Z102" i="2"/>
  <c r="B8" i="44"/>
  <c r="R102" i="2"/>
  <c r="O102" i="2"/>
  <c r="J102" i="2"/>
  <c r="E102" i="2"/>
  <c r="H102" i="2" s="1"/>
  <c r="G102" i="2" s="1"/>
  <c r="Z101" i="2"/>
  <c r="B7" i="44"/>
  <c r="R101" i="2"/>
  <c r="O101" i="2"/>
  <c r="J101" i="2"/>
  <c r="E101" i="2"/>
  <c r="H101" i="2" s="1"/>
  <c r="G101" i="2" s="1"/>
  <c r="Z100" i="2"/>
  <c r="B6" i="44"/>
  <c r="R100" i="2"/>
  <c r="O100" i="2"/>
  <c r="J100" i="2"/>
  <c r="E100" i="2"/>
  <c r="H100" i="2" s="1"/>
  <c r="G100" i="2" s="1"/>
  <c r="C5" i="44"/>
  <c r="Z99" i="2"/>
  <c r="V99" i="2"/>
  <c r="R99" i="2"/>
  <c r="O99" i="2"/>
  <c r="J99" i="2"/>
  <c r="E99" i="2"/>
  <c r="H99" i="2" s="1"/>
  <c r="G99" i="2" s="1"/>
  <c r="C4" i="44"/>
  <c r="Z98" i="2"/>
  <c r="R98" i="2"/>
  <c r="O98" i="2"/>
  <c r="J98" i="2"/>
  <c r="E98" i="2"/>
  <c r="H98" i="2" s="1"/>
  <c r="G98" i="2" s="1"/>
  <c r="Z97" i="2"/>
  <c r="B8" i="43"/>
  <c r="R97" i="2"/>
  <c r="O97" i="2"/>
  <c r="J97" i="2"/>
  <c r="E97" i="2"/>
  <c r="H97" i="2" s="1"/>
  <c r="G97" i="2" s="1"/>
  <c r="Z96" i="2"/>
  <c r="B7" i="43"/>
  <c r="R96" i="2"/>
  <c r="O96" i="2"/>
  <c r="J96" i="2"/>
  <c r="E96" i="2"/>
  <c r="H96" i="2" s="1"/>
  <c r="G96" i="2" s="1"/>
  <c r="Z95" i="2"/>
  <c r="B6" i="43"/>
  <c r="R95" i="2"/>
  <c r="O95" i="2"/>
  <c r="J95" i="2"/>
  <c r="E95" i="2"/>
  <c r="H95" i="2" s="1"/>
  <c r="G95" i="2" s="1"/>
  <c r="Z94" i="2"/>
  <c r="V94" i="2"/>
  <c r="B5" i="43" s="1"/>
  <c r="R94" i="2"/>
  <c r="O94" i="2"/>
  <c r="J94" i="2"/>
  <c r="E94" i="2"/>
  <c r="H94" i="2" s="1"/>
  <c r="G94" i="2" s="1"/>
  <c r="Z93" i="2"/>
  <c r="C4" i="43"/>
  <c r="R93" i="2"/>
  <c r="O93" i="2"/>
  <c r="J93" i="2"/>
  <c r="E93" i="2"/>
  <c r="H93" i="2" s="1"/>
  <c r="G93" i="2" s="1"/>
  <c r="Z92" i="2"/>
  <c r="B8" i="42"/>
  <c r="R92" i="2"/>
  <c r="O92" i="2"/>
  <c r="J92" i="2"/>
  <c r="E92" i="2"/>
  <c r="H92" i="2" s="1"/>
  <c r="G92" i="2" s="1"/>
  <c r="Z91" i="2"/>
  <c r="B7" i="42"/>
  <c r="R91" i="2"/>
  <c r="O91" i="2"/>
  <c r="J91" i="2"/>
  <c r="E91" i="2"/>
  <c r="H91" i="2" s="1"/>
  <c r="G91" i="2" s="1"/>
  <c r="Z90" i="2"/>
  <c r="B6" i="42"/>
  <c r="R90" i="2"/>
  <c r="O90" i="2"/>
  <c r="J90" i="2"/>
  <c r="E90" i="2"/>
  <c r="H90" i="2" s="1"/>
  <c r="G90" i="2" s="1"/>
  <c r="Z89" i="2"/>
  <c r="B5" i="42"/>
  <c r="R89" i="2"/>
  <c r="O89" i="2"/>
  <c r="J89" i="2"/>
  <c r="E89" i="2"/>
  <c r="H89" i="2" s="1"/>
  <c r="G89" i="2" s="1"/>
  <c r="Z88" i="2"/>
  <c r="C4" i="42"/>
  <c r="R88" i="2"/>
  <c r="O88" i="2"/>
  <c r="J88" i="2"/>
  <c r="E88" i="2"/>
  <c r="H88" i="2" s="1"/>
  <c r="G88" i="2" s="1"/>
  <c r="Z87" i="2"/>
  <c r="B8" i="41"/>
  <c r="R87" i="2"/>
  <c r="O87" i="2"/>
  <c r="J87" i="2"/>
  <c r="G87" i="2"/>
  <c r="E87" i="2"/>
  <c r="H87" i="2" s="1"/>
  <c r="Z86" i="2"/>
  <c r="B7" i="41"/>
  <c r="R86" i="2"/>
  <c r="O86" i="2"/>
  <c r="J86" i="2"/>
  <c r="G86" i="2"/>
  <c r="E86" i="2"/>
  <c r="H86" i="2" s="1"/>
  <c r="Z85" i="2"/>
  <c r="B6" i="41"/>
  <c r="R85" i="2"/>
  <c r="O85" i="2"/>
  <c r="J85" i="2"/>
  <c r="G85" i="2"/>
  <c r="E85" i="2"/>
  <c r="H85" i="2" s="1"/>
  <c r="Z84" i="2"/>
  <c r="W84" i="2"/>
  <c r="V84" i="2"/>
  <c r="B5" i="41" s="1"/>
  <c r="R84" i="2"/>
  <c r="O84" i="2"/>
  <c r="J84" i="2"/>
  <c r="G84" i="2"/>
  <c r="E84" i="2"/>
  <c r="H84" i="2" s="1"/>
  <c r="Z83" i="2"/>
  <c r="C4" i="41"/>
  <c r="Q83" i="2"/>
  <c r="R83" i="2" s="1"/>
  <c r="O83" i="2"/>
  <c r="J83" i="2"/>
  <c r="G83" i="2"/>
  <c r="E83" i="2"/>
  <c r="H83" i="2" s="1"/>
  <c r="Z82" i="2"/>
  <c r="B8" i="40"/>
  <c r="R82" i="2"/>
  <c r="O82" i="2"/>
  <c r="J82" i="2"/>
  <c r="E82" i="2"/>
  <c r="H82" i="2" s="1"/>
  <c r="G82" i="2" s="1"/>
  <c r="Z81" i="2"/>
  <c r="B7" i="40"/>
  <c r="R81" i="2"/>
  <c r="O81" i="2"/>
  <c r="J81" i="2"/>
  <c r="E81" i="2"/>
  <c r="H81" i="2" s="1"/>
  <c r="G81" i="2" s="1"/>
  <c r="Z80" i="2"/>
  <c r="B6" i="40"/>
  <c r="R80" i="2"/>
  <c r="O80" i="2"/>
  <c r="J80" i="2"/>
  <c r="E80" i="2"/>
  <c r="H80" i="2" s="1"/>
  <c r="G80" i="2" s="1"/>
  <c r="Z79" i="2"/>
  <c r="B5" i="40"/>
  <c r="W79" i="2"/>
  <c r="V79" i="2"/>
  <c r="R79" i="2"/>
  <c r="O79" i="2"/>
  <c r="J79" i="2"/>
  <c r="E79" i="2"/>
  <c r="H79" i="2" s="1"/>
  <c r="G79" i="2" s="1"/>
  <c r="Z78" i="2"/>
  <c r="C4" i="40"/>
  <c r="R78" i="2"/>
  <c r="O78" i="2"/>
  <c r="J78" i="2"/>
  <c r="E78" i="2"/>
  <c r="H78" i="2" s="1"/>
  <c r="G78" i="2" s="1"/>
  <c r="Z77" i="2"/>
  <c r="B8" i="39"/>
  <c r="R77" i="2"/>
  <c r="O77" i="2"/>
  <c r="J77" i="2"/>
  <c r="E77" i="2"/>
  <c r="H77" i="2" s="1"/>
  <c r="G77" i="2" s="1"/>
  <c r="Z76" i="2"/>
  <c r="B7" i="39"/>
  <c r="R76" i="2"/>
  <c r="O76" i="2"/>
  <c r="J76" i="2"/>
  <c r="E76" i="2"/>
  <c r="H76" i="2" s="1"/>
  <c r="G76" i="2" s="1"/>
  <c r="Z75" i="2"/>
  <c r="B6" i="39"/>
  <c r="R75" i="2"/>
  <c r="O75" i="2"/>
  <c r="J75" i="2"/>
  <c r="E75" i="2"/>
  <c r="H75" i="2" s="1"/>
  <c r="G75" i="2" s="1"/>
  <c r="Z74" i="2"/>
  <c r="B5" i="39"/>
  <c r="V74" i="2"/>
  <c r="R74" i="2"/>
  <c r="O74" i="2"/>
  <c r="J74" i="2"/>
  <c r="E74" i="2"/>
  <c r="H74" i="2" s="1"/>
  <c r="G74" i="2" s="1"/>
  <c r="Z73" i="2"/>
  <c r="V73" i="2"/>
  <c r="B4" i="39" s="1"/>
  <c r="R73" i="2"/>
  <c r="O73" i="2"/>
  <c r="J73" i="2"/>
  <c r="E73" i="2"/>
  <c r="H73" i="2" s="1"/>
  <c r="G73" i="2" s="1"/>
  <c r="Z72" i="2"/>
  <c r="B8" i="38"/>
  <c r="R72" i="2"/>
  <c r="O72" i="2"/>
  <c r="J72" i="2"/>
  <c r="E72" i="2"/>
  <c r="H72" i="2" s="1"/>
  <c r="G72" i="2" s="1"/>
  <c r="Z71" i="2"/>
  <c r="B7" i="38"/>
  <c r="R71" i="2"/>
  <c r="O71" i="2"/>
  <c r="J71" i="2"/>
  <c r="E71" i="2"/>
  <c r="H71" i="2" s="1"/>
  <c r="G71" i="2" s="1"/>
  <c r="Z70" i="2"/>
  <c r="B6" i="38"/>
  <c r="R70" i="2"/>
  <c r="O70" i="2"/>
  <c r="J70" i="2"/>
  <c r="E70" i="2"/>
  <c r="H70" i="2" s="1"/>
  <c r="G70" i="2" s="1"/>
  <c r="Z69" i="2"/>
  <c r="B5" i="38"/>
  <c r="V69" i="2"/>
  <c r="R69" i="2"/>
  <c r="O69" i="2"/>
  <c r="J69" i="2"/>
  <c r="E69" i="2"/>
  <c r="H69" i="2" s="1"/>
  <c r="G69" i="2" s="1"/>
  <c r="Z68" i="2"/>
  <c r="C4" i="38"/>
  <c r="R68" i="2"/>
  <c r="O68" i="2"/>
  <c r="J68" i="2"/>
  <c r="E68" i="2"/>
  <c r="H68" i="2" s="1"/>
  <c r="G68" i="2" s="1"/>
  <c r="Z67" i="2"/>
  <c r="B8" i="37"/>
  <c r="R67" i="2"/>
  <c r="O67" i="2"/>
  <c r="J67" i="2"/>
  <c r="G67" i="2"/>
  <c r="E67" i="2"/>
  <c r="H67" i="2" s="1"/>
  <c r="Z66" i="2"/>
  <c r="B7" i="37"/>
  <c r="R66" i="2"/>
  <c r="O66" i="2"/>
  <c r="J66" i="2"/>
  <c r="G66" i="2"/>
  <c r="E66" i="2"/>
  <c r="H66" i="2" s="1"/>
  <c r="Z65" i="2"/>
  <c r="B6" i="37"/>
  <c r="R65" i="2"/>
  <c r="O65" i="2"/>
  <c r="J65" i="2"/>
  <c r="G65" i="2"/>
  <c r="E65" i="2"/>
  <c r="H65" i="2" s="1"/>
  <c r="Z64" i="2"/>
  <c r="W64" i="2"/>
  <c r="V64" i="2"/>
  <c r="B5" i="37" s="1"/>
  <c r="R64" i="2"/>
  <c r="O64" i="2"/>
  <c r="J64" i="2"/>
  <c r="G64" i="2"/>
  <c r="E64" i="2"/>
  <c r="H64" i="2" s="1"/>
  <c r="Z63" i="2"/>
  <c r="V63" i="2"/>
  <c r="B4" i="37" s="1"/>
  <c r="R63" i="2"/>
  <c r="O63" i="2"/>
  <c r="J63" i="2"/>
  <c r="G63" i="2"/>
  <c r="E63" i="2"/>
  <c r="H63" i="2" s="1"/>
  <c r="Z62" i="2"/>
  <c r="B8" i="36"/>
  <c r="R62" i="2"/>
  <c r="O62" i="2"/>
  <c r="J62" i="2"/>
  <c r="E62" i="2"/>
  <c r="H62" i="2" s="1"/>
  <c r="G62" i="2" s="1"/>
  <c r="Z61" i="2"/>
  <c r="B7" i="36"/>
  <c r="R61" i="2"/>
  <c r="O61" i="2"/>
  <c r="J61" i="2"/>
  <c r="E61" i="2"/>
  <c r="H61" i="2" s="1"/>
  <c r="G61" i="2" s="1"/>
  <c r="Z60" i="2"/>
  <c r="B6" i="36"/>
  <c r="R60" i="2"/>
  <c r="O60" i="2"/>
  <c r="J60" i="2"/>
  <c r="E60" i="2"/>
  <c r="H60" i="2" s="1"/>
  <c r="G60" i="2" s="1"/>
  <c r="Z59" i="2"/>
  <c r="B5" i="36"/>
  <c r="V59" i="2"/>
  <c r="R59" i="2"/>
  <c r="O59" i="2"/>
  <c r="J59" i="2"/>
  <c r="E59" i="2"/>
  <c r="H59" i="2" s="1"/>
  <c r="G59" i="2" s="1"/>
  <c r="Z58" i="2"/>
  <c r="V58" i="2"/>
  <c r="B4" i="36" s="1"/>
  <c r="R58" i="2"/>
  <c r="O58" i="2"/>
  <c r="J58" i="2"/>
  <c r="E58" i="2"/>
  <c r="H58" i="2" s="1"/>
  <c r="G58" i="2" s="1"/>
  <c r="Z57" i="2"/>
  <c r="B8" i="35"/>
  <c r="R57" i="2"/>
  <c r="O57" i="2"/>
  <c r="J57" i="2"/>
  <c r="E57" i="2"/>
  <c r="H57" i="2" s="1"/>
  <c r="G57" i="2" s="1"/>
  <c r="Z56" i="2"/>
  <c r="B7" i="35"/>
  <c r="R56" i="2"/>
  <c r="O56" i="2"/>
  <c r="J56" i="2"/>
  <c r="E56" i="2"/>
  <c r="H56" i="2" s="1"/>
  <c r="G56" i="2" s="1"/>
  <c r="Z55" i="2"/>
  <c r="B6" i="35"/>
  <c r="R55" i="2"/>
  <c r="O55" i="2"/>
  <c r="J55" i="2"/>
  <c r="E55" i="2"/>
  <c r="H55" i="2" s="1"/>
  <c r="G55" i="2" s="1"/>
  <c r="Z54" i="2"/>
  <c r="B5" i="35"/>
  <c r="V54" i="2"/>
  <c r="R54" i="2"/>
  <c r="O54" i="2"/>
  <c r="J54" i="2"/>
  <c r="E54" i="2"/>
  <c r="H54" i="2" s="1"/>
  <c r="G54" i="2" s="1"/>
  <c r="Z53" i="2"/>
  <c r="C4" i="35"/>
  <c r="R53" i="2"/>
  <c r="O53" i="2"/>
  <c r="J53" i="2"/>
  <c r="E53" i="2"/>
  <c r="H53" i="2" s="1"/>
  <c r="G53" i="2" s="1"/>
  <c r="Z52" i="2"/>
  <c r="B8" i="34"/>
  <c r="R52" i="2"/>
  <c r="O52" i="2"/>
  <c r="J52" i="2"/>
  <c r="E52" i="2"/>
  <c r="H52" i="2" s="1"/>
  <c r="G52" i="2" s="1"/>
  <c r="Z51" i="2"/>
  <c r="B7" i="34"/>
  <c r="R51" i="2"/>
  <c r="O51" i="2"/>
  <c r="J51" i="2"/>
  <c r="E51" i="2"/>
  <c r="H51" i="2" s="1"/>
  <c r="G51" i="2" s="1"/>
  <c r="Z50" i="2"/>
  <c r="B6" i="34"/>
  <c r="R50" i="2"/>
  <c r="O50" i="2"/>
  <c r="J50" i="2"/>
  <c r="E50" i="2"/>
  <c r="H50" i="2" s="1"/>
  <c r="G50" i="2" s="1"/>
  <c r="Z49" i="2"/>
  <c r="W49" i="2"/>
  <c r="V49" i="2"/>
  <c r="B5" i="34" s="1"/>
  <c r="R49" i="2"/>
  <c r="O49" i="2"/>
  <c r="J49" i="2"/>
  <c r="E49" i="2"/>
  <c r="H49" i="2" s="1"/>
  <c r="G49" i="2" s="1"/>
  <c r="Z48" i="2"/>
  <c r="B4" i="34"/>
  <c r="R48" i="2"/>
  <c r="O48" i="2"/>
  <c r="J48" i="2"/>
  <c r="E48" i="2"/>
  <c r="H48" i="2" s="1"/>
  <c r="G48" i="2" s="1"/>
  <c r="Z47" i="2"/>
  <c r="B8" i="32"/>
  <c r="R47" i="2"/>
  <c r="O47" i="2"/>
  <c r="J47" i="2"/>
  <c r="G47" i="2"/>
  <c r="E47" i="2"/>
  <c r="H47" i="2" s="1"/>
  <c r="Z46" i="2"/>
  <c r="B7" i="32"/>
  <c r="R46" i="2"/>
  <c r="O46" i="2"/>
  <c r="J46" i="2"/>
  <c r="G46" i="2"/>
  <c r="E46" i="2"/>
  <c r="H46" i="2" s="1"/>
  <c r="Z45" i="2"/>
  <c r="B6" i="32"/>
  <c r="R45" i="2"/>
  <c r="O45" i="2"/>
  <c r="J45" i="2"/>
  <c r="G45" i="2"/>
  <c r="E45" i="2"/>
  <c r="H45" i="2" s="1"/>
  <c r="Z44" i="2"/>
  <c r="V44" i="2"/>
  <c r="B5" i="32" s="1"/>
  <c r="R44" i="2"/>
  <c r="O44" i="2"/>
  <c r="J44" i="2"/>
  <c r="G44" i="2"/>
  <c r="E44" i="2"/>
  <c r="H44" i="2" s="1"/>
  <c r="Z43" i="2"/>
  <c r="B4" i="32"/>
  <c r="V43" i="2"/>
  <c r="R43" i="2"/>
  <c r="O43" i="2"/>
  <c r="J43" i="2"/>
  <c r="G43" i="2"/>
  <c r="E43" i="2"/>
  <c r="H43" i="2" s="1"/>
  <c r="Z42" i="2"/>
  <c r="B8" i="31"/>
  <c r="R42" i="2"/>
  <c r="O42" i="2"/>
  <c r="J42" i="2"/>
  <c r="E42" i="2"/>
  <c r="H42" i="2" s="1"/>
  <c r="G42" i="2" s="1"/>
  <c r="Z41" i="2"/>
  <c r="B7" i="31"/>
  <c r="R41" i="2"/>
  <c r="O41" i="2"/>
  <c r="J41" i="2"/>
  <c r="E41" i="2"/>
  <c r="H41" i="2" s="1"/>
  <c r="G41" i="2" s="1"/>
  <c r="Z40" i="2"/>
  <c r="B6" i="31"/>
  <c r="R40" i="2"/>
  <c r="O40" i="2"/>
  <c r="J40" i="2"/>
  <c r="E40" i="2"/>
  <c r="H40" i="2" s="1"/>
  <c r="G40" i="2" s="1"/>
  <c r="Z39" i="2"/>
  <c r="V39" i="2"/>
  <c r="B5" i="31" s="1"/>
  <c r="R39" i="2"/>
  <c r="O39" i="2"/>
  <c r="J39" i="2"/>
  <c r="E39" i="2"/>
  <c r="H39" i="2" s="1"/>
  <c r="G39" i="2" s="1"/>
  <c r="Z38" i="2"/>
  <c r="R38" i="2"/>
  <c r="O38" i="2"/>
  <c r="J38" i="2"/>
  <c r="E38" i="2"/>
  <c r="H38" i="2" s="1"/>
  <c r="G38" i="2" s="1"/>
  <c r="Z37" i="2"/>
  <c r="B8" i="30"/>
  <c r="R37" i="2"/>
  <c r="O37" i="2"/>
  <c r="J37" i="2"/>
  <c r="E37" i="2"/>
  <c r="H37" i="2" s="1"/>
  <c r="G37" i="2" s="1"/>
  <c r="Z36" i="2"/>
  <c r="B7" i="30"/>
  <c r="R36" i="2"/>
  <c r="O36" i="2"/>
  <c r="J36" i="2"/>
  <c r="E36" i="2"/>
  <c r="H36" i="2" s="1"/>
  <c r="G36" i="2" s="1"/>
  <c r="Z35" i="2"/>
  <c r="B6" i="30"/>
  <c r="R35" i="2"/>
  <c r="O35" i="2"/>
  <c r="J35" i="2"/>
  <c r="E35" i="2"/>
  <c r="H35" i="2" s="1"/>
  <c r="G35" i="2" s="1"/>
  <c r="Z34" i="2"/>
  <c r="B5" i="30"/>
  <c r="V34" i="2"/>
  <c r="R34" i="2"/>
  <c r="O34" i="2"/>
  <c r="J34" i="2"/>
  <c r="E34" i="2"/>
  <c r="H34" i="2" s="1"/>
  <c r="G34" i="2" s="1"/>
  <c r="Z33" i="2"/>
  <c r="B4" i="30"/>
  <c r="R33" i="2"/>
  <c r="O33" i="2"/>
  <c r="J33" i="2"/>
  <c r="E33" i="2"/>
  <c r="H33" i="2" s="1"/>
  <c r="G33" i="2" s="1"/>
  <c r="Z32" i="2"/>
  <c r="B8" i="29"/>
  <c r="R32" i="2"/>
  <c r="O32" i="2"/>
  <c r="J32" i="2"/>
  <c r="E32" i="2"/>
  <c r="H32" i="2" s="1"/>
  <c r="G32" i="2" s="1"/>
  <c r="Z31" i="2"/>
  <c r="B7" i="29"/>
  <c r="R31" i="2"/>
  <c r="O31" i="2"/>
  <c r="J31" i="2"/>
  <c r="E31" i="2"/>
  <c r="H31" i="2" s="1"/>
  <c r="G31" i="2" s="1"/>
  <c r="Z30" i="2"/>
  <c r="B6" i="29"/>
  <c r="R30" i="2"/>
  <c r="O30" i="2"/>
  <c r="J30" i="2"/>
  <c r="E30" i="2"/>
  <c r="H30" i="2" s="1"/>
  <c r="G30" i="2" s="1"/>
  <c r="Z29" i="2"/>
  <c r="B5" i="29"/>
  <c r="V29" i="2"/>
  <c r="R29" i="2"/>
  <c r="O29" i="2"/>
  <c r="J29" i="2"/>
  <c r="E29" i="2"/>
  <c r="H29" i="2" s="1"/>
  <c r="G29" i="2" s="1"/>
  <c r="Z28" i="2"/>
  <c r="B4" i="29"/>
  <c r="R28" i="2"/>
  <c r="O28" i="2"/>
  <c r="J28" i="2"/>
  <c r="E28" i="2"/>
  <c r="H28" i="2" s="1"/>
  <c r="G28" i="2" s="1"/>
  <c r="Z27" i="2"/>
  <c r="B8" i="28"/>
  <c r="R27" i="2"/>
  <c r="O27" i="2"/>
  <c r="J27" i="2"/>
  <c r="G27" i="2"/>
  <c r="E27" i="2"/>
  <c r="H27" i="2" s="1"/>
  <c r="Z26" i="2"/>
  <c r="B7" i="28"/>
  <c r="R26" i="2"/>
  <c r="O26" i="2"/>
  <c r="J26" i="2"/>
  <c r="G26" i="2"/>
  <c r="E26" i="2"/>
  <c r="H26" i="2" s="1"/>
  <c r="Z25" i="2"/>
  <c r="B6" i="28"/>
  <c r="R25" i="2"/>
  <c r="O25" i="2"/>
  <c r="J25" i="2"/>
  <c r="G25" i="2"/>
  <c r="E25" i="2"/>
  <c r="H25" i="2" s="1"/>
  <c r="Z24" i="2"/>
  <c r="V24" i="2"/>
  <c r="B5" i="28" s="1"/>
  <c r="R24" i="2"/>
  <c r="O24" i="2"/>
  <c r="J24" i="2"/>
  <c r="G24" i="2"/>
  <c r="E24" i="2"/>
  <c r="H24" i="2" s="1"/>
  <c r="Z23" i="2"/>
  <c r="B4" i="28"/>
  <c r="V23" i="2"/>
  <c r="R23" i="2"/>
  <c r="O23" i="2"/>
  <c r="J23" i="2"/>
  <c r="G23" i="2"/>
  <c r="E23" i="2"/>
  <c r="H23" i="2" s="1"/>
  <c r="Z22" i="2"/>
  <c r="B8" i="27"/>
  <c r="R22" i="2"/>
  <c r="O22" i="2"/>
  <c r="J22" i="2"/>
  <c r="E22" i="2"/>
  <c r="H22" i="2" s="1"/>
  <c r="G22" i="2" s="1"/>
  <c r="Z21" i="2"/>
  <c r="B7" i="27"/>
  <c r="R21" i="2"/>
  <c r="O21" i="2"/>
  <c r="J21" i="2"/>
  <c r="E21" i="2"/>
  <c r="H21" i="2" s="1"/>
  <c r="G21" i="2" s="1"/>
  <c r="Z20" i="2"/>
  <c r="B6" i="27"/>
  <c r="R20" i="2"/>
  <c r="O20" i="2"/>
  <c r="J20" i="2"/>
  <c r="E20" i="2"/>
  <c r="H20" i="2" s="1"/>
  <c r="G20" i="2" s="1"/>
  <c r="Z19" i="2"/>
  <c r="V19" i="2"/>
  <c r="B5" i="27" s="1"/>
  <c r="R19" i="2"/>
  <c r="O19" i="2"/>
  <c r="J19" i="2"/>
  <c r="E19" i="2"/>
  <c r="H19" i="2" s="1"/>
  <c r="G19" i="2" s="1"/>
  <c r="Z18" i="2"/>
  <c r="B4" i="27"/>
  <c r="R18" i="2"/>
  <c r="O18" i="2"/>
  <c r="J18" i="2"/>
  <c r="E18" i="2"/>
  <c r="H18" i="2" s="1"/>
  <c r="G18" i="2" s="1"/>
  <c r="Z17" i="2"/>
  <c r="B8" i="26"/>
  <c r="R17" i="2"/>
  <c r="O17" i="2"/>
  <c r="J17" i="2"/>
  <c r="E17" i="2"/>
  <c r="H17" i="2" s="1"/>
  <c r="G17" i="2" s="1"/>
  <c r="Z16" i="2"/>
  <c r="B7" i="26"/>
  <c r="R16" i="2"/>
  <c r="O16" i="2"/>
  <c r="J16" i="2"/>
  <c r="E16" i="2"/>
  <c r="H16" i="2" s="1"/>
  <c r="G16" i="2" s="1"/>
  <c r="Z15" i="2"/>
  <c r="B6" i="26"/>
  <c r="R15" i="2"/>
  <c r="O15" i="2"/>
  <c r="J15" i="2"/>
  <c r="E15" i="2"/>
  <c r="H15" i="2" s="1"/>
  <c r="G15" i="2" s="1"/>
  <c r="Z14" i="2"/>
  <c r="B5" i="26"/>
  <c r="V14" i="2"/>
  <c r="R14" i="2"/>
  <c r="O14" i="2"/>
  <c r="J14" i="2"/>
  <c r="E14" i="2"/>
  <c r="H14" i="2" s="1"/>
  <c r="G14" i="2" s="1"/>
  <c r="Z13" i="2"/>
  <c r="B4" i="26"/>
  <c r="V13" i="2"/>
  <c r="R13" i="2"/>
  <c r="O13" i="2"/>
  <c r="J13" i="2"/>
  <c r="E13" i="2"/>
  <c r="H13" i="2" s="1"/>
  <c r="G13" i="2" s="1"/>
  <c r="Z12" i="2"/>
  <c r="R12" i="2"/>
  <c r="O12" i="2"/>
  <c r="J12" i="2"/>
  <c r="E12" i="2"/>
  <c r="H12" i="2" s="1"/>
  <c r="G12" i="2" s="1"/>
  <c r="Z11" i="2"/>
  <c r="R11" i="2"/>
  <c r="O11" i="2"/>
  <c r="J11" i="2"/>
  <c r="E11" i="2"/>
  <c r="H11" i="2" s="1"/>
  <c r="G11" i="2" s="1"/>
  <c r="Z10" i="2"/>
  <c r="R10" i="2"/>
  <c r="O10" i="2"/>
  <c r="J10" i="2"/>
  <c r="E10" i="2"/>
  <c r="H10" i="2" s="1"/>
  <c r="G10" i="2" s="1"/>
  <c r="Z9" i="2"/>
  <c r="V9" i="2"/>
  <c r="R9" i="2"/>
  <c r="O9" i="2"/>
  <c r="J9" i="2"/>
  <c r="E9" i="2"/>
  <c r="H9" i="2" s="1"/>
  <c r="G9" i="2" s="1"/>
  <c r="Z8" i="2"/>
  <c r="V8" i="2"/>
  <c r="R8" i="2"/>
  <c r="O8" i="2"/>
  <c r="J8" i="2"/>
  <c r="E8" i="2"/>
  <c r="H8" i="2" s="1"/>
  <c r="G8" i="2" s="1"/>
  <c r="Z7" i="2"/>
  <c r="B8" i="24"/>
  <c r="R7" i="2"/>
  <c r="O7" i="2"/>
  <c r="J7" i="2"/>
  <c r="G7" i="2"/>
  <c r="E7" i="2"/>
  <c r="H7" i="2" s="1"/>
  <c r="Z6" i="2"/>
  <c r="B7" i="24"/>
  <c r="R6" i="2"/>
  <c r="O6" i="2"/>
  <c r="J6" i="2"/>
  <c r="G6" i="2"/>
  <c r="E6" i="2"/>
  <c r="H6" i="2" s="1"/>
  <c r="Z5" i="2"/>
  <c r="B6" i="24"/>
  <c r="R5" i="2"/>
  <c r="O5" i="2"/>
  <c r="J5" i="2"/>
  <c r="G5" i="2"/>
  <c r="E5" i="2"/>
  <c r="H5" i="2" s="1"/>
  <c r="Z4" i="2"/>
  <c r="B5" i="24"/>
  <c r="V4" i="2"/>
  <c r="R4" i="2"/>
  <c r="O4" i="2"/>
  <c r="J4" i="2"/>
  <c r="G4" i="2"/>
  <c r="E4" i="2"/>
  <c r="H4" i="2" s="1"/>
  <c r="Z3" i="2"/>
  <c r="B4" i="24"/>
  <c r="V3" i="2"/>
  <c r="R3" i="2"/>
  <c r="O3" i="2"/>
  <c r="J3" i="2"/>
  <c r="G3" i="2"/>
  <c r="E3" i="2"/>
  <c r="H3" i="2" s="1"/>
  <c r="B29" i="44" l="1"/>
  <c r="S6" i="44"/>
  <c r="E4" i="44"/>
  <c r="E6" i="44"/>
  <c r="B31" i="44"/>
  <c r="S8" i="44"/>
  <c r="B33" i="44"/>
  <c r="E8" i="44"/>
  <c r="S10" i="44"/>
  <c r="B30" i="44"/>
  <c r="S7" i="44"/>
  <c r="E5" i="44"/>
  <c r="S9" i="44"/>
  <c r="E7" i="44"/>
  <c r="B32" i="44"/>
  <c r="B31" i="43"/>
  <c r="E6" i="43"/>
  <c r="S8" i="43"/>
  <c r="S10" i="43"/>
  <c r="B33" i="43"/>
  <c r="E8" i="43"/>
  <c r="E5" i="43"/>
  <c r="S7" i="43"/>
  <c r="B30" i="43"/>
  <c r="B32" i="43"/>
  <c r="E7" i="43"/>
  <c r="S9" i="43"/>
  <c r="B29" i="43"/>
  <c r="S6" i="43"/>
  <c r="E4" i="43"/>
  <c r="E4" i="42"/>
  <c r="S6" i="42"/>
  <c r="B29" i="42"/>
  <c r="S7" i="42"/>
  <c r="B30" i="42"/>
  <c r="E5" i="42"/>
  <c r="E6" i="42"/>
  <c r="B31" i="42"/>
  <c r="S8" i="42"/>
  <c r="S10" i="42"/>
  <c r="B33" i="42"/>
  <c r="E8" i="42"/>
  <c r="B32" i="42"/>
  <c r="E7" i="42"/>
  <c r="S9" i="42"/>
  <c r="B29" i="41"/>
  <c r="S6" i="41"/>
  <c r="E4" i="41"/>
  <c r="E5" i="41"/>
  <c r="B30" i="41"/>
  <c r="S7" i="41"/>
  <c r="S9" i="41"/>
  <c r="B32" i="41"/>
  <c r="E7" i="41"/>
  <c r="B31" i="41"/>
  <c r="E6" i="41"/>
  <c r="S8" i="41"/>
  <c r="S10" i="41"/>
  <c r="B33" i="41"/>
  <c r="E8" i="41"/>
  <c r="E5" i="40"/>
  <c r="S7" i="40"/>
  <c r="B30" i="40"/>
  <c r="B32" i="40"/>
  <c r="E7" i="40"/>
  <c r="S9" i="40"/>
  <c r="B29" i="40"/>
  <c r="S6" i="40"/>
  <c r="E4" i="40"/>
  <c r="B31" i="40"/>
  <c r="E6" i="40"/>
  <c r="S8" i="40"/>
  <c r="S10" i="40"/>
  <c r="B33" i="40"/>
  <c r="E8" i="40"/>
  <c r="S8" i="39"/>
  <c r="B31" i="39"/>
  <c r="E6" i="39"/>
  <c r="S10" i="39"/>
  <c r="B33" i="39"/>
  <c r="E8" i="39"/>
  <c r="E5" i="39"/>
  <c r="S7" i="39"/>
  <c r="B30" i="39"/>
  <c r="B32" i="39"/>
  <c r="E7" i="39"/>
  <c r="S9" i="39"/>
  <c r="B29" i="39"/>
  <c r="S6" i="39"/>
  <c r="E4" i="39"/>
  <c r="E5" i="38"/>
  <c r="B30" i="38"/>
  <c r="S7" i="38"/>
  <c r="S9" i="38"/>
  <c r="B32" i="38"/>
  <c r="E7" i="38"/>
  <c r="B29" i="38"/>
  <c r="S6" i="38"/>
  <c r="E4" i="38"/>
  <c r="B31" i="38"/>
  <c r="E6" i="38"/>
  <c r="S8" i="38"/>
  <c r="B33" i="38"/>
  <c r="E8" i="38"/>
  <c r="S10" i="38"/>
  <c r="S10" i="37"/>
  <c r="B33" i="37"/>
  <c r="E8" i="37"/>
  <c r="E5" i="37"/>
  <c r="B30" i="37"/>
  <c r="S7" i="37"/>
  <c r="B32" i="37"/>
  <c r="E7" i="37"/>
  <c r="S9" i="37"/>
  <c r="E6" i="37"/>
  <c r="S8" i="37"/>
  <c r="B31" i="37"/>
  <c r="E4" i="37"/>
  <c r="S6" i="37"/>
  <c r="B29" i="37"/>
  <c r="E8" i="36"/>
  <c r="B33" i="36"/>
  <c r="S10" i="36"/>
  <c r="E5" i="36"/>
  <c r="S7" i="36"/>
  <c r="B30" i="36"/>
  <c r="B32" i="36"/>
  <c r="S9" i="36"/>
  <c r="E7" i="36"/>
  <c r="S6" i="36"/>
  <c r="B29" i="36"/>
  <c r="E4" i="36"/>
  <c r="E6" i="36"/>
  <c r="S8" i="36"/>
  <c r="B31" i="36"/>
  <c r="B30" i="35"/>
  <c r="S7" i="35"/>
  <c r="E5" i="35"/>
  <c r="B32" i="35"/>
  <c r="E7" i="35"/>
  <c r="S9" i="35"/>
  <c r="E6" i="35"/>
  <c r="S8" i="35"/>
  <c r="B31" i="35"/>
  <c r="S10" i="35"/>
  <c r="B33" i="35"/>
  <c r="E8" i="35"/>
  <c r="E4" i="35"/>
  <c r="S6" i="35"/>
  <c r="B29" i="35"/>
  <c r="B31" i="34"/>
  <c r="E6" i="34"/>
  <c r="S8" i="34"/>
  <c r="S10" i="34"/>
  <c r="B33" i="34"/>
  <c r="E8" i="34"/>
  <c r="E5" i="34"/>
  <c r="S7" i="34"/>
  <c r="B30" i="34"/>
  <c r="B32" i="34"/>
  <c r="E7" i="34"/>
  <c r="S9" i="34"/>
  <c r="B29" i="34"/>
  <c r="S6" i="34"/>
  <c r="E4" i="34"/>
  <c r="E5" i="32"/>
  <c r="S7" i="32"/>
  <c r="B30" i="32"/>
  <c r="B32" i="32"/>
  <c r="E7" i="32"/>
  <c r="S9" i="32"/>
  <c r="B29" i="32"/>
  <c r="S6" i="32"/>
  <c r="E4" i="32"/>
  <c r="B31" i="32"/>
  <c r="E6" i="32"/>
  <c r="S8" i="32"/>
  <c r="S10" i="32"/>
  <c r="B33" i="32"/>
  <c r="E8" i="32"/>
  <c r="E6" i="31"/>
  <c r="B31" i="31"/>
  <c r="S8" i="31"/>
  <c r="B33" i="31"/>
  <c r="E8" i="31"/>
  <c r="S10" i="31"/>
  <c r="B30" i="31"/>
  <c r="S7" i="31"/>
  <c r="E5" i="31"/>
  <c r="E7" i="31"/>
  <c r="B32" i="31"/>
  <c r="S9" i="31"/>
  <c r="B29" i="31"/>
  <c r="S6" i="31"/>
  <c r="E4" i="31"/>
  <c r="E5" i="30"/>
  <c r="S7" i="30"/>
  <c r="B30" i="30"/>
  <c r="B32" i="30"/>
  <c r="E7" i="30"/>
  <c r="S9" i="30"/>
  <c r="B29" i="30"/>
  <c r="S6" i="30"/>
  <c r="E4" i="30"/>
  <c r="B31" i="30"/>
  <c r="E6" i="30"/>
  <c r="S8" i="30"/>
  <c r="S10" i="30"/>
  <c r="B33" i="30"/>
  <c r="E8" i="30"/>
  <c r="B29" i="29"/>
  <c r="S6" i="29"/>
  <c r="E4" i="29"/>
  <c r="B31" i="29"/>
  <c r="E6" i="29"/>
  <c r="S8" i="29"/>
  <c r="S10" i="29"/>
  <c r="B33" i="29"/>
  <c r="E8" i="29"/>
  <c r="E5" i="29"/>
  <c r="S7" i="29"/>
  <c r="B30" i="29"/>
  <c r="S9" i="29"/>
  <c r="B32" i="29"/>
  <c r="E7" i="29"/>
  <c r="E5" i="28"/>
  <c r="S7" i="28"/>
  <c r="B30" i="28"/>
  <c r="B32" i="28"/>
  <c r="E7" i="28"/>
  <c r="S9" i="28"/>
  <c r="S6" i="28"/>
  <c r="E4" i="28"/>
  <c r="B29" i="28"/>
  <c r="B31" i="28"/>
  <c r="S8" i="28"/>
  <c r="E6" i="28"/>
  <c r="S10" i="28"/>
  <c r="B33" i="28"/>
  <c r="E8" i="28"/>
  <c r="E5" i="27"/>
  <c r="S7" i="27"/>
  <c r="B30" i="27"/>
  <c r="B32" i="27"/>
  <c r="E7" i="27"/>
  <c r="S9" i="27"/>
  <c r="B29" i="27"/>
  <c r="S6" i="27"/>
  <c r="E4" i="27"/>
  <c r="B31" i="27"/>
  <c r="E6" i="27"/>
  <c r="S8" i="27"/>
  <c r="S10" i="27"/>
  <c r="B33" i="27"/>
  <c r="E8" i="27"/>
  <c r="C7" i="44"/>
  <c r="E6" i="24"/>
  <c r="B31" i="24"/>
  <c r="S8" i="24"/>
  <c r="E8" i="24"/>
  <c r="B33" i="24"/>
  <c r="S10" i="24"/>
  <c r="E4" i="24"/>
  <c r="B29" i="24"/>
  <c r="S6" i="24"/>
  <c r="C6" i="44"/>
  <c r="C8" i="44"/>
  <c r="E5" i="24"/>
  <c r="S7" i="24"/>
  <c r="B30" i="24"/>
  <c r="B32" i="24"/>
  <c r="S9" i="24"/>
  <c r="E7" i="24"/>
  <c r="C5" i="43"/>
  <c r="C7" i="43"/>
  <c r="C6" i="43"/>
  <c r="C8" i="43"/>
  <c r="C6" i="42"/>
  <c r="C8" i="42"/>
  <c r="C5" i="42"/>
  <c r="C7" i="42"/>
  <c r="C6" i="41"/>
  <c r="C5" i="41"/>
  <c r="C8" i="41"/>
  <c r="C7" i="41"/>
  <c r="C6" i="40"/>
  <c r="C8" i="40"/>
  <c r="C5" i="40"/>
  <c r="C7" i="40"/>
  <c r="C7" i="39"/>
  <c r="C4" i="39"/>
  <c r="C5" i="39"/>
  <c r="C6" i="39"/>
  <c r="C8" i="39"/>
  <c r="C5" i="38"/>
  <c r="C7" i="38"/>
  <c r="C6" i="38"/>
  <c r="C8" i="38"/>
  <c r="C5" i="37"/>
  <c r="C4" i="37"/>
  <c r="C8" i="37"/>
  <c r="C6" i="37"/>
  <c r="C7" i="37"/>
  <c r="C6" i="36"/>
  <c r="C8" i="36"/>
  <c r="C5" i="36"/>
  <c r="C7" i="36"/>
  <c r="C4" i="36"/>
  <c r="C5" i="35"/>
  <c r="C7" i="35"/>
  <c r="I10" i="2"/>
  <c r="I12" i="2"/>
  <c r="I15" i="2"/>
  <c r="I17" i="2"/>
  <c r="C6" i="35"/>
  <c r="C8" i="35"/>
  <c r="C4" i="34"/>
  <c r="C6" i="34"/>
  <c r="C8" i="34"/>
  <c r="C5" i="34"/>
  <c r="C7" i="34"/>
  <c r="C5" i="32"/>
  <c r="C4" i="32"/>
  <c r="C8" i="32"/>
  <c r="C6" i="32"/>
  <c r="C7" i="32"/>
  <c r="C6" i="31"/>
  <c r="C8" i="31"/>
  <c r="C5" i="31"/>
  <c r="C7" i="31"/>
  <c r="C6" i="30"/>
  <c r="C8" i="30"/>
  <c r="C4" i="30"/>
  <c r="C5" i="30"/>
  <c r="C7" i="30"/>
  <c r="I7" i="2"/>
  <c r="C5" i="29"/>
  <c r="C7" i="29"/>
  <c r="C6" i="29"/>
  <c r="C8" i="29"/>
  <c r="I102" i="2"/>
  <c r="C4" i="28"/>
  <c r="C8" i="28"/>
  <c r="I5" i="2"/>
  <c r="C6" i="28"/>
  <c r="C7" i="28"/>
  <c r="C5" i="28"/>
  <c r="I54" i="2"/>
  <c r="I79" i="2"/>
  <c r="I80" i="2"/>
  <c r="I88" i="2"/>
  <c r="I76" i="2"/>
  <c r="C5" i="27"/>
  <c r="C4" i="27"/>
  <c r="C6" i="27"/>
  <c r="C8" i="27"/>
  <c r="C7" i="27"/>
  <c r="C8" i="26"/>
  <c r="I25" i="2"/>
  <c r="I55" i="2"/>
  <c r="C6" i="26"/>
  <c r="C5" i="26"/>
  <c r="C7" i="26"/>
  <c r="I84" i="2"/>
  <c r="C4" i="26"/>
  <c r="I27" i="2"/>
  <c r="I36" i="2"/>
  <c r="I42" i="2"/>
  <c r="I95" i="2"/>
  <c r="I97" i="2"/>
  <c r="B5" i="3"/>
  <c r="B7" i="3"/>
  <c r="I30" i="2"/>
  <c r="I32" i="2"/>
  <c r="I71" i="2"/>
  <c r="B4" i="3"/>
  <c r="B6" i="3"/>
  <c r="B8" i="3"/>
  <c r="I99" i="2"/>
  <c r="I90" i="2"/>
  <c r="I18" i="2"/>
  <c r="I34" i="2"/>
  <c r="C8" i="24"/>
  <c r="I78" i="2"/>
  <c r="I81" i="2"/>
  <c r="C7" i="24"/>
  <c r="AA3" i="2"/>
  <c r="C4" i="24" s="1"/>
  <c r="C5" i="24"/>
  <c r="C6" i="24"/>
  <c r="I14" i="2"/>
  <c r="I22" i="2"/>
  <c r="I49" i="2"/>
  <c r="I68" i="2"/>
  <c r="I75" i="2"/>
  <c r="I53" i="2"/>
  <c r="I56" i="2"/>
  <c r="I58" i="2"/>
  <c r="I63" i="2"/>
  <c r="I72" i="2"/>
  <c r="I83" i="2"/>
  <c r="I85" i="2"/>
  <c r="I92" i="2"/>
  <c r="I94" i="2"/>
  <c r="I96" i="2"/>
  <c r="I98" i="2"/>
  <c r="I11" i="2"/>
  <c r="I20" i="2"/>
  <c r="I24" i="2"/>
  <c r="I37" i="2"/>
  <c r="I39" i="2"/>
  <c r="I41" i="2"/>
  <c r="I48" i="2"/>
  <c r="I51" i="2"/>
  <c r="I57" i="2"/>
  <c r="I60" i="2"/>
  <c r="I62" i="2"/>
  <c r="I73" i="2"/>
  <c r="I87" i="2"/>
  <c r="I9" i="2"/>
  <c r="I13" i="2"/>
  <c r="I16" i="2"/>
  <c r="I19" i="2"/>
  <c r="I21" i="2"/>
  <c r="I29" i="2"/>
  <c r="I38" i="2"/>
  <c r="I43" i="2"/>
  <c r="I50" i="2"/>
  <c r="I61" i="2"/>
  <c r="I74" i="2"/>
  <c r="I77" i="2"/>
  <c r="I91" i="2"/>
  <c r="I100" i="2"/>
  <c r="I8" i="2"/>
  <c r="I35" i="2"/>
  <c r="I44" i="2"/>
  <c r="I6" i="2"/>
  <c r="I28" i="2"/>
  <c r="I33" i="2"/>
  <c r="I70" i="2"/>
  <c r="I82" i="2"/>
  <c r="I4" i="2"/>
  <c r="I86" i="2"/>
  <c r="I3" i="2"/>
  <c r="I31" i="2"/>
  <c r="I45" i="2"/>
  <c r="I46" i="2"/>
  <c r="I47" i="2"/>
  <c r="I52" i="2"/>
  <c r="I69" i="2"/>
  <c r="I23" i="2"/>
  <c r="I26" i="2"/>
  <c r="I40" i="2"/>
  <c r="I59" i="2"/>
  <c r="I64" i="2"/>
  <c r="I65" i="2"/>
  <c r="I66" i="2"/>
  <c r="I67" i="2"/>
  <c r="I89" i="2"/>
  <c r="I93" i="2"/>
  <c r="I101" i="2"/>
  <c r="E9" i="30" l="1"/>
  <c r="F11" i="30" s="1"/>
  <c r="C32" i="44"/>
  <c r="F32" i="44" s="1"/>
  <c r="I32" i="44" s="1"/>
  <c r="F7" i="44"/>
  <c r="I7" i="44" s="1"/>
  <c r="H19" i="44"/>
  <c r="H5" i="44"/>
  <c r="H8" i="44"/>
  <c r="H22" i="44"/>
  <c r="H20" i="44"/>
  <c r="H6" i="44"/>
  <c r="C31" i="44"/>
  <c r="F31" i="44" s="1"/>
  <c r="I31" i="44" s="1"/>
  <c r="F6" i="44"/>
  <c r="I6" i="44" s="1"/>
  <c r="E32" i="44"/>
  <c r="S34" i="44"/>
  <c r="S35" i="44"/>
  <c r="E33" i="44"/>
  <c r="H18" i="44"/>
  <c r="H4" i="44"/>
  <c r="E9" i="44"/>
  <c r="F11" i="44" s="1"/>
  <c r="F5" i="44"/>
  <c r="I5" i="44" s="1"/>
  <c r="C30" i="44"/>
  <c r="F30" i="44" s="1"/>
  <c r="I30" i="44" s="1"/>
  <c r="H21" i="44"/>
  <c r="H7" i="44"/>
  <c r="G7" i="44"/>
  <c r="E30" i="44"/>
  <c r="S32" i="44"/>
  <c r="F8" i="44"/>
  <c r="I8" i="44" s="1"/>
  <c r="C33" i="44"/>
  <c r="F33" i="44" s="1"/>
  <c r="I33" i="44" s="1"/>
  <c r="F4" i="44"/>
  <c r="C29" i="44"/>
  <c r="F29" i="44" s="1"/>
  <c r="E31" i="44"/>
  <c r="S33" i="44"/>
  <c r="S31" i="44"/>
  <c r="E29" i="44"/>
  <c r="F8" i="43"/>
  <c r="I8" i="43" s="1"/>
  <c r="C33" i="43"/>
  <c r="F33" i="43" s="1"/>
  <c r="I33" i="43" s="1"/>
  <c r="C29" i="43"/>
  <c r="F29" i="43" s="1"/>
  <c r="F4" i="43"/>
  <c r="G4" i="43" s="1"/>
  <c r="C32" i="43"/>
  <c r="F32" i="43" s="1"/>
  <c r="I32" i="43" s="1"/>
  <c r="F7" i="43"/>
  <c r="I7" i="43" s="1"/>
  <c r="H18" i="43"/>
  <c r="H4" i="43"/>
  <c r="E9" i="43"/>
  <c r="F11" i="43" s="1"/>
  <c r="H7" i="43"/>
  <c r="H21" i="43"/>
  <c r="H5" i="43"/>
  <c r="H19" i="43"/>
  <c r="C31" i="43"/>
  <c r="F31" i="43" s="1"/>
  <c r="I31" i="43" s="1"/>
  <c r="F6" i="43"/>
  <c r="I6" i="43" s="1"/>
  <c r="S34" i="43"/>
  <c r="E32" i="43"/>
  <c r="H8" i="43"/>
  <c r="H22" i="43"/>
  <c r="G8" i="43"/>
  <c r="H20" i="43"/>
  <c r="H6" i="43"/>
  <c r="C30" i="43"/>
  <c r="F30" i="43" s="1"/>
  <c r="I30" i="43" s="1"/>
  <c r="F5" i="43"/>
  <c r="I5" i="43" s="1"/>
  <c r="S31" i="43"/>
  <c r="E29" i="43"/>
  <c r="S32" i="43"/>
  <c r="E30" i="43"/>
  <c r="E33" i="43"/>
  <c r="S35" i="43"/>
  <c r="E31" i="43"/>
  <c r="S33" i="43"/>
  <c r="F7" i="42"/>
  <c r="I7" i="42" s="1"/>
  <c r="C32" i="42"/>
  <c r="F32" i="42" s="1"/>
  <c r="I32" i="42" s="1"/>
  <c r="H22" i="42"/>
  <c r="H8" i="42"/>
  <c r="C31" i="42"/>
  <c r="F31" i="42" s="1"/>
  <c r="I31" i="42" s="1"/>
  <c r="F6" i="42"/>
  <c r="I6" i="42" s="1"/>
  <c r="S35" i="42"/>
  <c r="E33" i="42"/>
  <c r="H20" i="42"/>
  <c r="H6" i="42"/>
  <c r="E29" i="42"/>
  <c r="S31" i="42"/>
  <c r="F5" i="42"/>
  <c r="I5" i="42" s="1"/>
  <c r="C30" i="42"/>
  <c r="F30" i="42" s="1"/>
  <c r="I30" i="42" s="1"/>
  <c r="H7" i="42"/>
  <c r="H21" i="42"/>
  <c r="H19" i="42"/>
  <c r="H5" i="42"/>
  <c r="E31" i="42"/>
  <c r="S33" i="42"/>
  <c r="F8" i="42"/>
  <c r="I8" i="42" s="1"/>
  <c r="C33" i="42"/>
  <c r="F33" i="42" s="1"/>
  <c r="I33" i="42" s="1"/>
  <c r="C29" i="42"/>
  <c r="F29" i="42" s="1"/>
  <c r="F4" i="42"/>
  <c r="S34" i="42"/>
  <c r="E32" i="42"/>
  <c r="S32" i="42"/>
  <c r="E30" i="42"/>
  <c r="H18" i="42"/>
  <c r="H4" i="42"/>
  <c r="E9" i="42"/>
  <c r="F11" i="42" s="1"/>
  <c r="F6" i="41"/>
  <c r="I6" i="41" s="1"/>
  <c r="C31" i="41"/>
  <c r="F31" i="41" s="1"/>
  <c r="I31" i="41" s="1"/>
  <c r="S34" i="41"/>
  <c r="E32" i="41"/>
  <c r="H19" i="41"/>
  <c r="H5" i="41"/>
  <c r="C30" i="41"/>
  <c r="F30" i="41" s="1"/>
  <c r="I30" i="41" s="1"/>
  <c r="F5" i="41"/>
  <c r="I5" i="41" s="1"/>
  <c r="H8" i="41"/>
  <c r="H22" i="41"/>
  <c r="H20" i="41"/>
  <c r="H6" i="41"/>
  <c r="H18" i="41"/>
  <c r="E9" i="41"/>
  <c r="F11" i="41" s="1"/>
  <c r="H4" i="41"/>
  <c r="F8" i="41"/>
  <c r="I8" i="41" s="1"/>
  <c r="C33" i="41"/>
  <c r="F33" i="41" s="1"/>
  <c r="I33" i="41" s="1"/>
  <c r="C29" i="41"/>
  <c r="F29" i="41" s="1"/>
  <c r="F4" i="41"/>
  <c r="G4" i="41" s="1"/>
  <c r="E33" i="41"/>
  <c r="S35" i="41"/>
  <c r="E31" i="41"/>
  <c r="S33" i="41"/>
  <c r="C32" i="41"/>
  <c r="F32" i="41" s="1"/>
  <c r="I32" i="41" s="1"/>
  <c r="F7" i="41"/>
  <c r="I7" i="41" s="1"/>
  <c r="H7" i="41"/>
  <c r="H21" i="41"/>
  <c r="E30" i="41"/>
  <c r="S32" i="41"/>
  <c r="S31" i="41"/>
  <c r="E29" i="41"/>
  <c r="E32" i="40"/>
  <c r="S34" i="40"/>
  <c r="C30" i="40"/>
  <c r="F30" i="40" s="1"/>
  <c r="I30" i="40" s="1"/>
  <c r="F5" i="40"/>
  <c r="I5" i="40" s="1"/>
  <c r="H22" i="40"/>
  <c r="H8" i="40"/>
  <c r="H20" i="40"/>
  <c r="H6" i="40"/>
  <c r="S31" i="40"/>
  <c r="E29" i="40"/>
  <c r="S32" i="40"/>
  <c r="E30" i="40"/>
  <c r="C31" i="40"/>
  <c r="F31" i="40" s="1"/>
  <c r="I31" i="40" s="1"/>
  <c r="F6" i="40"/>
  <c r="I6" i="40" s="1"/>
  <c r="F8" i="40"/>
  <c r="I8" i="40" s="1"/>
  <c r="C33" i="40"/>
  <c r="F33" i="40" s="1"/>
  <c r="I33" i="40" s="1"/>
  <c r="C29" i="40"/>
  <c r="F29" i="40" s="1"/>
  <c r="F4" i="40"/>
  <c r="S35" i="40"/>
  <c r="E33" i="40"/>
  <c r="E31" i="40"/>
  <c r="S33" i="40"/>
  <c r="C32" i="40"/>
  <c r="F32" i="40" s="1"/>
  <c r="I32" i="40" s="1"/>
  <c r="F7" i="40"/>
  <c r="I7" i="40" s="1"/>
  <c r="H18" i="40"/>
  <c r="H4" i="40"/>
  <c r="E9" i="40"/>
  <c r="F11" i="40" s="1"/>
  <c r="H7" i="40"/>
  <c r="H21" i="40"/>
  <c r="H5" i="40"/>
  <c r="H19" i="40"/>
  <c r="C29" i="39"/>
  <c r="F29" i="39" s="1"/>
  <c r="F4" i="39"/>
  <c r="G4" i="39" s="1"/>
  <c r="C32" i="39"/>
  <c r="F32" i="39" s="1"/>
  <c r="I32" i="39" s="1"/>
  <c r="F7" i="39"/>
  <c r="I7" i="39" s="1"/>
  <c r="H4" i="39"/>
  <c r="H18" i="39"/>
  <c r="H7" i="39"/>
  <c r="H21" i="39"/>
  <c r="H19" i="39"/>
  <c r="H5" i="39"/>
  <c r="H20" i="39"/>
  <c r="H6" i="39"/>
  <c r="F8" i="39"/>
  <c r="I8" i="39" s="1"/>
  <c r="C33" i="39"/>
  <c r="F33" i="39" s="1"/>
  <c r="I33" i="39" s="1"/>
  <c r="C31" i="39"/>
  <c r="F31" i="39" s="1"/>
  <c r="I31" i="39" s="1"/>
  <c r="F6" i="39"/>
  <c r="I6" i="39" s="1"/>
  <c r="S34" i="39"/>
  <c r="E32" i="39"/>
  <c r="E9" i="39"/>
  <c r="F11" i="39" s="1"/>
  <c r="H8" i="39"/>
  <c r="H22" i="39"/>
  <c r="S33" i="39"/>
  <c r="E31" i="39"/>
  <c r="C30" i="39"/>
  <c r="F30" i="39" s="1"/>
  <c r="I30" i="39" s="1"/>
  <c r="F5" i="39"/>
  <c r="I5" i="39" s="1"/>
  <c r="S31" i="39"/>
  <c r="E29" i="39"/>
  <c r="E30" i="39"/>
  <c r="S32" i="39"/>
  <c r="E33" i="39"/>
  <c r="S35" i="39"/>
  <c r="F8" i="38"/>
  <c r="I8" i="38" s="1"/>
  <c r="C33" i="38"/>
  <c r="F33" i="38" s="1"/>
  <c r="I33" i="38" s="1"/>
  <c r="H6" i="38"/>
  <c r="H20" i="38"/>
  <c r="E29" i="38"/>
  <c r="S31" i="38"/>
  <c r="H22" i="38"/>
  <c r="H8" i="38"/>
  <c r="S33" i="38"/>
  <c r="E31" i="38"/>
  <c r="H7" i="38"/>
  <c r="H21" i="38"/>
  <c r="S32" i="38"/>
  <c r="E30" i="38"/>
  <c r="C29" i="38"/>
  <c r="F29" i="38" s="1"/>
  <c r="F4" i="38"/>
  <c r="C32" i="38"/>
  <c r="F32" i="38" s="1"/>
  <c r="I32" i="38" s="1"/>
  <c r="F7" i="38"/>
  <c r="I7" i="38" s="1"/>
  <c r="C31" i="38"/>
  <c r="F31" i="38" s="1"/>
  <c r="I31" i="38" s="1"/>
  <c r="F6" i="38"/>
  <c r="I6" i="38" s="1"/>
  <c r="C30" i="38"/>
  <c r="F30" i="38" s="1"/>
  <c r="I30" i="38" s="1"/>
  <c r="F5" i="38"/>
  <c r="I5" i="38" s="1"/>
  <c r="E33" i="38"/>
  <c r="S35" i="38"/>
  <c r="H18" i="38"/>
  <c r="H4" i="38"/>
  <c r="E9" i="38"/>
  <c r="F11" i="38" s="1"/>
  <c r="S34" i="38"/>
  <c r="E32" i="38"/>
  <c r="H5" i="38"/>
  <c r="H19" i="38"/>
  <c r="C32" i="37"/>
  <c r="F32" i="37" s="1"/>
  <c r="I32" i="37" s="1"/>
  <c r="F7" i="37"/>
  <c r="I7" i="37" s="1"/>
  <c r="S33" i="37"/>
  <c r="E31" i="37"/>
  <c r="H7" i="37"/>
  <c r="H21" i="37"/>
  <c r="H19" i="37"/>
  <c r="H5" i="37"/>
  <c r="C31" i="37"/>
  <c r="F31" i="37" s="1"/>
  <c r="I31" i="37" s="1"/>
  <c r="F6" i="37"/>
  <c r="I6" i="37" s="1"/>
  <c r="E29" i="37"/>
  <c r="S31" i="37"/>
  <c r="S34" i="37"/>
  <c r="E32" i="37"/>
  <c r="H22" i="37"/>
  <c r="H8" i="37"/>
  <c r="F5" i="37"/>
  <c r="I5" i="37" s="1"/>
  <c r="C30" i="37"/>
  <c r="F30" i="37" s="1"/>
  <c r="I30" i="37" s="1"/>
  <c r="H20" i="37"/>
  <c r="H6" i="37"/>
  <c r="E33" i="37"/>
  <c r="S35" i="37"/>
  <c r="F8" i="37"/>
  <c r="I8" i="37" s="1"/>
  <c r="C33" i="37"/>
  <c r="F33" i="37" s="1"/>
  <c r="I33" i="37" s="1"/>
  <c r="C29" i="37"/>
  <c r="F29" i="37" s="1"/>
  <c r="F4" i="37"/>
  <c r="G4" i="37" s="1"/>
  <c r="H4" i="37"/>
  <c r="H18" i="37"/>
  <c r="E9" i="37"/>
  <c r="F11" i="37" s="1"/>
  <c r="E30" i="37"/>
  <c r="S32" i="37"/>
  <c r="H5" i="36"/>
  <c r="H19" i="36"/>
  <c r="C30" i="36"/>
  <c r="F30" i="36" s="1"/>
  <c r="I30" i="36" s="1"/>
  <c r="F5" i="36"/>
  <c r="I5" i="36" s="1"/>
  <c r="E31" i="36"/>
  <c r="S33" i="36"/>
  <c r="S31" i="36"/>
  <c r="E29" i="36"/>
  <c r="S34" i="36"/>
  <c r="E32" i="36"/>
  <c r="H18" i="36"/>
  <c r="H4" i="36"/>
  <c r="E9" i="36"/>
  <c r="F11" i="36" s="1"/>
  <c r="C33" i="36"/>
  <c r="F33" i="36" s="1"/>
  <c r="I33" i="36" s="1"/>
  <c r="F8" i="36"/>
  <c r="I8" i="36" s="1"/>
  <c r="C29" i="36"/>
  <c r="F29" i="36" s="1"/>
  <c r="F4" i="36"/>
  <c r="G4" i="36" s="1"/>
  <c r="E30" i="36"/>
  <c r="S32" i="36"/>
  <c r="S35" i="36"/>
  <c r="E33" i="36"/>
  <c r="C31" i="36"/>
  <c r="F31" i="36" s="1"/>
  <c r="I31" i="36" s="1"/>
  <c r="F6" i="36"/>
  <c r="I6" i="36" s="1"/>
  <c r="F7" i="36"/>
  <c r="I7" i="36" s="1"/>
  <c r="C32" i="36"/>
  <c r="F32" i="36" s="1"/>
  <c r="I32" i="36" s="1"/>
  <c r="H6" i="36"/>
  <c r="H20" i="36"/>
  <c r="H21" i="36"/>
  <c r="H7" i="36"/>
  <c r="H22" i="36"/>
  <c r="H8" i="36"/>
  <c r="H22" i="35"/>
  <c r="H8" i="35"/>
  <c r="S31" i="35"/>
  <c r="E29" i="35"/>
  <c r="H5" i="35"/>
  <c r="H19" i="35"/>
  <c r="F8" i="35"/>
  <c r="I8" i="35" s="1"/>
  <c r="C33" i="35"/>
  <c r="F33" i="35" s="1"/>
  <c r="I33" i="35" s="1"/>
  <c r="C29" i="35"/>
  <c r="F29" i="35" s="1"/>
  <c r="F4" i="35"/>
  <c r="G4" i="35" s="1"/>
  <c r="C31" i="35"/>
  <c r="F31" i="35" s="1"/>
  <c r="I31" i="35" s="1"/>
  <c r="F6" i="35"/>
  <c r="I6" i="35" s="1"/>
  <c r="S34" i="35"/>
  <c r="E32" i="35"/>
  <c r="F5" i="35"/>
  <c r="I5" i="35" s="1"/>
  <c r="C30" i="35"/>
  <c r="F30" i="35" s="1"/>
  <c r="I30" i="35" s="1"/>
  <c r="S35" i="35"/>
  <c r="E33" i="35"/>
  <c r="H6" i="35"/>
  <c r="H20" i="35"/>
  <c r="C32" i="35"/>
  <c r="F32" i="35" s="1"/>
  <c r="I32" i="35" s="1"/>
  <c r="F7" i="35"/>
  <c r="I7" i="35" s="1"/>
  <c r="E9" i="35"/>
  <c r="F11" i="35" s="1"/>
  <c r="H18" i="35"/>
  <c r="H4" i="35"/>
  <c r="S33" i="35"/>
  <c r="E31" i="35"/>
  <c r="H7" i="35"/>
  <c r="H21" i="35"/>
  <c r="E30" i="35"/>
  <c r="S32" i="35"/>
  <c r="C32" i="34"/>
  <c r="F32" i="34" s="1"/>
  <c r="I32" i="34" s="1"/>
  <c r="F7" i="34"/>
  <c r="I7" i="34" s="1"/>
  <c r="C31" i="34"/>
  <c r="F31" i="34" s="1"/>
  <c r="I31" i="34" s="1"/>
  <c r="F6" i="34"/>
  <c r="I6" i="34" s="1"/>
  <c r="E9" i="31"/>
  <c r="F11" i="31" s="1"/>
  <c r="H18" i="34"/>
  <c r="H4" i="34"/>
  <c r="E9" i="34"/>
  <c r="F11" i="34" s="1"/>
  <c r="H7" i="34"/>
  <c r="H21" i="34"/>
  <c r="H19" i="34"/>
  <c r="H5" i="34"/>
  <c r="C30" i="34"/>
  <c r="F30" i="34" s="1"/>
  <c r="I30" i="34" s="1"/>
  <c r="F5" i="34"/>
  <c r="I5" i="34" s="1"/>
  <c r="S34" i="34"/>
  <c r="E32" i="34"/>
  <c r="H8" i="34"/>
  <c r="H22" i="34"/>
  <c r="H20" i="34"/>
  <c r="H6" i="34"/>
  <c r="F8" i="34"/>
  <c r="I8" i="34" s="1"/>
  <c r="C33" i="34"/>
  <c r="F33" i="34" s="1"/>
  <c r="I33" i="34" s="1"/>
  <c r="C29" i="34"/>
  <c r="F29" i="34" s="1"/>
  <c r="F4" i="34"/>
  <c r="G4" i="34" s="1"/>
  <c r="S31" i="34"/>
  <c r="E29" i="34"/>
  <c r="S32" i="34"/>
  <c r="E30" i="34"/>
  <c r="E33" i="34"/>
  <c r="S35" i="34"/>
  <c r="S33" i="34"/>
  <c r="E31" i="34"/>
  <c r="C31" i="32"/>
  <c r="F31" i="32" s="1"/>
  <c r="I31" i="32" s="1"/>
  <c r="F6" i="32"/>
  <c r="I6" i="32" s="1"/>
  <c r="S34" i="32"/>
  <c r="E32" i="32"/>
  <c r="C30" i="32"/>
  <c r="F30" i="32" s="1"/>
  <c r="I30" i="32" s="1"/>
  <c r="F5" i="32"/>
  <c r="I5" i="32" s="1"/>
  <c r="E9" i="32"/>
  <c r="F11" i="32" s="1"/>
  <c r="H8" i="32"/>
  <c r="H22" i="32"/>
  <c r="H20" i="32"/>
  <c r="H6" i="32"/>
  <c r="E29" i="32"/>
  <c r="S31" i="32"/>
  <c r="S32" i="32"/>
  <c r="E30" i="32"/>
  <c r="F8" i="32"/>
  <c r="I8" i="32" s="1"/>
  <c r="C33" i="32"/>
  <c r="F33" i="32" s="1"/>
  <c r="I33" i="32" s="1"/>
  <c r="C29" i="32"/>
  <c r="F29" i="32" s="1"/>
  <c r="F4" i="32"/>
  <c r="G4" i="32" s="1"/>
  <c r="S35" i="32"/>
  <c r="E33" i="32"/>
  <c r="S33" i="32"/>
  <c r="E31" i="32"/>
  <c r="C32" i="32"/>
  <c r="F32" i="32" s="1"/>
  <c r="I32" i="32" s="1"/>
  <c r="F7" i="32"/>
  <c r="I7" i="32" s="1"/>
  <c r="H18" i="32"/>
  <c r="H4" i="32"/>
  <c r="H7" i="32"/>
  <c r="H21" i="32"/>
  <c r="H19" i="32"/>
  <c r="H5" i="32"/>
  <c r="C32" i="31"/>
  <c r="F32" i="31" s="1"/>
  <c r="I32" i="31" s="1"/>
  <c r="F7" i="31"/>
  <c r="I7" i="31" s="1"/>
  <c r="S35" i="31"/>
  <c r="E33" i="31"/>
  <c r="F6" i="31"/>
  <c r="I6" i="31" s="1"/>
  <c r="C31" i="31"/>
  <c r="F31" i="31" s="1"/>
  <c r="I31" i="31" s="1"/>
  <c r="H18" i="31"/>
  <c r="H4" i="31"/>
  <c r="E32" i="31"/>
  <c r="S34" i="31"/>
  <c r="E30" i="31"/>
  <c r="S32" i="31"/>
  <c r="F5" i="31"/>
  <c r="I5" i="31" s="1"/>
  <c r="C30" i="31"/>
  <c r="F30" i="31" s="1"/>
  <c r="I30" i="31" s="1"/>
  <c r="H7" i="31"/>
  <c r="H21" i="31"/>
  <c r="E31" i="31"/>
  <c r="S33" i="31"/>
  <c r="C33" i="31"/>
  <c r="F33" i="31" s="1"/>
  <c r="I33" i="31" s="1"/>
  <c r="F8" i="31"/>
  <c r="I8" i="31" s="1"/>
  <c r="F4" i="31"/>
  <c r="C29" i="31"/>
  <c r="F29" i="31" s="1"/>
  <c r="E29" i="31"/>
  <c r="S31" i="31"/>
  <c r="H19" i="31"/>
  <c r="H5" i="31"/>
  <c r="H8" i="31"/>
  <c r="H22" i="31"/>
  <c r="H20" i="31"/>
  <c r="H6" i="31"/>
  <c r="C32" i="30"/>
  <c r="F32" i="30" s="1"/>
  <c r="I32" i="30" s="1"/>
  <c r="F7" i="30"/>
  <c r="I7" i="30" s="1"/>
  <c r="E32" i="30"/>
  <c r="S34" i="30"/>
  <c r="C31" i="30"/>
  <c r="F31" i="30" s="1"/>
  <c r="I31" i="30" s="1"/>
  <c r="F6" i="30"/>
  <c r="I6" i="30" s="1"/>
  <c r="H22" i="30"/>
  <c r="H8" i="30"/>
  <c r="H20" i="30"/>
  <c r="H6" i="30"/>
  <c r="E29" i="30"/>
  <c r="S31" i="30"/>
  <c r="E30" i="30"/>
  <c r="S32" i="30"/>
  <c r="C30" i="30"/>
  <c r="F30" i="30" s="1"/>
  <c r="I30" i="30" s="1"/>
  <c r="F5" i="30"/>
  <c r="I5" i="30" s="1"/>
  <c r="E33" i="30"/>
  <c r="S35" i="30"/>
  <c r="S33" i="30"/>
  <c r="E31" i="30"/>
  <c r="F8" i="30"/>
  <c r="I8" i="30" s="1"/>
  <c r="C33" i="30"/>
  <c r="F33" i="30" s="1"/>
  <c r="I33" i="30" s="1"/>
  <c r="C29" i="30"/>
  <c r="F29" i="30" s="1"/>
  <c r="F4" i="30"/>
  <c r="G4" i="30" s="1"/>
  <c r="H18" i="30"/>
  <c r="H4" i="30"/>
  <c r="H7" i="30"/>
  <c r="H21" i="30"/>
  <c r="H19" i="30"/>
  <c r="G5" i="30"/>
  <c r="H5" i="30"/>
  <c r="C32" i="29"/>
  <c r="F32" i="29" s="1"/>
  <c r="I32" i="29" s="1"/>
  <c r="F7" i="29"/>
  <c r="I7" i="29" s="1"/>
  <c r="E30" i="29"/>
  <c r="S32" i="29"/>
  <c r="E33" i="29"/>
  <c r="S35" i="29"/>
  <c r="S33" i="29"/>
  <c r="E31" i="29"/>
  <c r="F6" i="29"/>
  <c r="I6" i="29" s="1"/>
  <c r="C31" i="29"/>
  <c r="F31" i="29" s="1"/>
  <c r="I31" i="29" s="1"/>
  <c r="H7" i="29"/>
  <c r="H21" i="29"/>
  <c r="H18" i="29"/>
  <c r="H4" i="29"/>
  <c r="E9" i="29"/>
  <c r="F11" i="29" s="1"/>
  <c r="C30" i="29"/>
  <c r="F30" i="29" s="1"/>
  <c r="I30" i="29" s="1"/>
  <c r="F5" i="29"/>
  <c r="I5" i="29" s="1"/>
  <c r="S34" i="29"/>
  <c r="E32" i="29"/>
  <c r="H5" i="29"/>
  <c r="H19" i="29"/>
  <c r="F8" i="29"/>
  <c r="I8" i="29" s="1"/>
  <c r="C33" i="29"/>
  <c r="F33" i="29" s="1"/>
  <c r="I33" i="29" s="1"/>
  <c r="C29" i="29"/>
  <c r="F29" i="29" s="1"/>
  <c r="H8" i="29"/>
  <c r="H22" i="29"/>
  <c r="H20" i="29"/>
  <c r="H6" i="29"/>
  <c r="E29" i="29"/>
  <c r="S31" i="29"/>
  <c r="C32" i="28"/>
  <c r="F32" i="28" s="1"/>
  <c r="I32" i="28" s="1"/>
  <c r="F7" i="28"/>
  <c r="I7" i="28" s="1"/>
  <c r="H20" i="28"/>
  <c r="H6" i="28"/>
  <c r="H18" i="28"/>
  <c r="H4" i="28"/>
  <c r="E9" i="28"/>
  <c r="F11" i="28" s="1"/>
  <c r="S34" i="28"/>
  <c r="E32" i="28"/>
  <c r="C31" i="28"/>
  <c r="F31" i="28" s="1"/>
  <c r="I31" i="28" s="1"/>
  <c r="F6" i="28"/>
  <c r="I6" i="28" s="1"/>
  <c r="H22" i="28"/>
  <c r="H8" i="28"/>
  <c r="S32" i="28"/>
  <c r="E30" i="28"/>
  <c r="C30" i="28"/>
  <c r="F30" i="28" s="1"/>
  <c r="I30" i="28" s="1"/>
  <c r="F5" i="28"/>
  <c r="I5" i="28" s="1"/>
  <c r="E33" i="28"/>
  <c r="S35" i="28"/>
  <c r="S33" i="28"/>
  <c r="E31" i="28"/>
  <c r="F8" i="28"/>
  <c r="I8" i="28" s="1"/>
  <c r="C33" i="28"/>
  <c r="F33" i="28" s="1"/>
  <c r="I33" i="28" s="1"/>
  <c r="C29" i="28"/>
  <c r="F29" i="28" s="1"/>
  <c r="F4" i="28"/>
  <c r="S31" i="28"/>
  <c r="E29" i="28"/>
  <c r="H7" i="28"/>
  <c r="H21" i="28"/>
  <c r="H5" i="28"/>
  <c r="H19" i="28"/>
  <c r="C29" i="27"/>
  <c r="F29" i="27" s="1"/>
  <c r="F4" i="27"/>
  <c r="G4" i="27" s="1"/>
  <c r="C32" i="27"/>
  <c r="F32" i="27" s="1"/>
  <c r="I32" i="27" s="1"/>
  <c r="F7" i="27"/>
  <c r="I7" i="27" s="1"/>
  <c r="S34" i="27"/>
  <c r="E32" i="27"/>
  <c r="F8" i="27"/>
  <c r="I8" i="27" s="1"/>
  <c r="C33" i="27"/>
  <c r="F33" i="27" s="1"/>
  <c r="I33" i="27" s="1"/>
  <c r="C31" i="27"/>
  <c r="F31" i="27" s="1"/>
  <c r="I31" i="27" s="1"/>
  <c r="F6" i="27"/>
  <c r="I6" i="27" s="1"/>
  <c r="H8" i="27"/>
  <c r="H22" i="27"/>
  <c r="H20" i="27"/>
  <c r="H6" i="27"/>
  <c r="E29" i="27"/>
  <c r="S31" i="27"/>
  <c r="E30" i="27"/>
  <c r="S32" i="27"/>
  <c r="C30" i="27"/>
  <c r="F30" i="27" s="1"/>
  <c r="I30" i="27" s="1"/>
  <c r="F5" i="27"/>
  <c r="I5" i="27" s="1"/>
  <c r="E33" i="27"/>
  <c r="S35" i="27"/>
  <c r="S33" i="27"/>
  <c r="E31" i="27"/>
  <c r="H18" i="27"/>
  <c r="H4" i="27"/>
  <c r="E9" i="27"/>
  <c r="F11" i="27" s="1"/>
  <c r="H7" i="27"/>
  <c r="H21" i="27"/>
  <c r="H5" i="27"/>
  <c r="H19" i="27"/>
  <c r="B31" i="26"/>
  <c r="E6" i="26"/>
  <c r="S8" i="26"/>
  <c r="E5" i="26"/>
  <c r="S7" i="26"/>
  <c r="B30" i="26"/>
  <c r="B29" i="26"/>
  <c r="S31" i="26" s="1"/>
  <c r="S6" i="26"/>
  <c r="E4" i="26"/>
  <c r="S10" i="26"/>
  <c r="B33" i="26"/>
  <c r="E8" i="26"/>
  <c r="B32" i="26"/>
  <c r="E7" i="26"/>
  <c r="S9" i="26"/>
  <c r="F5" i="24"/>
  <c r="I5" i="24" s="1"/>
  <c r="C30" i="24"/>
  <c r="F30" i="24" s="1"/>
  <c r="I30" i="24" s="1"/>
  <c r="F8" i="24"/>
  <c r="I8" i="24" s="1"/>
  <c r="C33" i="24"/>
  <c r="F33" i="24" s="1"/>
  <c r="I33" i="24" s="1"/>
  <c r="C29" i="24"/>
  <c r="F29" i="24" s="1"/>
  <c r="F4" i="24"/>
  <c r="G4" i="24" s="1"/>
  <c r="S34" i="24"/>
  <c r="E32" i="24"/>
  <c r="E33" i="24"/>
  <c r="S35" i="24"/>
  <c r="H20" i="24"/>
  <c r="H6" i="24"/>
  <c r="E31" i="24"/>
  <c r="S33" i="24"/>
  <c r="C32" i="24"/>
  <c r="F32" i="24" s="1"/>
  <c r="I32" i="24" s="1"/>
  <c r="F7" i="24"/>
  <c r="I7" i="24" s="1"/>
  <c r="E30" i="24"/>
  <c r="S32" i="24"/>
  <c r="E29" i="24"/>
  <c r="S31" i="24"/>
  <c r="H22" i="24"/>
  <c r="H8" i="24"/>
  <c r="H19" i="24"/>
  <c r="H5" i="24"/>
  <c r="C31" i="24"/>
  <c r="F31" i="24" s="1"/>
  <c r="I31" i="24" s="1"/>
  <c r="F6" i="24"/>
  <c r="I6" i="24" s="1"/>
  <c r="E9" i="24"/>
  <c r="F11" i="24" s="1"/>
  <c r="H21" i="24"/>
  <c r="H7" i="24"/>
  <c r="H4" i="24"/>
  <c r="H18" i="24"/>
  <c r="C8" i="3"/>
  <c r="F8" i="3" s="1"/>
  <c r="C7" i="3"/>
  <c r="F7" i="3" s="1"/>
  <c r="C4" i="3"/>
  <c r="C6" i="3"/>
  <c r="F6" i="3" s="1"/>
  <c r="C5" i="3"/>
  <c r="F5" i="3" s="1"/>
  <c r="E8" i="3"/>
  <c r="B33" i="3"/>
  <c r="S10" i="3"/>
  <c r="S8" i="3"/>
  <c r="E6" i="3"/>
  <c r="B31" i="3"/>
  <c r="S7" i="3"/>
  <c r="B30" i="3"/>
  <c r="E5" i="3"/>
  <c r="S9" i="3"/>
  <c r="B32" i="3"/>
  <c r="E7" i="3"/>
  <c r="E4" i="3"/>
  <c r="B29" i="3"/>
  <c r="S6" i="3"/>
  <c r="G5" i="28" l="1"/>
  <c r="G7" i="30"/>
  <c r="G7" i="28"/>
  <c r="G6" i="41"/>
  <c r="E9" i="26"/>
  <c r="F11" i="26" s="1"/>
  <c r="G7" i="43"/>
  <c r="G6" i="43"/>
  <c r="H29" i="44"/>
  <c r="G29" i="44"/>
  <c r="E34" i="44"/>
  <c r="F36" i="44" s="1"/>
  <c r="H42" i="44"/>
  <c r="I29" i="44"/>
  <c r="I34" i="44" s="1"/>
  <c r="F34" i="44"/>
  <c r="F37" i="44" s="1"/>
  <c r="I4" i="44"/>
  <c r="I9" i="44" s="1"/>
  <c r="F9" i="44"/>
  <c r="F12" i="44" s="1"/>
  <c r="H43" i="44"/>
  <c r="H30" i="44"/>
  <c r="G30" i="44"/>
  <c r="H9" i="44"/>
  <c r="F14" i="44" s="1"/>
  <c r="I12" i="44" s="1"/>
  <c r="G6" i="44"/>
  <c r="G8" i="44"/>
  <c r="H32" i="44"/>
  <c r="H45" i="44"/>
  <c r="G32" i="44"/>
  <c r="H31" i="44"/>
  <c r="G31" i="44"/>
  <c r="H44" i="44"/>
  <c r="G4" i="44"/>
  <c r="H46" i="44"/>
  <c r="H33" i="44"/>
  <c r="G33" i="44"/>
  <c r="G5" i="44"/>
  <c r="G5" i="43"/>
  <c r="G7" i="42"/>
  <c r="G30" i="43"/>
  <c r="H30" i="43"/>
  <c r="H43" i="43"/>
  <c r="H45" i="43"/>
  <c r="H32" i="43"/>
  <c r="G32" i="43"/>
  <c r="I4" i="43"/>
  <c r="I9" i="43" s="1"/>
  <c r="F9" i="43"/>
  <c r="F12" i="43" s="1"/>
  <c r="H31" i="43"/>
  <c r="G31" i="43"/>
  <c r="H44" i="43"/>
  <c r="I29" i="43"/>
  <c r="I34" i="43" s="1"/>
  <c r="F34" i="43"/>
  <c r="F37" i="43" s="1"/>
  <c r="H42" i="43"/>
  <c r="H29" i="43"/>
  <c r="G29" i="43"/>
  <c r="E34" i="43"/>
  <c r="F36" i="43" s="1"/>
  <c r="H33" i="43"/>
  <c r="H46" i="43"/>
  <c r="G33" i="43"/>
  <c r="H9" i="43"/>
  <c r="F14" i="43" s="1"/>
  <c r="I12" i="43" s="1"/>
  <c r="G6" i="42"/>
  <c r="G5" i="42"/>
  <c r="H43" i="42"/>
  <c r="G30" i="42"/>
  <c r="H30" i="42"/>
  <c r="I4" i="42"/>
  <c r="I9" i="42" s="1"/>
  <c r="F9" i="42"/>
  <c r="F12" i="42" s="1"/>
  <c r="I29" i="42"/>
  <c r="I34" i="42" s="1"/>
  <c r="F34" i="42"/>
  <c r="F37" i="42" s="1"/>
  <c r="H44" i="42"/>
  <c r="H31" i="42"/>
  <c r="G31" i="42"/>
  <c r="H32" i="42"/>
  <c r="G32" i="42"/>
  <c r="H45" i="42"/>
  <c r="G4" i="42"/>
  <c r="H9" i="42"/>
  <c r="F14" i="42" s="1"/>
  <c r="I12" i="42" s="1"/>
  <c r="H29" i="42"/>
  <c r="H42" i="42"/>
  <c r="G29" i="42"/>
  <c r="E34" i="42"/>
  <c r="F36" i="42" s="1"/>
  <c r="H33" i="42"/>
  <c r="H46" i="42"/>
  <c r="G33" i="42"/>
  <c r="G8" i="42"/>
  <c r="H42" i="41"/>
  <c r="G29" i="41"/>
  <c r="H29" i="41"/>
  <c r="E34" i="41"/>
  <c r="F36" i="41" s="1"/>
  <c r="G7" i="41"/>
  <c r="G33" i="41"/>
  <c r="H46" i="41"/>
  <c r="H33" i="41"/>
  <c r="G8" i="41"/>
  <c r="H45" i="41"/>
  <c r="H32" i="41"/>
  <c r="G32" i="41"/>
  <c r="I4" i="41"/>
  <c r="I9" i="41" s="1"/>
  <c r="F9" i="41"/>
  <c r="F12" i="41" s="1"/>
  <c r="G31" i="41"/>
  <c r="H44" i="41"/>
  <c r="H31" i="41"/>
  <c r="I29" i="41"/>
  <c r="I34" i="41" s="1"/>
  <c r="F34" i="41"/>
  <c r="F37" i="41" s="1"/>
  <c r="H9" i="41"/>
  <c r="F14" i="41" s="1"/>
  <c r="I12" i="41" s="1"/>
  <c r="G5" i="41"/>
  <c r="G30" i="41"/>
  <c r="H30" i="41"/>
  <c r="H43" i="41"/>
  <c r="E34" i="40"/>
  <c r="F36" i="40" s="1"/>
  <c r="H9" i="40"/>
  <c r="F14" i="40" s="1"/>
  <c r="I12" i="40" s="1"/>
  <c r="I4" i="40"/>
  <c r="I9" i="40" s="1"/>
  <c r="F9" i="40"/>
  <c r="F12" i="40" s="1"/>
  <c r="G29" i="40"/>
  <c r="H29" i="40"/>
  <c r="H42" i="40"/>
  <c r="I29" i="40"/>
  <c r="I34" i="40" s="1"/>
  <c r="F34" i="40"/>
  <c r="F37" i="40" s="1"/>
  <c r="G8" i="39"/>
  <c r="G5" i="40"/>
  <c r="H33" i="40"/>
  <c r="H46" i="40"/>
  <c r="G33" i="40"/>
  <c r="H30" i="40"/>
  <c r="G30" i="40"/>
  <c r="H43" i="40"/>
  <c r="G6" i="40"/>
  <c r="G8" i="40"/>
  <c r="H44" i="40"/>
  <c r="H31" i="40"/>
  <c r="G31" i="40"/>
  <c r="G7" i="40"/>
  <c r="G4" i="40"/>
  <c r="H32" i="40"/>
  <c r="G32" i="40"/>
  <c r="H45" i="40"/>
  <c r="G5" i="39"/>
  <c r="H31" i="39"/>
  <c r="H44" i="39"/>
  <c r="G31" i="39"/>
  <c r="G5" i="27"/>
  <c r="H46" i="39"/>
  <c r="H33" i="39"/>
  <c r="G33" i="39"/>
  <c r="H42" i="39"/>
  <c r="H29" i="39"/>
  <c r="G29" i="39"/>
  <c r="E34" i="39"/>
  <c r="F36" i="39" s="1"/>
  <c r="G6" i="39"/>
  <c r="H32" i="39"/>
  <c r="G32" i="39"/>
  <c r="H45" i="39"/>
  <c r="G7" i="39"/>
  <c r="I4" i="39"/>
  <c r="I9" i="39" s="1"/>
  <c r="F9" i="39"/>
  <c r="F12" i="39" s="1"/>
  <c r="H43" i="39"/>
  <c r="H30" i="39"/>
  <c r="G30" i="39"/>
  <c r="H9" i="39"/>
  <c r="F14" i="39" s="1"/>
  <c r="I12" i="39" s="1"/>
  <c r="I29" i="39"/>
  <c r="I34" i="39" s="1"/>
  <c r="F34" i="39"/>
  <c r="F37" i="39" s="1"/>
  <c r="G8" i="38"/>
  <c r="G5" i="38"/>
  <c r="G7" i="38"/>
  <c r="H46" i="38"/>
  <c r="H33" i="38"/>
  <c r="G33" i="38"/>
  <c r="I29" i="38"/>
  <c r="I34" i="38" s="1"/>
  <c r="F34" i="38"/>
  <c r="F37" i="38" s="1"/>
  <c r="H9" i="38"/>
  <c r="F14" i="38" s="1"/>
  <c r="I12" i="38" s="1"/>
  <c r="G29" i="38"/>
  <c r="H42" i="38"/>
  <c r="H29" i="38"/>
  <c r="E34" i="38"/>
  <c r="F36" i="38" s="1"/>
  <c r="H31" i="38"/>
  <c r="G31" i="38"/>
  <c r="H44" i="38"/>
  <c r="G7" i="35"/>
  <c r="I4" i="38"/>
  <c r="I9" i="38" s="1"/>
  <c r="F9" i="38"/>
  <c r="F12" i="38" s="1"/>
  <c r="G7" i="34"/>
  <c r="G8" i="36"/>
  <c r="G6" i="36"/>
  <c r="G32" i="38"/>
  <c r="H45" i="38"/>
  <c r="H32" i="38"/>
  <c r="G4" i="38"/>
  <c r="G30" i="38"/>
  <c r="H43" i="38"/>
  <c r="H30" i="38"/>
  <c r="G6" i="38"/>
  <c r="H9" i="37"/>
  <c r="F14" i="37" s="1"/>
  <c r="I12" i="37" s="1"/>
  <c r="G6" i="37"/>
  <c r="H45" i="37"/>
  <c r="H32" i="37"/>
  <c r="G32" i="37"/>
  <c r="H31" i="37"/>
  <c r="G31" i="37"/>
  <c r="H44" i="37"/>
  <c r="H30" i="37"/>
  <c r="G30" i="37"/>
  <c r="H43" i="37"/>
  <c r="G8" i="37"/>
  <c r="G7" i="37"/>
  <c r="I4" i="37"/>
  <c r="I9" i="37" s="1"/>
  <c r="F9" i="37"/>
  <c r="F12" i="37" s="1"/>
  <c r="I29" i="37"/>
  <c r="I34" i="37" s="1"/>
  <c r="F34" i="37"/>
  <c r="F37" i="37" s="1"/>
  <c r="H46" i="37"/>
  <c r="H33" i="37"/>
  <c r="G33" i="37"/>
  <c r="E34" i="37"/>
  <c r="F36" i="37" s="1"/>
  <c r="H42" i="37"/>
  <c r="H29" i="37"/>
  <c r="G29" i="37"/>
  <c r="G5" i="37"/>
  <c r="G5" i="36"/>
  <c r="H9" i="36"/>
  <c r="F14" i="36" s="1"/>
  <c r="I12" i="36" s="1"/>
  <c r="H30" i="36"/>
  <c r="H43" i="36"/>
  <c r="G30" i="36"/>
  <c r="G6" i="31"/>
  <c r="H33" i="36"/>
  <c r="G33" i="36"/>
  <c r="H46" i="36"/>
  <c r="I4" i="36"/>
  <c r="I9" i="36" s="1"/>
  <c r="F9" i="36"/>
  <c r="F12" i="36" s="1"/>
  <c r="G32" i="36"/>
  <c r="H45" i="36"/>
  <c r="H32" i="36"/>
  <c r="I29" i="36"/>
  <c r="I34" i="36" s="1"/>
  <c r="F34" i="36"/>
  <c r="F37" i="36" s="1"/>
  <c r="H44" i="36"/>
  <c r="H31" i="36"/>
  <c r="G31" i="36"/>
  <c r="G7" i="36"/>
  <c r="H42" i="36"/>
  <c r="E34" i="36"/>
  <c r="F36" i="36" s="1"/>
  <c r="H29" i="36"/>
  <c r="G29" i="36"/>
  <c r="H46" i="35"/>
  <c r="H33" i="35"/>
  <c r="G33" i="35"/>
  <c r="H45" i="35"/>
  <c r="H32" i="35"/>
  <c r="G32" i="35"/>
  <c r="I4" i="35"/>
  <c r="I9" i="35" s="1"/>
  <c r="F9" i="35"/>
  <c r="F12" i="35" s="1"/>
  <c r="G8" i="34"/>
  <c r="G30" i="35"/>
  <c r="H43" i="35"/>
  <c r="H30" i="35"/>
  <c r="G31" i="35"/>
  <c r="H44" i="35"/>
  <c r="H31" i="35"/>
  <c r="G6" i="35"/>
  <c r="I29" i="35"/>
  <c r="F34" i="35"/>
  <c r="F37" i="35" s="1"/>
  <c r="G5" i="35"/>
  <c r="G8" i="35"/>
  <c r="I34" i="35"/>
  <c r="H9" i="35"/>
  <c r="F14" i="35" s="1"/>
  <c r="I12" i="35" s="1"/>
  <c r="G29" i="35"/>
  <c r="E34" i="35"/>
  <c r="F36" i="35" s="1"/>
  <c r="H42" i="35"/>
  <c r="H29" i="35"/>
  <c r="G5" i="34"/>
  <c r="I29" i="34"/>
  <c r="I34" i="34" s="1"/>
  <c r="F34" i="34"/>
  <c r="F37" i="34" s="1"/>
  <c r="H42" i="34"/>
  <c r="H29" i="34"/>
  <c r="G29" i="34"/>
  <c r="G32" i="34"/>
  <c r="H32" i="34"/>
  <c r="H45" i="34"/>
  <c r="H46" i="34"/>
  <c r="H33" i="34"/>
  <c r="G33" i="34"/>
  <c r="H9" i="34"/>
  <c r="F14" i="34" s="1"/>
  <c r="I12" i="34" s="1"/>
  <c r="H44" i="34"/>
  <c r="H31" i="34"/>
  <c r="G31" i="34"/>
  <c r="E34" i="34"/>
  <c r="F36" i="34" s="1"/>
  <c r="H43" i="34"/>
  <c r="H30" i="34"/>
  <c r="G30" i="34"/>
  <c r="I4" i="34"/>
  <c r="I9" i="34" s="1"/>
  <c r="F9" i="34"/>
  <c r="F12" i="34" s="1"/>
  <c r="G6" i="34"/>
  <c r="G5" i="32"/>
  <c r="G6" i="32"/>
  <c r="G8" i="32"/>
  <c r="G8" i="31"/>
  <c r="G7" i="31"/>
  <c r="H33" i="32"/>
  <c r="H46" i="32"/>
  <c r="G33" i="32"/>
  <c r="I29" i="32"/>
  <c r="I34" i="32" s="1"/>
  <c r="F34" i="32"/>
  <c r="F37" i="32" s="1"/>
  <c r="H32" i="32"/>
  <c r="H45" i="32"/>
  <c r="G32" i="32"/>
  <c r="H42" i="32"/>
  <c r="H29" i="32"/>
  <c r="G29" i="32"/>
  <c r="G8" i="29"/>
  <c r="G7" i="32"/>
  <c r="G31" i="32"/>
  <c r="H44" i="32"/>
  <c r="H31" i="32"/>
  <c r="I4" i="32"/>
  <c r="I9" i="32" s="1"/>
  <c r="F9" i="32"/>
  <c r="F12" i="32" s="1"/>
  <c r="E34" i="32"/>
  <c r="F36" i="32" s="1"/>
  <c r="G30" i="32"/>
  <c r="H30" i="32"/>
  <c r="H43" i="32"/>
  <c r="H9" i="32"/>
  <c r="F14" i="32" s="1"/>
  <c r="I12" i="32" s="1"/>
  <c r="G5" i="31"/>
  <c r="I4" i="31"/>
  <c r="I9" i="31" s="1"/>
  <c r="F9" i="31"/>
  <c r="F12" i="31" s="1"/>
  <c r="H44" i="31"/>
  <c r="H31" i="31"/>
  <c r="G31" i="31"/>
  <c r="H9" i="31"/>
  <c r="F14" i="31" s="1"/>
  <c r="I12" i="31" s="1"/>
  <c r="H33" i="31"/>
  <c r="G33" i="31"/>
  <c r="H46" i="31"/>
  <c r="G8" i="27"/>
  <c r="H45" i="31"/>
  <c r="H32" i="31"/>
  <c r="G32" i="31"/>
  <c r="H29" i="31"/>
  <c r="G29" i="31"/>
  <c r="E34" i="31"/>
  <c r="F36" i="31" s="1"/>
  <c r="H42" i="31"/>
  <c r="G7" i="29"/>
  <c r="F34" i="31"/>
  <c r="F37" i="31" s="1"/>
  <c r="I29" i="31"/>
  <c r="I34" i="31" s="1"/>
  <c r="H43" i="31"/>
  <c r="H30" i="31"/>
  <c r="G30" i="31"/>
  <c r="G4" i="31"/>
  <c r="G8" i="30"/>
  <c r="H46" i="30"/>
  <c r="H33" i="30"/>
  <c r="G33" i="30"/>
  <c r="H30" i="30"/>
  <c r="G30" i="30"/>
  <c r="H43" i="30"/>
  <c r="G6" i="30"/>
  <c r="G32" i="30"/>
  <c r="H32" i="30"/>
  <c r="H45" i="30"/>
  <c r="I4" i="30"/>
  <c r="I9" i="30" s="1"/>
  <c r="F9" i="30"/>
  <c r="F12" i="30" s="1"/>
  <c r="H31" i="30"/>
  <c r="G31" i="30"/>
  <c r="H44" i="30"/>
  <c r="I29" i="30"/>
  <c r="I34" i="30" s="1"/>
  <c r="F34" i="30"/>
  <c r="F37" i="30" s="1"/>
  <c r="H42" i="30"/>
  <c r="H29" i="30"/>
  <c r="G29" i="30"/>
  <c r="E34" i="30"/>
  <c r="F36" i="30" s="1"/>
  <c r="H9" i="30"/>
  <c r="F14" i="30" s="1"/>
  <c r="I12" i="30" s="1"/>
  <c r="G6" i="29"/>
  <c r="I4" i="29"/>
  <c r="I9" i="29" s="1"/>
  <c r="F9" i="29"/>
  <c r="F12" i="29" s="1"/>
  <c r="G4" i="29"/>
  <c r="G31" i="29"/>
  <c r="H31" i="29"/>
  <c r="H44" i="29"/>
  <c r="H29" i="29"/>
  <c r="H42" i="29"/>
  <c r="G29" i="29"/>
  <c r="E34" i="29"/>
  <c r="F36" i="29" s="1"/>
  <c r="I29" i="29"/>
  <c r="I34" i="29" s="1"/>
  <c r="F34" i="29"/>
  <c r="F37" i="29" s="1"/>
  <c r="H43" i="29"/>
  <c r="H30" i="29"/>
  <c r="G30" i="29"/>
  <c r="G6" i="27"/>
  <c r="G5" i="29"/>
  <c r="H9" i="29"/>
  <c r="F14" i="29" s="1"/>
  <c r="I12" i="29" s="1"/>
  <c r="G32" i="29"/>
  <c r="H32" i="29"/>
  <c r="H45" i="29"/>
  <c r="H33" i="29"/>
  <c r="G33" i="29"/>
  <c r="H46" i="29"/>
  <c r="I4" i="28"/>
  <c r="I9" i="28" s="1"/>
  <c r="F9" i="28"/>
  <c r="F12" i="28" s="1"/>
  <c r="H31" i="28"/>
  <c r="H44" i="28"/>
  <c r="G31" i="28"/>
  <c r="H9" i="28"/>
  <c r="F14" i="28" s="1"/>
  <c r="I12" i="28" s="1"/>
  <c r="I29" i="28"/>
  <c r="I34" i="28" s="1"/>
  <c r="F34" i="28"/>
  <c r="F37" i="28" s="1"/>
  <c r="G8" i="28"/>
  <c r="H45" i="28"/>
  <c r="H32" i="28"/>
  <c r="G32" i="28"/>
  <c r="H42" i="28"/>
  <c r="G29" i="28"/>
  <c r="H29" i="28"/>
  <c r="E34" i="28"/>
  <c r="F36" i="28" s="1"/>
  <c r="G30" i="28"/>
  <c r="H43" i="28"/>
  <c r="H30" i="28"/>
  <c r="G4" i="28"/>
  <c r="H46" i="28"/>
  <c r="H33" i="28"/>
  <c r="G33" i="28"/>
  <c r="G6" i="28"/>
  <c r="H46" i="27"/>
  <c r="H33" i="27"/>
  <c r="G33" i="27"/>
  <c r="H43" i="27"/>
  <c r="G30" i="27"/>
  <c r="H30" i="27"/>
  <c r="H9" i="27"/>
  <c r="F14" i="27" s="1"/>
  <c r="I12" i="27" s="1"/>
  <c r="G5" i="24"/>
  <c r="H31" i="27"/>
  <c r="G31" i="27"/>
  <c r="H44" i="27"/>
  <c r="H45" i="27"/>
  <c r="H32" i="27"/>
  <c r="G32" i="27"/>
  <c r="I4" i="27"/>
  <c r="I9" i="27" s="1"/>
  <c r="F9" i="27"/>
  <c r="F12" i="27" s="1"/>
  <c r="G7" i="27"/>
  <c r="H42" i="27"/>
  <c r="G29" i="27"/>
  <c r="H29" i="27"/>
  <c r="E34" i="27"/>
  <c r="F36" i="27" s="1"/>
  <c r="I29" i="27"/>
  <c r="I34" i="27" s="1"/>
  <c r="F34" i="27"/>
  <c r="F37" i="27" s="1"/>
  <c r="E33" i="26"/>
  <c r="S35" i="26"/>
  <c r="E29" i="26"/>
  <c r="F8" i="26"/>
  <c r="I8" i="26" s="1"/>
  <c r="C33" i="26"/>
  <c r="F33" i="26" s="1"/>
  <c r="I33" i="26" s="1"/>
  <c r="C30" i="26"/>
  <c r="F30" i="26" s="1"/>
  <c r="I30" i="26" s="1"/>
  <c r="F5" i="26"/>
  <c r="I5" i="26" s="1"/>
  <c r="C32" i="26"/>
  <c r="F32" i="26" s="1"/>
  <c r="I32" i="26" s="1"/>
  <c r="F7" i="26"/>
  <c r="I7" i="26" s="1"/>
  <c r="H7" i="26"/>
  <c r="H21" i="26"/>
  <c r="E30" i="26"/>
  <c r="S32" i="26"/>
  <c r="C31" i="26"/>
  <c r="F31" i="26" s="1"/>
  <c r="I31" i="26" s="1"/>
  <c r="F6" i="26"/>
  <c r="I6" i="26" s="1"/>
  <c r="S34" i="26"/>
  <c r="E32" i="26"/>
  <c r="H18" i="26"/>
  <c r="H4" i="26"/>
  <c r="C29" i="26"/>
  <c r="F29" i="26" s="1"/>
  <c r="F4" i="26"/>
  <c r="G4" i="26" s="1"/>
  <c r="H20" i="26"/>
  <c r="H6" i="26"/>
  <c r="H22" i="26"/>
  <c r="H8" i="26"/>
  <c r="H5" i="26"/>
  <c r="H19" i="26"/>
  <c r="S33" i="26"/>
  <c r="E31" i="26"/>
  <c r="G6" i="24"/>
  <c r="H42" i="24"/>
  <c r="G29" i="24"/>
  <c r="H29" i="24"/>
  <c r="E34" i="24"/>
  <c r="F36" i="24" s="1"/>
  <c r="G33" i="24"/>
  <c r="H46" i="24"/>
  <c r="H33" i="24"/>
  <c r="G7" i="24"/>
  <c r="H45" i="24"/>
  <c r="H32" i="24"/>
  <c r="G32" i="24"/>
  <c r="F4" i="3"/>
  <c r="G8" i="24"/>
  <c r="H30" i="24"/>
  <c r="H43" i="24"/>
  <c r="G30" i="24"/>
  <c r="I4" i="24"/>
  <c r="I9" i="24" s="1"/>
  <c r="F9" i="24"/>
  <c r="F12" i="24" s="1"/>
  <c r="H18" i="3"/>
  <c r="E9" i="3"/>
  <c r="F11" i="3" s="1"/>
  <c r="H9" i="24"/>
  <c r="F14" i="24" s="1"/>
  <c r="I12" i="24" s="1"/>
  <c r="G31" i="24"/>
  <c r="H44" i="24"/>
  <c r="H31" i="24"/>
  <c r="I29" i="24"/>
  <c r="I34" i="24" s="1"/>
  <c r="F34" i="24"/>
  <c r="F37" i="24" s="1"/>
  <c r="E29" i="3"/>
  <c r="S31" i="3"/>
  <c r="C33" i="3"/>
  <c r="F33" i="3" s="1"/>
  <c r="I33" i="3" s="1"/>
  <c r="I8" i="3"/>
  <c r="H4" i="3"/>
  <c r="H21" i="3"/>
  <c r="H7" i="3"/>
  <c r="E31" i="3"/>
  <c r="S33" i="3"/>
  <c r="E33" i="3"/>
  <c r="S35" i="3"/>
  <c r="I7" i="3"/>
  <c r="C32" i="3"/>
  <c r="F32" i="3" s="1"/>
  <c r="I32" i="3" s="1"/>
  <c r="C31" i="3"/>
  <c r="F31" i="3" s="1"/>
  <c r="I31" i="3" s="1"/>
  <c r="I6" i="3"/>
  <c r="E32" i="3"/>
  <c r="S34" i="3"/>
  <c r="H5" i="3"/>
  <c r="H19" i="3"/>
  <c r="H20" i="3"/>
  <c r="H6" i="3"/>
  <c r="H22" i="3"/>
  <c r="H8" i="3"/>
  <c r="C29" i="3"/>
  <c r="F29" i="3" s="1"/>
  <c r="I5" i="3"/>
  <c r="C30" i="3"/>
  <c r="F30" i="3" s="1"/>
  <c r="I30" i="3" s="1"/>
  <c r="S32" i="3"/>
  <c r="E30" i="3"/>
  <c r="G9" i="43" l="1"/>
  <c r="F13" i="43"/>
  <c r="F16" i="43" s="1"/>
  <c r="F17" i="43" s="1"/>
  <c r="F19" i="43" s="1"/>
  <c r="I11" i="44"/>
  <c r="G9" i="42"/>
  <c r="F13" i="42" s="1"/>
  <c r="G34" i="44"/>
  <c r="F38" i="44" s="1"/>
  <c r="G9" i="44"/>
  <c r="F13" i="44" s="1"/>
  <c r="I36" i="44"/>
  <c r="H34" i="44"/>
  <c r="F39" i="44" s="1"/>
  <c r="I37" i="44" s="1"/>
  <c r="I36" i="43"/>
  <c r="I11" i="43"/>
  <c r="I13" i="43" s="1"/>
  <c r="H34" i="43"/>
  <c r="F39" i="43" s="1"/>
  <c r="I37" i="43" s="1"/>
  <c r="I11" i="42"/>
  <c r="G34" i="43"/>
  <c r="F38" i="43" s="1"/>
  <c r="I36" i="42"/>
  <c r="G34" i="42"/>
  <c r="F38" i="42" s="1"/>
  <c r="H34" i="42"/>
  <c r="F39" i="42" s="1"/>
  <c r="I37" i="42" s="1"/>
  <c r="G9" i="39"/>
  <c r="F13" i="39" s="1"/>
  <c r="F16" i="39" s="1"/>
  <c r="G9" i="37"/>
  <c r="F13" i="37" s="1"/>
  <c r="F16" i="37" s="1"/>
  <c r="F17" i="37" s="1"/>
  <c r="F19" i="37" s="1"/>
  <c r="I36" i="41"/>
  <c r="I11" i="41"/>
  <c r="H34" i="41"/>
  <c r="F39" i="41" s="1"/>
  <c r="I37" i="41" s="1"/>
  <c r="G34" i="41"/>
  <c r="F38" i="41" s="1"/>
  <c r="G9" i="41"/>
  <c r="F13" i="41" s="1"/>
  <c r="I36" i="40"/>
  <c r="G9" i="40"/>
  <c r="F13" i="40" s="1"/>
  <c r="G34" i="40"/>
  <c r="F38" i="40" s="1"/>
  <c r="H34" i="40"/>
  <c r="F39" i="40" s="1"/>
  <c r="I37" i="40" s="1"/>
  <c r="I11" i="40"/>
  <c r="H34" i="39"/>
  <c r="F39" i="39" s="1"/>
  <c r="I37" i="39" s="1"/>
  <c r="I36" i="39"/>
  <c r="I36" i="34"/>
  <c r="I11" i="39"/>
  <c r="G34" i="39"/>
  <c r="F38" i="39" s="1"/>
  <c r="G9" i="38"/>
  <c r="F13" i="38" s="1"/>
  <c r="F16" i="38" s="1"/>
  <c r="F17" i="38" s="1"/>
  <c r="F19" i="38" s="1"/>
  <c r="I36" i="38"/>
  <c r="G9" i="34"/>
  <c r="F13" i="34" s="1"/>
  <c r="F16" i="34" s="1"/>
  <c r="F17" i="34" s="1"/>
  <c r="F19" i="34" s="1"/>
  <c r="I11" i="37"/>
  <c r="H34" i="38"/>
  <c r="F39" i="38" s="1"/>
  <c r="I37" i="38" s="1"/>
  <c r="I11" i="38"/>
  <c r="G9" i="27"/>
  <c r="F13" i="27" s="1"/>
  <c r="G9" i="32"/>
  <c r="F13" i="32" s="1"/>
  <c r="G34" i="38"/>
  <c r="F38" i="38" s="1"/>
  <c r="H34" i="37"/>
  <c r="F39" i="37" s="1"/>
  <c r="I37" i="37" s="1"/>
  <c r="G34" i="37"/>
  <c r="F38" i="37" s="1"/>
  <c r="I36" i="37"/>
  <c r="I36" i="36"/>
  <c r="G9" i="36"/>
  <c r="F13" i="36" s="1"/>
  <c r="F16" i="36" s="1"/>
  <c r="F17" i="36" s="1"/>
  <c r="F19" i="36" s="1"/>
  <c r="H34" i="36"/>
  <c r="F39" i="36" s="1"/>
  <c r="I37" i="36" s="1"/>
  <c r="G34" i="35"/>
  <c r="F38" i="35" s="1"/>
  <c r="G9" i="35"/>
  <c r="F13" i="35" s="1"/>
  <c r="G34" i="36"/>
  <c r="F38" i="36" s="1"/>
  <c r="I11" i="36"/>
  <c r="I11" i="35"/>
  <c r="I36" i="35"/>
  <c r="H34" i="35"/>
  <c r="F39" i="35" s="1"/>
  <c r="I37" i="35" s="1"/>
  <c r="I11" i="34"/>
  <c r="H34" i="34"/>
  <c r="F39" i="34" s="1"/>
  <c r="I37" i="34" s="1"/>
  <c r="G8" i="26"/>
  <c r="G9" i="31"/>
  <c r="F13" i="31" s="1"/>
  <c r="G34" i="34"/>
  <c r="F38" i="34" s="1"/>
  <c r="I36" i="32"/>
  <c r="I11" i="32"/>
  <c r="G5" i="26"/>
  <c r="G6" i="26"/>
  <c r="G34" i="32"/>
  <c r="F38" i="32" s="1"/>
  <c r="H34" i="32"/>
  <c r="F39" i="32" s="1"/>
  <c r="I37" i="32" s="1"/>
  <c r="I36" i="31"/>
  <c r="G34" i="31"/>
  <c r="F38" i="31" s="1"/>
  <c r="H34" i="31"/>
  <c r="F39" i="31" s="1"/>
  <c r="I37" i="31" s="1"/>
  <c r="I11" i="31"/>
  <c r="I36" i="30"/>
  <c r="G34" i="30"/>
  <c r="F38" i="30" s="1"/>
  <c r="H34" i="30"/>
  <c r="F39" i="30" s="1"/>
  <c r="I37" i="30" s="1"/>
  <c r="G9" i="30"/>
  <c r="F13" i="30" s="1"/>
  <c r="F16" i="30" s="1"/>
  <c r="F17" i="30" s="1"/>
  <c r="F19" i="30" s="1"/>
  <c r="I11" i="30"/>
  <c r="I36" i="29"/>
  <c r="G34" i="29"/>
  <c r="F38" i="29" s="1"/>
  <c r="G9" i="29"/>
  <c r="F13" i="29" s="1"/>
  <c r="H34" i="29"/>
  <c r="F39" i="29" s="1"/>
  <c r="I37" i="29" s="1"/>
  <c r="I11" i="29"/>
  <c r="I36" i="28"/>
  <c r="H34" i="28"/>
  <c r="F39" i="28" s="1"/>
  <c r="I37" i="28" s="1"/>
  <c r="G34" i="28"/>
  <c r="F38" i="28" s="1"/>
  <c r="G9" i="28"/>
  <c r="F13" i="28" s="1"/>
  <c r="F16" i="28" s="1"/>
  <c r="F17" i="28" s="1"/>
  <c r="F19" i="28" s="1"/>
  <c r="I11" i="28"/>
  <c r="I36" i="27"/>
  <c r="G34" i="27"/>
  <c r="F38" i="27" s="1"/>
  <c r="I11" i="27"/>
  <c r="H34" i="27"/>
  <c r="F39" i="27" s="1"/>
  <c r="I37" i="27" s="1"/>
  <c r="G7" i="26"/>
  <c r="H32" i="26"/>
  <c r="G32" i="26"/>
  <c r="H45" i="26"/>
  <c r="H29" i="26"/>
  <c r="G29" i="26"/>
  <c r="H42" i="26"/>
  <c r="E34" i="26"/>
  <c r="F36" i="26" s="1"/>
  <c r="H30" i="26"/>
  <c r="G30" i="26"/>
  <c r="H43" i="26"/>
  <c r="I4" i="26"/>
  <c r="I9" i="26" s="1"/>
  <c r="F9" i="26"/>
  <c r="F12" i="26" s="1"/>
  <c r="H9" i="26"/>
  <c r="F14" i="26" s="1"/>
  <c r="I12" i="26" s="1"/>
  <c r="H46" i="26"/>
  <c r="H33" i="26"/>
  <c r="G33" i="26"/>
  <c r="H31" i="26"/>
  <c r="G31" i="26"/>
  <c r="H44" i="26"/>
  <c r="I29" i="26"/>
  <c r="I34" i="26" s="1"/>
  <c r="F34" i="26"/>
  <c r="F37" i="26" s="1"/>
  <c r="I36" i="24"/>
  <c r="G9" i="24"/>
  <c r="F13" i="24" s="1"/>
  <c r="F16" i="24" s="1"/>
  <c r="H34" i="24"/>
  <c r="F39" i="24" s="1"/>
  <c r="I37" i="24" s="1"/>
  <c r="H9" i="3"/>
  <c r="F14" i="3" s="1"/>
  <c r="I12" i="3" s="1"/>
  <c r="G34" i="24"/>
  <c r="F38" i="24" s="1"/>
  <c r="G4" i="3"/>
  <c r="F9" i="3"/>
  <c r="F12" i="3" s="1"/>
  <c r="F34" i="3"/>
  <c r="F37" i="3" s="1"/>
  <c r="E34" i="3"/>
  <c r="F36" i="3" s="1"/>
  <c r="I11" i="24"/>
  <c r="I13" i="24" s="1"/>
  <c r="I14" i="24" s="1"/>
  <c r="G8" i="3"/>
  <c r="I4" i="3"/>
  <c r="I9" i="3" s="1"/>
  <c r="G6" i="3"/>
  <c r="H30" i="3"/>
  <c r="G30" i="3"/>
  <c r="H43" i="3"/>
  <c r="G5" i="3"/>
  <c r="H33" i="3"/>
  <c r="G33" i="3"/>
  <c r="H46" i="3"/>
  <c r="G7" i="3"/>
  <c r="I29" i="3"/>
  <c r="I34" i="3" s="1"/>
  <c r="H32" i="3"/>
  <c r="H45" i="3"/>
  <c r="G32" i="3"/>
  <c r="G31" i="3"/>
  <c r="H44" i="3"/>
  <c r="H31" i="3"/>
  <c r="H42" i="3"/>
  <c r="H29" i="3"/>
  <c r="G29" i="3"/>
  <c r="F16" i="31" l="1"/>
  <c r="F17" i="31" s="1"/>
  <c r="F19" i="31" s="1"/>
  <c r="I13" i="31"/>
  <c r="I14" i="31" s="1"/>
  <c r="I13" i="42"/>
  <c r="F16" i="42"/>
  <c r="F17" i="42" s="1"/>
  <c r="F19" i="42" s="1"/>
  <c r="I13" i="37"/>
  <c r="F41" i="44"/>
  <c r="I38" i="44"/>
  <c r="I13" i="44"/>
  <c r="F16" i="44"/>
  <c r="F20" i="43"/>
  <c r="T8" i="43" s="1"/>
  <c r="T16" i="43" s="1"/>
  <c r="F41" i="43"/>
  <c r="I38" i="43"/>
  <c r="I19" i="43"/>
  <c r="I21" i="43"/>
  <c r="I22" i="43"/>
  <c r="I17" i="43"/>
  <c r="I18" i="43"/>
  <c r="I20" i="43"/>
  <c r="F41" i="42"/>
  <c r="F42" i="42" s="1"/>
  <c r="I17" i="42"/>
  <c r="I38" i="42"/>
  <c r="F20" i="42"/>
  <c r="T7" i="42" s="1"/>
  <c r="T15" i="42" s="1"/>
  <c r="I22" i="42"/>
  <c r="F41" i="41"/>
  <c r="I38" i="41"/>
  <c r="I13" i="39"/>
  <c r="F16" i="41"/>
  <c r="I13" i="41"/>
  <c r="F41" i="40"/>
  <c r="F42" i="40" s="1"/>
  <c r="F44" i="40" s="1"/>
  <c r="F45" i="40" s="1"/>
  <c r="T34" i="40" s="1"/>
  <c r="T42" i="40" s="1"/>
  <c r="I13" i="36"/>
  <c r="I38" i="40"/>
  <c r="F16" i="40"/>
  <c r="I13" i="40"/>
  <c r="I13" i="38"/>
  <c r="F17" i="39"/>
  <c r="F19" i="39" s="1"/>
  <c r="F41" i="39"/>
  <c r="I38" i="39"/>
  <c r="F20" i="38"/>
  <c r="T8" i="38" s="1"/>
  <c r="T16" i="38" s="1"/>
  <c r="F41" i="38"/>
  <c r="I38" i="38"/>
  <c r="I21" i="38"/>
  <c r="I19" i="38"/>
  <c r="I17" i="38"/>
  <c r="I20" i="38"/>
  <c r="I18" i="38"/>
  <c r="I22" i="38"/>
  <c r="F41" i="37"/>
  <c r="I38" i="37"/>
  <c r="F20" i="37"/>
  <c r="T8" i="37" s="1"/>
  <c r="T16" i="37" s="1"/>
  <c r="I19" i="37"/>
  <c r="I20" i="37"/>
  <c r="I17" i="37"/>
  <c r="I22" i="37"/>
  <c r="I21" i="37"/>
  <c r="I18" i="37"/>
  <c r="F16" i="35"/>
  <c r="F17" i="35" s="1"/>
  <c r="F19" i="35" s="1"/>
  <c r="F20" i="35" s="1"/>
  <c r="T9" i="35" s="1"/>
  <c r="T17" i="35" s="1"/>
  <c r="I13" i="35"/>
  <c r="I14" i="35" s="1"/>
  <c r="F20" i="36"/>
  <c r="T8" i="36" s="1"/>
  <c r="T16" i="36" s="1"/>
  <c r="I13" i="34"/>
  <c r="I14" i="34" s="1"/>
  <c r="F41" i="36"/>
  <c r="I38" i="36"/>
  <c r="I17" i="36"/>
  <c r="I21" i="36"/>
  <c r="I20" i="36"/>
  <c r="I22" i="36"/>
  <c r="I19" i="36"/>
  <c r="I18" i="36"/>
  <c r="I38" i="35"/>
  <c r="F41" i="35"/>
  <c r="G9" i="26"/>
  <c r="F13" i="26" s="1"/>
  <c r="F16" i="26" s="1"/>
  <c r="F17" i="26" s="1"/>
  <c r="F19" i="26" s="1"/>
  <c r="F41" i="34"/>
  <c r="I38" i="34"/>
  <c r="F20" i="34"/>
  <c r="T5" i="34" s="1"/>
  <c r="T13" i="34" s="1"/>
  <c r="I17" i="34"/>
  <c r="I20" i="34"/>
  <c r="I22" i="34"/>
  <c r="I18" i="34"/>
  <c r="I19" i="34"/>
  <c r="I21" i="34"/>
  <c r="I38" i="32"/>
  <c r="F41" i="32"/>
  <c r="F16" i="32"/>
  <c r="I13" i="32"/>
  <c r="I14" i="32" s="1"/>
  <c r="I38" i="31"/>
  <c r="F41" i="31"/>
  <c r="F42" i="31" s="1"/>
  <c r="F44" i="31" s="1"/>
  <c r="F45" i="31" s="1"/>
  <c r="T30" i="31" s="1"/>
  <c r="T38" i="31" s="1"/>
  <c r="F20" i="31"/>
  <c r="T10" i="31" s="1"/>
  <c r="T18" i="31" s="1"/>
  <c r="I20" i="31"/>
  <c r="I18" i="31"/>
  <c r="I17" i="31"/>
  <c r="I21" i="31"/>
  <c r="I19" i="31"/>
  <c r="I22" i="31"/>
  <c r="F41" i="28"/>
  <c r="F42" i="28" s="1"/>
  <c r="F44" i="28" s="1"/>
  <c r="F45" i="28" s="1"/>
  <c r="T32" i="28" s="1"/>
  <c r="T40" i="28" s="1"/>
  <c r="I13" i="30"/>
  <c r="I14" i="30" s="1"/>
  <c r="F20" i="30"/>
  <c r="T8" i="30" s="1"/>
  <c r="T16" i="30" s="1"/>
  <c r="F41" i="30"/>
  <c r="I38" i="30"/>
  <c r="I18" i="30"/>
  <c r="I20" i="30"/>
  <c r="I19" i="30"/>
  <c r="I22" i="30"/>
  <c r="I17" i="30"/>
  <c r="I21" i="30"/>
  <c r="F16" i="29"/>
  <c r="I13" i="29"/>
  <c r="I14" i="29" s="1"/>
  <c r="F41" i="29"/>
  <c r="I38" i="29"/>
  <c r="I38" i="28"/>
  <c r="I13" i="28"/>
  <c r="I14" i="28" s="1"/>
  <c r="I20" i="28"/>
  <c r="I17" i="28"/>
  <c r="I22" i="28"/>
  <c r="I18" i="28"/>
  <c r="I21" i="28"/>
  <c r="I19" i="28"/>
  <c r="F20" i="28"/>
  <c r="T8" i="28" s="1"/>
  <c r="T16" i="28" s="1"/>
  <c r="F16" i="27"/>
  <c r="I13" i="27"/>
  <c r="I14" i="27" s="1"/>
  <c r="F41" i="27"/>
  <c r="I38" i="27"/>
  <c r="I36" i="26"/>
  <c r="I11" i="26"/>
  <c r="G34" i="26"/>
  <c r="F38" i="26" s="1"/>
  <c r="H34" i="26"/>
  <c r="F39" i="26" s="1"/>
  <c r="I37" i="26" s="1"/>
  <c r="G34" i="3"/>
  <c r="F38" i="3" s="1"/>
  <c r="G9" i="3"/>
  <c r="F13" i="3" s="1"/>
  <c r="F41" i="24"/>
  <c r="I38" i="24"/>
  <c r="H34" i="3"/>
  <c r="F39" i="3" s="1"/>
  <c r="I37" i="3" s="1"/>
  <c r="F17" i="24"/>
  <c r="F19" i="24" s="1"/>
  <c r="I36" i="3"/>
  <c r="I11" i="3"/>
  <c r="I20" i="42" l="1"/>
  <c r="I18" i="42"/>
  <c r="I19" i="42"/>
  <c r="I21" i="42"/>
  <c r="I22" i="35"/>
  <c r="I21" i="35"/>
  <c r="F17" i="44"/>
  <c r="F19" i="44" s="1"/>
  <c r="F42" i="44"/>
  <c r="F44" i="44" s="1"/>
  <c r="T10" i="43"/>
  <c r="T18" i="43" s="1"/>
  <c r="T9" i="43"/>
  <c r="T17" i="43" s="1"/>
  <c r="T6" i="43"/>
  <c r="T14" i="43" s="1"/>
  <c r="F42" i="43"/>
  <c r="F44" i="43" s="1"/>
  <c r="T7" i="43"/>
  <c r="T15" i="43" s="1"/>
  <c r="T5" i="43"/>
  <c r="T13" i="43" s="1"/>
  <c r="F44" i="42"/>
  <c r="F45" i="42" s="1"/>
  <c r="T34" i="42" s="1"/>
  <c r="T42" i="42" s="1"/>
  <c r="I44" i="42"/>
  <c r="I43" i="42"/>
  <c r="I45" i="42"/>
  <c r="T8" i="42"/>
  <c r="T16" i="42" s="1"/>
  <c r="T9" i="42"/>
  <c r="T17" i="42" s="1"/>
  <c r="I42" i="42"/>
  <c r="T10" i="42"/>
  <c r="T18" i="42" s="1"/>
  <c r="T5" i="42"/>
  <c r="T13" i="42" s="1"/>
  <c r="I46" i="42"/>
  <c r="T6" i="42"/>
  <c r="T14" i="42" s="1"/>
  <c r="F17" i="41"/>
  <c r="F19" i="41" s="1"/>
  <c r="F42" i="41"/>
  <c r="F44" i="41" s="1"/>
  <c r="I44" i="40"/>
  <c r="I46" i="40"/>
  <c r="I45" i="40"/>
  <c r="I42" i="40"/>
  <c r="I43" i="40"/>
  <c r="T33" i="40"/>
  <c r="T41" i="40" s="1"/>
  <c r="F17" i="40"/>
  <c r="F19" i="40" s="1"/>
  <c r="T35" i="40"/>
  <c r="T43" i="40" s="1"/>
  <c r="T32" i="40"/>
  <c r="T40" i="40" s="1"/>
  <c r="T31" i="40"/>
  <c r="T39" i="40" s="1"/>
  <c r="T30" i="40"/>
  <c r="T38" i="40" s="1"/>
  <c r="I19" i="39"/>
  <c r="I22" i="39"/>
  <c r="I17" i="39"/>
  <c r="F20" i="39"/>
  <c r="T10" i="39" s="1"/>
  <c r="T18" i="39" s="1"/>
  <c r="I18" i="35"/>
  <c r="I20" i="39"/>
  <c r="I18" i="39"/>
  <c r="F42" i="39"/>
  <c r="F44" i="39" s="1"/>
  <c r="I21" i="39"/>
  <c r="T5" i="38"/>
  <c r="T13" i="38" s="1"/>
  <c r="T7" i="38"/>
  <c r="T15" i="38" s="1"/>
  <c r="T9" i="38"/>
  <c r="T17" i="38" s="1"/>
  <c r="T10" i="38"/>
  <c r="T18" i="38" s="1"/>
  <c r="T6" i="38"/>
  <c r="T14" i="38" s="1"/>
  <c r="F42" i="38"/>
  <c r="F44" i="38" s="1"/>
  <c r="I17" i="35"/>
  <c r="T6" i="37"/>
  <c r="T14" i="37" s="1"/>
  <c r="I19" i="35"/>
  <c r="I20" i="35"/>
  <c r="T10" i="37"/>
  <c r="T18" i="37" s="1"/>
  <c r="T9" i="37"/>
  <c r="T17" i="37" s="1"/>
  <c r="T5" i="37"/>
  <c r="T13" i="37" s="1"/>
  <c r="T7" i="37"/>
  <c r="T15" i="37" s="1"/>
  <c r="F42" i="37"/>
  <c r="F44" i="37" s="1"/>
  <c r="T6" i="36"/>
  <c r="T14" i="36" s="1"/>
  <c r="T9" i="36"/>
  <c r="T17" i="36" s="1"/>
  <c r="T5" i="36"/>
  <c r="T13" i="36" s="1"/>
  <c r="F42" i="36"/>
  <c r="F44" i="36" s="1"/>
  <c r="T10" i="36"/>
  <c r="T18" i="36" s="1"/>
  <c r="T7" i="36"/>
  <c r="T15" i="36" s="1"/>
  <c r="T5" i="35"/>
  <c r="T13" i="35" s="1"/>
  <c r="T7" i="35"/>
  <c r="T15" i="35" s="1"/>
  <c r="T10" i="35"/>
  <c r="T18" i="35" s="1"/>
  <c r="T6" i="35"/>
  <c r="T14" i="35" s="1"/>
  <c r="F42" i="35"/>
  <c r="F44" i="35" s="1"/>
  <c r="T8" i="35"/>
  <c r="T16" i="35" s="1"/>
  <c r="T7" i="34"/>
  <c r="T15" i="34" s="1"/>
  <c r="T8" i="34"/>
  <c r="T16" i="34" s="1"/>
  <c r="T9" i="34"/>
  <c r="T17" i="34" s="1"/>
  <c r="F42" i="34"/>
  <c r="F44" i="34" s="1"/>
  <c r="T6" i="34"/>
  <c r="T14" i="34" s="1"/>
  <c r="T10" i="34"/>
  <c r="T18" i="34" s="1"/>
  <c r="F17" i="32"/>
  <c r="F19" i="32" s="1"/>
  <c r="F42" i="32"/>
  <c r="F44" i="32" s="1"/>
  <c r="I43" i="28"/>
  <c r="I44" i="31"/>
  <c r="I43" i="31"/>
  <c r="I42" i="31"/>
  <c r="T5" i="31"/>
  <c r="T13" i="31" s="1"/>
  <c r="I45" i="31"/>
  <c r="T6" i="31"/>
  <c r="T14" i="31" s="1"/>
  <c r="T32" i="31"/>
  <c r="T40" i="31" s="1"/>
  <c r="I46" i="31"/>
  <c r="T7" i="31"/>
  <c r="T15" i="31" s="1"/>
  <c r="T8" i="31"/>
  <c r="T16" i="31" s="1"/>
  <c r="T9" i="31"/>
  <c r="T17" i="31" s="1"/>
  <c r="T31" i="31"/>
  <c r="T39" i="31" s="1"/>
  <c r="T9" i="30"/>
  <c r="T17" i="30" s="1"/>
  <c r="T34" i="31"/>
  <c r="T42" i="31" s="1"/>
  <c r="T33" i="31"/>
  <c r="T41" i="31" s="1"/>
  <c r="T35" i="31"/>
  <c r="T43" i="31" s="1"/>
  <c r="I45" i="28"/>
  <c r="I42" i="28"/>
  <c r="I44" i="28"/>
  <c r="I46" i="28"/>
  <c r="T6" i="30"/>
  <c r="T14" i="30" s="1"/>
  <c r="T10" i="30"/>
  <c r="T18" i="30" s="1"/>
  <c r="T5" i="30"/>
  <c r="T13" i="30" s="1"/>
  <c r="T7" i="30"/>
  <c r="T15" i="30" s="1"/>
  <c r="F42" i="30"/>
  <c r="F44" i="30" s="1"/>
  <c r="T7" i="28"/>
  <c r="T15" i="28" s="1"/>
  <c r="F42" i="29"/>
  <c r="F44" i="29" s="1"/>
  <c r="F17" i="29"/>
  <c r="F19" i="29" s="1"/>
  <c r="T6" i="28"/>
  <c r="T14" i="28" s="1"/>
  <c r="T10" i="28"/>
  <c r="T18" i="28" s="1"/>
  <c r="T31" i="28"/>
  <c r="T39" i="28" s="1"/>
  <c r="I21" i="24"/>
  <c r="T5" i="28"/>
  <c r="T13" i="28" s="1"/>
  <c r="I19" i="24"/>
  <c r="T33" i="28"/>
  <c r="T41" i="28" s="1"/>
  <c r="T35" i="28"/>
  <c r="T43" i="28" s="1"/>
  <c r="I20" i="24"/>
  <c r="T34" i="28"/>
  <c r="T42" i="28" s="1"/>
  <c r="I22" i="24"/>
  <c r="T30" i="28"/>
  <c r="T38" i="28" s="1"/>
  <c r="T9" i="28"/>
  <c r="T17" i="28" s="1"/>
  <c r="F42" i="27"/>
  <c r="F44" i="27" s="1"/>
  <c r="F41" i="26"/>
  <c r="F17" i="27"/>
  <c r="F19" i="27" s="1"/>
  <c r="I38" i="26"/>
  <c r="F20" i="26"/>
  <c r="T8" i="26" s="1"/>
  <c r="T16" i="26" s="1"/>
  <c r="I13" i="26"/>
  <c r="I14" i="26" s="1"/>
  <c r="I17" i="26"/>
  <c r="I19" i="26"/>
  <c r="I22" i="26"/>
  <c r="I20" i="26"/>
  <c r="I21" i="26"/>
  <c r="I18" i="26"/>
  <c r="I18" i="24"/>
  <c r="F41" i="3"/>
  <c r="F42" i="3" s="1"/>
  <c r="F44" i="3" s="1"/>
  <c r="I17" i="24"/>
  <c r="F20" i="24"/>
  <c r="T6" i="24" s="1"/>
  <c r="T14" i="24" s="1"/>
  <c r="F42" i="24"/>
  <c r="F44" i="24" s="1"/>
  <c r="I38" i="3"/>
  <c r="F16" i="3"/>
  <c r="F17" i="3" s="1"/>
  <c r="F19" i="3" s="1"/>
  <c r="I13" i="3"/>
  <c r="I14" i="3" s="1"/>
  <c r="I44" i="44" l="1"/>
  <c r="I20" i="44"/>
  <c r="I46" i="44"/>
  <c r="I43" i="44"/>
  <c r="I21" i="41"/>
  <c r="F20" i="44"/>
  <c r="T10" i="44" s="1"/>
  <c r="T18" i="44" s="1"/>
  <c r="I22" i="44"/>
  <c r="I42" i="44"/>
  <c r="I19" i="44"/>
  <c r="I21" i="44"/>
  <c r="F45" i="44"/>
  <c r="T35" i="44" s="1"/>
  <c r="T43" i="44" s="1"/>
  <c r="I45" i="44"/>
  <c r="I18" i="44"/>
  <c r="I17" i="44"/>
  <c r="T19" i="43"/>
  <c r="I44" i="43"/>
  <c r="I42" i="43"/>
  <c r="F45" i="43"/>
  <c r="T32" i="43" s="1"/>
  <c r="T40" i="43" s="1"/>
  <c r="I46" i="43"/>
  <c r="I43" i="43"/>
  <c r="I45" i="43"/>
  <c r="T32" i="42"/>
  <c r="T40" i="42" s="1"/>
  <c r="T31" i="42"/>
  <c r="T39" i="42" s="1"/>
  <c r="T19" i="42"/>
  <c r="T35" i="42"/>
  <c r="T43" i="42" s="1"/>
  <c r="T33" i="42"/>
  <c r="T41" i="42" s="1"/>
  <c r="T30" i="42"/>
  <c r="T38" i="42" s="1"/>
  <c r="I18" i="41"/>
  <c r="I46" i="41"/>
  <c r="T9" i="39"/>
  <c r="T17" i="39" s="1"/>
  <c r="I43" i="41"/>
  <c r="I42" i="41"/>
  <c r="I19" i="41"/>
  <c r="I45" i="41"/>
  <c r="F20" i="41"/>
  <c r="T8" i="41" s="1"/>
  <c r="T16" i="41" s="1"/>
  <c r="I20" i="41"/>
  <c r="I22" i="41"/>
  <c r="F45" i="41"/>
  <c r="T34" i="41" s="1"/>
  <c r="T42" i="41" s="1"/>
  <c r="I44" i="41"/>
  <c r="I17" i="41"/>
  <c r="T44" i="40"/>
  <c r="I22" i="40"/>
  <c r="I18" i="40"/>
  <c r="F20" i="40"/>
  <c r="T9" i="40" s="1"/>
  <c r="T17" i="40" s="1"/>
  <c r="I17" i="40"/>
  <c r="I19" i="40"/>
  <c r="I21" i="40"/>
  <c r="I20" i="40"/>
  <c r="I42" i="39"/>
  <c r="F45" i="39"/>
  <c r="T31" i="39" s="1"/>
  <c r="T39" i="39" s="1"/>
  <c r="I45" i="39"/>
  <c r="I46" i="39"/>
  <c r="I43" i="39"/>
  <c r="T6" i="39"/>
  <c r="T14" i="39" s="1"/>
  <c r="T7" i="39"/>
  <c r="T15" i="39" s="1"/>
  <c r="T19" i="38"/>
  <c r="T5" i="39"/>
  <c r="T13" i="39" s="1"/>
  <c r="I44" i="39"/>
  <c r="T8" i="39"/>
  <c r="T16" i="39" s="1"/>
  <c r="F45" i="38"/>
  <c r="T31" i="38" s="1"/>
  <c r="T39" i="38" s="1"/>
  <c r="I42" i="38"/>
  <c r="I45" i="38"/>
  <c r="I44" i="38"/>
  <c r="I43" i="38"/>
  <c r="I46" i="38"/>
  <c r="T19" i="37"/>
  <c r="I45" i="37"/>
  <c r="I46" i="37"/>
  <c r="F45" i="37"/>
  <c r="T34" i="37" s="1"/>
  <c r="T42" i="37" s="1"/>
  <c r="I44" i="37"/>
  <c r="I43" i="37"/>
  <c r="I42" i="37"/>
  <c r="I43" i="36"/>
  <c r="I45" i="36"/>
  <c r="T19" i="36"/>
  <c r="I44" i="36"/>
  <c r="I42" i="36"/>
  <c r="F45" i="36"/>
  <c r="T32" i="36" s="1"/>
  <c r="T40" i="36" s="1"/>
  <c r="I46" i="36"/>
  <c r="T19" i="35"/>
  <c r="I42" i="35"/>
  <c r="I46" i="35"/>
  <c r="I44" i="35"/>
  <c r="I45" i="35"/>
  <c r="F45" i="35"/>
  <c r="T34" i="35" s="1"/>
  <c r="T42" i="35" s="1"/>
  <c r="I43" i="35"/>
  <c r="I43" i="34"/>
  <c r="T19" i="34"/>
  <c r="I45" i="34"/>
  <c r="I46" i="34"/>
  <c r="I44" i="34"/>
  <c r="F45" i="34"/>
  <c r="T32" i="34" s="1"/>
  <c r="T40" i="34" s="1"/>
  <c r="I42" i="34"/>
  <c r="T19" i="28"/>
  <c r="T19" i="31"/>
  <c r="I20" i="32"/>
  <c r="I19" i="32"/>
  <c r="I44" i="32"/>
  <c r="I22" i="32"/>
  <c r="I43" i="32"/>
  <c r="I45" i="32"/>
  <c r="I17" i="32"/>
  <c r="I46" i="32"/>
  <c r="F20" i="32"/>
  <c r="T8" i="32" s="1"/>
  <c r="T16" i="32" s="1"/>
  <c r="I18" i="32"/>
  <c r="T10" i="26"/>
  <c r="T18" i="26" s="1"/>
  <c r="F45" i="32"/>
  <c r="T34" i="32" s="1"/>
  <c r="T42" i="32" s="1"/>
  <c r="I42" i="32"/>
  <c r="I21" i="32"/>
  <c r="T44" i="31"/>
  <c r="T19" i="30"/>
  <c r="I46" i="30"/>
  <c r="I45" i="30"/>
  <c r="F45" i="30"/>
  <c r="T32" i="30" s="1"/>
  <c r="T40" i="30" s="1"/>
  <c r="I42" i="30"/>
  <c r="I44" i="30"/>
  <c r="I43" i="30"/>
  <c r="I43" i="29"/>
  <c r="I44" i="29"/>
  <c r="I18" i="29"/>
  <c r="I45" i="29"/>
  <c r="I22" i="29"/>
  <c r="I17" i="29"/>
  <c r="I42" i="29"/>
  <c r="I21" i="29"/>
  <c r="F45" i="29"/>
  <c r="T31" i="29" s="1"/>
  <c r="T39" i="29" s="1"/>
  <c r="I46" i="29"/>
  <c r="F20" i="29"/>
  <c r="T8" i="29" s="1"/>
  <c r="T16" i="29" s="1"/>
  <c r="I20" i="29"/>
  <c r="I19" i="29"/>
  <c r="T44" i="28"/>
  <c r="T6" i="26"/>
  <c r="T14" i="26" s="1"/>
  <c r="I22" i="27"/>
  <c r="I17" i="27"/>
  <c r="I44" i="27"/>
  <c r="T7" i="26"/>
  <c r="T15" i="26" s="1"/>
  <c r="I18" i="27"/>
  <c r="I42" i="27"/>
  <c r="F20" i="27"/>
  <c r="T6" i="27" s="1"/>
  <c r="T14" i="27" s="1"/>
  <c r="I21" i="27"/>
  <c r="F45" i="27"/>
  <c r="T32" i="27" s="1"/>
  <c r="T40" i="27" s="1"/>
  <c r="I45" i="27"/>
  <c r="I20" i="27"/>
  <c r="I19" i="27"/>
  <c r="I46" i="27"/>
  <c r="I43" i="27"/>
  <c r="T5" i="26"/>
  <c r="T13" i="26" s="1"/>
  <c r="T9" i="26"/>
  <c r="T17" i="26" s="1"/>
  <c r="F42" i="26"/>
  <c r="F44" i="26" s="1"/>
  <c r="I43" i="24"/>
  <c r="I46" i="24"/>
  <c r="T7" i="24"/>
  <c r="T15" i="24" s="1"/>
  <c r="T10" i="24"/>
  <c r="T18" i="24" s="1"/>
  <c r="T9" i="24"/>
  <c r="T17" i="24" s="1"/>
  <c r="F45" i="24"/>
  <c r="T35" i="24" s="1"/>
  <c r="T43" i="24" s="1"/>
  <c r="I45" i="24"/>
  <c r="T8" i="24"/>
  <c r="T16" i="24" s="1"/>
  <c r="I42" i="24"/>
  <c r="I44" i="24"/>
  <c r="T5" i="24"/>
  <c r="T13" i="24" s="1"/>
  <c r="I46" i="3"/>
  <c r="F45" i="3"/>
  <c r="T35" i="3" s="1"/>
  <c r="T43" i="3" s="1"/>
  <c r="I44" i="3"/>
  <c r="I42" i="3"/>
  <c r="I43" i="3"/>
  <c r="I45" i="3"/>
  <c r="T31" i="44" l="1"/>
  <c r="T39" i="44" s="1"/>
  <c r="T5" i="44"/>
  <c r="T13" i="44" s="1"/>
  <c r="T7" i="44"/>
  <c r="T15" i="44" s="1"/>
  <c r="T6" i="44"/>
  <c r="T14" i="44" s="1"/>
  <c r="T33" i="43"/>
  <c r="T41" i="43" s="1"/>
  <c r="T30" i="44"/>
  <c r="T38" i="44" s="1"/>
  <c r="T31" i="43"/>
  <c r="T39" i="43" s="1"/>
  <c r="T34" i="44"/>
  <c r="T42" i="44" s="1"/>
  <c r="T9" i="44"/>
  <c r="T17" i="44" s="1"/>
  <c r="T34" i="43"/>
  <c r="T42" i="43" s="1"/>
  <c r="T33" i="44"/>
  <c r="T41" i="44" s="1"/>
  <c r="T32" i="44"/>
  <c r="T40" i="44" s="1"/>
  <c r="T8" i="44"/>
  <c r="T16" i="44" s="1"/>
  <c r="T35" i="43"/>
  <c r="T43" i="43" s="1"/>
  <c r="T30" i="43"/>
  <c r="T38" i="43" s="1"/>
  <c r="T44" i="42"/>
  <c r="T6" i="41"/>
  <c r="T14" i="41" s="1"/>
  <c r="T9" i="41"/>
  <c r="T17" i="41" s="1"/>
  <c r="T5" i="41"/>
  <c r="T13" i="41" s="1"/>
  <c r="T10" i="41"/>
  <c r="T18" i="41" s="1"/>
  <c r="T32" i="41"/>
  <c r="T40" i="41" s="1"/>
  <c r="T7" i="41"/>
  <c r="T15" i="41" s="1"/>
  <c r="T35" i="41"/>
  <c r="T43" i="41" s="1"/>
  <c r="T31" i="41"/>
  <c r="T39" i="41" s="1"/>
  <c r="T30" i="41"/>
  <c r="T38" i="41" s="1"/>
  <c r="T33" i="41"/>
  <c r="T41" i="41" s="1"/>
  <c r="T8" i="40"/>
  <c r="T16" i="40" s="1"/>
  <c r="T5" i="40"/>
  <c r="T13" i="40" s="1"/>
  <c r="T6" i="40"/>
  <c r="T14" i="40" s="1"/>
  <c r="T10" i="40"/>
  <c r="T18" i="40" s="1"/>
  <c r="T7" i="40"/>
  <c r="T15" i="40" s="1"/>
  <c r="T32" i="39"/>
  <c r="T40" i="39" s="1"/>
  <c r="T34" i="39"/>
  <c r="T42" i="39" s="1"/>
  <c r="T30" i="39"/>
  <c r="T38" i="39" s="1"/>
  <c r="T33" i="39"/>
  <c r="T41" i="39" s="1"/>
  <c r="T35" i="39"/>
  <c r="T43" i="39" s="1"/>
  <c r="T19" i="39"/>
  <c r="T30" i="38"/>
  <c r="T38" i="38" s="1"/>
  <c r="T32" i="38"/>
  <c r="T40" i="38" s="1"/>
  <c r="T34" i="38"/>
  <c r="T42" i="38" s="1"/>
  <c r="T33" i="38"/>
  <c r="T41" i="38" s="1"/>
  <c r="T35" i="38"/>
  <c r="T43" i="38" s="1"/>
  <c r="T32" i="37"/>
  <c r="T40" i="37" s="1"/>
  <c r="T31" i="37"/>
  <c r="T39" i="37" s="1"/>
  <c r="T30" i="37"/>
  <c r="T38" i="37" s="1"/>
  <c r="T33" i="37"/>
  <c r="T41" i="37" s="1"/>
  <c r="T35" i="37"/>
  <c r="T43" i="37" s="1"/>
  <c r="T31" i="36"/>
  <c r="T39" i="36" s="1"/>
  <c r="T33" i="36"/>
  <c r="T41" i="36" s="1"/>
  <c r="T35" i="36"/>
  <c r="T43" i="36" s="1"/>
  <c r="T30" i="36"/>
  <c r="T38" i="36" s="1"/>
  <c r="T34" i="36"/>
  <c r="T42" i="36" s="1"/>
  <c r="T31" i="35"/>
  <c r="T39" i="35" s="1"/>
  <c r="T30" i="35"/>
  <c r="T38" i="35" s="1"/>
  <c r="T32" i="35"/>
  <c r="T40" i="35" s="1"/>
  <c r="T33" i="35"/>
  <c r="T41" i="35" s="1"/>
  <c r="T35" i="35"/>
  <c r="T43" i="35" s="1"/>
  <c r="T30" i="34"/>
  <c r="T38" i="34" s="1"/>
  <c r="T33" i="34"/>
  <c r="T41" i="34" s="1"/>
  <c r="T31" i="34"/>
  <c r="T39" i="34" s="1"/>
  <c r="T35" i="34"/>
  <c r="T43" i="34" s="1"/>
  <c r="T34" i="34"/>
  <c r="T42" i="34" s="1"/>
  <c r="T30" i="32"/>
  <c r="T38" i="32" s="1"/>
  <c r="T6" i="32"/>
  <c r="T14" i="32" s="1"/>
  <c r="T9" i="32"/>
  <c r="T17" i="32" s="1"/>
  <c r="T10" i="32"/>
  <c r="T18" i="32" s="1"/>
  <c r="T35" i="32"/>
  <c r="T43" i="32" s="1"/>
  <c r="T7" i="32"/>
  <c r="T15" i="32" s="1"/>
  <c r="T32" i="32"/>
  <c r="T40" i="32" s="1"/>
  <c r="T33" i="32"/>
  <c r="T41" i="32" s="1"/>
  <c r="T5" i="32"/>
  <c r="T13" i="32" s="1"/>
  <c r="T31" i="32"/>
  <c r="T39" i="32" s="1"/>
  <c r="T35" i="30"/>
  <c r="T43" i="30" s="1"/>
  <c r="T33" i="30"/>
  <c r="T41" i="30" s="1"/>
  <c r="T34" i="30"/>
  <c r="T42" i="30" s="1"/>
  <c r="T30" i="30"/>
  <c r="T38" i="30" s="1"/>
  <c r="T31" i="30"/>
  <c r="T39" i="30" s="1"/>
  <c r="T34" i="29"/>
  <c r="T42" i="29" s="1"/>
  <c r="T30" i="29"/>
  <c r="T38" i="29" s="1"/>
  <c r="T33" i="29"/>
  <c r="T41" i="29" s="1"/>
  <c r="T35" i="29"/>
  <c r="T43" i="29" s="1"/>
  <c r="T7" i="29"/>
  <c r="T15" i="29" s="1"/>
  <c r="T32" i="29"/>
  <c r="T40" i="29" s="1"/>
  <c r="T9" i="29"/>
  <c r="T17" i="29" s="1"/>
  <c r="T6" i="29"/>
  <c r="T14" i="29" s="1"/>
  <c r="T5" i="29"/>
  <c r="T13" i="29" s="1"/>
  <c r="T10" i="29"/>
  <c r="T18" i="29" s="1"/>
  <c r="T19" i="24"/>
  <c r="T9" i="27"/>
  <c r="T17" i="27" s="1"/>
  <c r="T10" i="27"/>
  <c r="T18" i="27" s="1"/>
  <c r="T7" i="27"/>
  <c r="T15" i="27" s="1"/>
  <c r="T8" i="27"/>
  <c r="T16" i="27" s="1"/>
  <c r="T31" i="27"/>
  <c r="T39" i="27" s="1"/>
  <c r="T33" i="27"/>
  <c r="T41" i="27" s="1"/>
  <c r="T5" i="27"/>
  <c r="T13" i="27" s="1"/>
  <c r="T34" i="27"/>
  <c r="T42" i="27" s="1"/>
  <c r="I46" i="26"/>
  <c r="T30" i="27"/>
  <c r="T38" i="27" s="1"/>
  <c r="T35" i="27"/>
  <c r="T43" i="27" s="1"/>
  <c r="I42" i="26"/>
  <c r="T19" i="26"/>
  <c r="I45" i="26"/>
  <c r="F45" i="26"/>
  <c r="T34" i="26" s="1"/>
  <c r="T42" i="26" s="1"/>
  <c r="I44" i="26"/>
  <c r="I43" i="26"/>
  <c r="T30" i="3"/>
  <c r="T38" i="3" s="1"/>
  <c r="T34" i="24"/>
  <c r="T42" i="24" s="1"/>
  <c r="T32" i="24"/>
  <c r="T40" i="24" s="1"/>
  <c r="T31" i="24"/>
  <c r="T39" i="24" s="1"/>
  <c r="T30" i="24"/>
  <c r="T38" i="24" s="1"/>
  <c r="T33" i="24"/>
  <c r="T41" i="24" s="1"/>
  <c r="I17" i="3"/>
  <c r="T32" i="3"/>
  <c r="T40" i="3" s="1"/>
  <c r="T31" i="3"/>
  <c r="T39" i="3" s="1"/>
  <c r="T34" i="3"/>
  <c r="T42" i="3" s="1"/>
  <c r="I18" i="3"/>
  <c r="F20" i="3"/>
  <c r="T9" i="3" s="1"/>
  <c r="T17" i="3" s="1"/>
  <c r="I19" i="3"/>
  <c r="I21" i="3"/>
  <c r="I20" i="3"/>
  <c r="I22" i="3"/>
  <c r="T33" i="3"/>
  <c r="T41" i="3" s="1"/>
  <c r="T19" i="44" l="1"/>
  <c r="T44" i="44"/>
  <c r="T44" i="43"/>
  <c r="T19" i="41"/>
  <c r="T44" i="41"/>
  <c r="T19" i="40"/>
  <c r="T44" i="39"/>
  <c r="T44" i="38"/>
  <c r="T44" i="37"/>
  <c r="T44" i="36"/>
  <c r="T44" i="35"/>
  <c r="T44" i="34"/>
  <c r="T19" i="32"/>
  <c r="T44" i="32"/>
  <c r="T44" i="30"/>
  <c r="T44" i="29"/>
  <c r="T19" i="29"/>
  <c r="T19" i="27"/>
  <c r="T35" i="26"/>
  <c r="T43" i="26" s="1"/>
  <c r="T44" i="27"/>
  <c r="T33" i="26"/>
  <c r="T41" i="26" s="1"/>
  <c r="T31" i="26"/>
  <c r="T39" i="26" s="1"/>
  <c r="T32" i="26"/>
  <c r="T40" i="26" s="1"/>
  <c r="T44" i="24"/>
  <c r="T30" i="26"/>
  <c r="T38" i="26" s="1"/>
  <c r="T44" i="3"/>
  <c r="T5" i="3"/>
  <c r="T13" i="3" s="1"/>
  <c r="T7" i="3"/>
  <c r="T15" i="3" s="1"/>
  <c r="T10" i="3"/>
  <c r="T18" i="3" s="1"/>
  <c r="T8" i="3"/>
  <c r="T16" i="3" s="1"/>
  <c r="T6" i="3"/>
  <c r="T14" i="3" s="1"/>
  <c r="T19" i="3" l="1"/>
  <c r="T44" i="26"/>
</calcChain>
</file>

<file path=xl/sharedStrings.xml><?xml version="1.0" encoding="utf-8"?>
<sst xmlns="http://schemas.openxmlformats.org/spreadsheetml/2006/main" count="1260" uniqueCount="74">
  <si>
    <t>mL</t>
  </si>
  <si>
    <t>Turbidez</t>
  </si>
  <si>
    <t>Concentración Inicial</t>
  </si>
  <si>
    <t>Concentración Final</t>
  </si>
  <si>
    <t>Salinidad</t>
  </si>
  <si>
    <t>Dureza</t>
  </si>
  <si>
    <t>ppmCa</t>
  </si>
  <si>
    <t>ConcSurf</t>
  </si>
  <si>
    <t>NaCl-10%</t>
  </si>
  <si>
    <t>CaCl2-10%</t>
  </si>
  <si>
    <t>H2O</t>
  </si>
  <si>
    <t>Surf5%</t>
  </si>
  <si>
    <t>NTU</t>
  </si>
  <si>
    <t>NTU prom</t>
  </si>
  <si>
    <t>Co tritino ppm</t>
  </si>
  <si>
    <t>Azul de Metileno ppm</t>
  </si>
  <si>
    <t>%error</t>
  </si>
  <si>
    <t>PH</t>
  </si>
  <si>
    <t>Co tritrino ppm</t>
  </si>
  <si>
    <t>Concentración final promedio</t>
  </si>
  <si>
    <t>Δ pH</t>
  </si>
  <si>
    <t>Adsorción (mg surfactante/gmineral)</t>
  </si>
  <si>
    <t>sal=0,2 dur=0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</si>
  <si>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[ppm]</t>
    </r>
  </si>
  <si>
    <r>
      <t>Γ</t>
    </r>
    <r>
      <rPr>
        <vertAlign val="subscript"/>
        <sz val="11"/>
        <color theme="1"/>
        <rFont val="Calibri"/>
        <family val="2"/>
      </rPr>
      <t>exp</t>
    </r>
    <r>
      <rPr>
        <sz val="11"/>
        <color theme="1"/>
        <rFont val="Calibri"/>
        <family val="2"/>
      </rPr>
      <t xml:space="preserve"> [mg/g]</t>
    </r>
  </si>
  <si>
    <r>
      <t>1/C</t>
    </r>
    <r>
      <rPr>
        <vertAlign val="subscript"/>
        <sz val="11"/>
        <color theme="1"/>
        <rFont val="Calibri"/>
        <family val="2"/>
        <scheme val="minor"/>
      </rPr>
      <t xml:space="preserve">e </t>
    </r>
  </si>
  <si>
    <r>
      <t>1/Γ</t>
    </r>
    <r>
      <rPr>
        <vertAlign val="subscript"/>
        <sz val="11"/>
        <color theme="1"/>
        <rFont val="Calibri"/>
        <family val="2"/>
      </rPr>
      <t>exp</t>
    </r>
    <r>
      <rPr>
        <sz val="11"/>
        <color theme="1"/>
        <rFont val="Calibri"/>
        <family val="2"/>
      </rPr>
      <t xml:space="preserve"> </t>
    </r>
  </si>
  <si>
    <r>
      <t>(1/C</t>
    </r>
    <r>
      <rPr>
        <vertAlign val="subscript"/>
        <sz val="11"/>
        <color theme="1"/>
        <rFont val="Calibri"/>
        <family val="2"/>
        <scheme val="minor"/>
      </rPr>
      <t>e)</t>
    </r>
    <r>
      <rPr>
        <sz val="11"/>
        <color theme="1"/>
        <rFont val="Calibri"/>
        <family val="2"/>
        <scheme val="minor"/>
      </rPr>
      <t>*(1/Γ</t>
    </r>
    <r>
      <rPr>
        <vertAlign val="subscript"/>
        <sz val="11"/>
        <color theme="1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>)</t>
    </r>
  </si>
  <si>
    <r>
      <t>(1/C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</si>
  <si>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(1/Γ</t>
    </r>
    <r>
      <rPr>
        <vertAlign val="subscript"/>
        <sz val="11"/>
        <color theme="1"/>
        <rFont val="Calibri"/>
        <family val="2"/>
        <scheme val="minor"/>
      </rPr>
      <t>exp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</si>
  <si>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Total</t>
  </si>
  <si>
    <r>
      <t>σ</t>
    </r>
    <r>
      <rPr>
        <vertAlign val="subscript"/>
        <sz val="11"/>
        <color theme="1"/>
        <rFont val="Calibri"/>
        <family val="2"/>
      </rPr>
      <t>xy</t>
    </r>
  </si>
  <si>
    <r>
      <t>σ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</si>
  <si>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prom</t>
    </r>
  </si>
  <si>
    <r>
      <t>Y</t>
    </r>
    <r>
      <rPr>
        <vertAlign val="subscript"/>
        <sz val="11"/>
        <color theme="1"/>
        <rFont val="Calibri"/>
        <family val="2"/>
        <scheme val="minor"/>
      </rPr>
      <t>prom</t>
    </r>
  </si>
  <si>
    <r>
      <t>σ</t>
    </r>
    <r>
      <rPr>
        <vertAlign val="subscript"/>
        <sz val="11"/>
        <color theme="1"/>
        <rFont val="Calibri"/>
        <family val="2"/>
      </rPr>
      <t>y</t>
    </r>
  </si>
  <si>
    <r>
      <t>σ</t>
    </r>
    <r>
      <rPr>
        <vertAlign val="subscript"/>
        <sz val="11"/>
        <color theme="1"/>
        <rFont val="Calibri"/>
        <family val="2"/>
      </rPr>
      <t>x</t>
    </r>
  </si>
  <si>
    <t>r</t>
  </si>
  <si>
    <t>N</t>
  </si>
  <si>
    <t>Multi</t>
  </si>
  <si>
    <r>
      <t>1/(Γ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) </t>
    </r>
  </si>
  <si>
    <t>Ajuste regresión</t>
  </si>
  <si>
    <r>
      <t>1/Γ</t>
    </r>
    <r>
      <rPr>
        <vertAlign val="subscript"/>
        <sz val="11"/>
        <color theme="1"/>
        <rFont val="Calibri"/>
        <family val="2"/>
      </rPr>
      <t/>
    </r>
  </si>
  <si>
    <r>
      <t>Γ</t>
    </r>
    <r>
      <rPr>
        <vertAlign val="subscript"/>
        <sz val="11"/>
        <color theme="1"/>
        <rFont val="Calibri"/>
        <family val="2"/>
      </rPr>
      <t>lang</t>
    </r>
    <r>
      <rPr>
        <sz val="11"/>
        <color theme="1"/>
        <rFont val="Calibri"/>
        <family val="2"/>
      </rPr>
      <t xml:space="preserve"> [mg/g]</t>
    </r>
  </si>
  <si>
    <r>
      <t>Γ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</t>
    </r>
  </si>
  <si>
    <r>
      <t>K</t>
    </r>
    <r>
      <rPr>
        <vertAlign val="subscript"/>
        <sz val="11"/>
        <color theme="1"/>
        <rFont val="Calibri"/>
        <family val="2"/>
        <scheme val="minor"/>
      </rPr>
      <t>L</t>
    </r>
  </si>
  <si>
    <r>
      <t>1/(K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Γ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) </t>
    </r>
  </si>
  <si>
    <r>
      <t xml:space="preserve">Error </t>
    </r>
    <r>
      <rPr>
        <sz val="11"/>
        <color theme="1"/>
        <rFont val="Calibri"/>
        <family val="2"/>
      </rPr>
      <t>Γ</t>
    </r>
  </si>
  <si>
    <t>TOTAL</t>
  </si>
  <si>
    <t>Isoterma Modificada (Retirando puntos)</t>
  </si>
  <si>
    <t>Puntos Retirados</t>
  </si>
  <si>
    <t>Puntos</t>
  </si>
  <si>
    <t>sal=0,2 dur=2</t>
  </si>
  <si>
    <t>sal=0,2 dur=5</t>
  </si>
  <si>
    <t>sal=0,2 dur=10</t>
  </si>
  <si>
    <t>sal=0,5 dur=0</t>
  </si>
  <si>
    <t>sal=0,5 dur=2</t>
  </si>
  <si>
    <t>sal=0,5 dur=5</t>
  </si>
  <si>
    <t>sal=0,5 dur=10</t>
  </si>
  <si>
    <t>sal=1 dur=0</t>
  </si>
  <si>
    <t>sal=1 dur=2</t>
  </si>
  <si>
    <t>sal=1 dur=5</t>
  </si>
  <si>
    <t>sal=1 dur=10</t>
  </si>
  <si>
    <t>sal=2 dur=0</t>
  </si>
  <si>
    <t>sal=2 dur=2</t>
  </si>
  <si>
    <t>sal=2 dur=5</t>
  </si>
  <si>
    <t>sal=2 dur=10</t>
  </si>
  <si>
    <t>sal=5 dur=0</t>
  </si>
  <si>
    <t>sal=5 dur=2</t>
  </si>
  <si>
    <t>sal=5 dur=5</t>
  </si>
  <si>
    <t>ninguno-buen ajuste</t>
  </si>
  <si>
    <t>1, 5</t>
  </si>
  <si>
    <t>sal=5 dur=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</si>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</sst>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9FEFB2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0" fillId="0" borderId="5" xfId="0" applyBorder="1"/>
    <xf numFmtId="0" fontId="2" fillId="2" borderId="5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4" fillId="2" borderId="0" xfId="0" applyFont="1" applyFill="1" applyBorder="1"/>
    <xf numFmtId="0" fontId="2" fillId="2" borderId="8" xfId="0" applyFont="1" applyFill="1" applyBorder="1" applyAlignment="1">
      <alignment horizontal="center"/>
    </xf>
    <xf numFmtId="0" fontId="0" fillId="0" borderId="0" xfId="0" applyFill="1"/>
    <xf numFmtId="0" fontId="3" fillId="3" borderId="5" xfId="0" applyFont="1" applyFill="1" applyBorder="1"/>
    <xf numFmtId="0" fontId="3" fillId="0" borderId="5" xfId="0" applyFont="1" applyFill="1" applyBorder="1"/>
    <xf numFmtId="0" fontId="3" fillId="4" borderId="5" xfId="0" applyFont="1" applyFill="1" applyBorder="1"/>
    <xf numFmtId="0" fontId="3" fillId="0" borderId="5" xfId="0" applyFont="1" applyBorder="1"/>
    <xf numFmtId="2" fontId="3" fillId="0" borderId="5" xfId="0" applyNumberFormat="1" applyFont="1" applyBorder="1"/>
    <xf numFmtId="0" fontId="3" fillId="5" borderId="5" xfId="0" applyFont="1" applyFill="1" applyBorder="1"/>
    <xf numFmtId="0" fontId="0" fillId="5" borderId="5" xfId="0" applyFill="1" applyBorder="1"/>
    <xf numFmtId="0" fontId="0" fillId="0" borderId="5" xfId="0" applyFill="1" applyBorder="1"/>
    <xf numFmtId="0" fontId="0" fillId="3" borderId="5" xfId="0" applyFill="1" applyBorder="1"/>
    <xf numFmtId="0" fontId="0" fillId="4" borderId="5" xfId="0" applyFill="1" applyBorder="1"/>
    <xf numFmtId="2" fontId="0" fillId="0" borderId="5" xfId="0" applyNumberFormat="1" applyBorder="1"/>
    <xf numFmtId="164" fontId="0" fillId="0" borderId="5" xfId="0" applyNumberFormat="1" applyBorder="1"/>
    <xf numFmtId="2" fontId="0" fillId="0" borderId="5" xfId="0" applyNumberFormat="1" applyFill="1" applyBorder="1"/>
    <xf numFmtId="164" fontId="0" fillId="0" borderId="5" xfId="0" applyNumberFormat="1" applyFill="1" applyBorder="1"/>
    <xf numFmtId="0" fontId="5" fillId="0" borderId="9" xfId="0" applyFont="1" applyBorder="1"/>
    <xf numFmtId="0" fontId="0" fillId="0" borderId="10" xfId="0" applyBorder="1"/>
    <xf numFmtId="0" fontId="7" fillId="0" borderId="10" xfId="0" applyFont="1" applyBorder="1"/>
    <xf numFmtId="0" fontId="0" fillId="5" borderId="12" xfId="0" applyFill="1" applyBorder="1"/>
    <xf numFmtId="0" fontId="0" fillId="0" borderId="8" xfId="0" applyBorder="1"/>
    <xf numFmtId="0" fontId="7" fillId="0" borderId="8" xfId="0" applyFont="1" applyBorder="1"/>
    <xf numFmtId="0" fontId="7" fillId="0" borderId="5" xfId="0" applyFont="1" applyBorder="1"/>
    <xf numFmtId="0" fontId="0" fillId="0" borderId="5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23" xfId="0" applyBorder="1"/>
    <xf numFmtId="0" fontId="0" fillId="0" borderId="21" xfId="0" applyBorder="1"/>
    <xf numFmtId="0" fontId="0" fillId="0" borderId="10" xfId="0" applyBorder="1" applyAlignment="1">
      <alignment horizontal="center"/>
    </xf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7" fillId="7" borderId="5" xfId="0" applyFont="1" applyFill="1" applyBorder="1"/>
    <xf numFmtId="0" fontId="0" fillId="7" borderId="5" xfId="0" applyFill="1" applyBorder="1"/>
    <xf numFmtId="0" fontId="0" fillId="0" borderId="22" xfId="0" applyBorder="1" applyAlignment="1">
      <alignment horizontal="center"/>
    </xf>
    <xf numFmtId="0" fontId="0" fillId="0" borderId="24" xfId="0" applyBorder="1"/>
    <xf numFmtId="0" fontId="1" fillId="0" borderId="5" xfId="0" applyFont="1" applyBorder="1"/>
    <xf numFmtId="0" fontId="1" fillId="0" borderId="0" xfId="0" applyFont="1"/>
    <xf numFmtId="0" fontId="0" fillId="0" borderId="25" xfId="0" applyBorder="1"/>
    <xf numFmtId="0" fontId="7" fillId="0" borderId="24" xfId="0" applyFont="1" applyBorder="1"/>
    <xf numFmtId="0" fontId="0" fillId="5" borderId="25" xfId="0" applyFill="1" applyBorder="1"/>
    <xf numFmtId="0" fontId="7" fillId="0" borderId="26" xfId="0" applyFont="1" applyBorder="1"/>
    <xf numFmtId="0" fontId="7" fillId="0" borderId="14" xfId="0" applyFont="1" applyBorder="1"/>
    <xf numFmtId="0" fontId="7" fillId="8" borderId="5" xfId="0" applyFont="1" applyFill="1" applyBorder="1"/>
    <xf numFmtId="0" fontId="0" fillId="8" borderId="5" xfId="0" applyFill="1" applyBorder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EFB2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'1'!$E$4:$E$8</c:f>
              <c:numCache>
                <c:formatCode>General</c:formatCode>
                <c:ptCount val="5"/>
                <c:pt idx="0">
                  <c:v>5.6497175141242938E-3</c:v>
                </c:pt>
                <c:pt idx="1">
                  <c:v>3.0409001064315034E-3</c:v>
                </c:pt>
                <c:pt idx="2">
                  <c:v>1.1866619200189864E-3</c:v>
                </c:pt>
                <c:pt idx="3">
                  <c:v>5.2331362185357685E-4</c:v>
                </c:pt>
                <c:pt idx="4">
                  <c:v>2.042692268409764E-4</c:v>
                </c:pt>
              </c:numCache>
            </c:numRef>
          </c:xVal>
          <c:yVal>
            <c:numRef>
              <c:f>'1'!$F$4:$F$8</c:f>
              <c:numCache>
                <c:formatCode>General</c:formatCode>
                <c:ptCount val="5"/>
                <c:pt idx="0">
                  <c:v>2.6315789473684212</c:v>
                </c:pt>
                <c:pt idx="1">
                  <c:v>1.1383039271485491</c:v>
                </c:pt>
                <c:pt idx="2">
                  <c:v>0.72568940493468825</c:v>
                </c:pt>
                <c:pt idx="3">
                  <c:v>1.0869565217391304</c:v>
                </c:pt>
                <c:pt idx="4">
                  <c:v>0.31201248049921998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A-4406-82F2-34E16B8F7D27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'1'!$H$18:$H$22</c:f>
              <c:numCache>
                <c:formatCode>General</c:formatCode>
                <c:ptCount val="5"/>
                <c:pt idx="0">
                  <c:v>5.6497175141242938E-3</c:v>
                </c:pt>
                <c:pt idx="1">
                  <c:v>3.0409001064315034E-3</c:v>
                </c:pt>
                <c:pt idx="2">
                  <c:v>1.1866619200189864E-3</c:v>
                </c:pt>
                <c:pt idx="3">
                  <c:v>5.2331362185357685E-4</c:v>
                </c:pt>
                <c:pt idx="4">
                  <c:v>2.042692268409764E-4</c:v>
                </c:pt>
              </c:numCache>
            </c:numRef>
          </c:xVal>
          <c:yVal>
            <c:numRef>
              <c:f>'1'!$I$18:$I$22</c:f>
              <c:numCache>
                <c:formatCode>General</c:formatCode>
                <c:ptCount val="5"/>
                <c:pt idx="0">
                  <c:v>2.4453786220261877</c:v>
                </c:pt>
                <c:pt idx="1">
                  <c:v>1.5090712656221046</c:v>
                </c:pt>
                <c:pt idx="2">
                  <c:v>0.84358319836835782</c:v>
                </c:pt>
                <c:pt idx="3">
                  <c:v>0.6055067850483109</c:v>
                </c:pt>
                <c:pt idx="4">
                  <c:v>0.49100141062504848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A-4406-82F2-34E16B8F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'3'!$S$5:$S$10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57</c:v>
                </c:pt>
                <c:pt idx="2">
                  <c:v>440.7</c:v>
                </c:pt>
                <c:pt idx="3">
                  <c:v>713.2</c:v>
                </c:pt>
                <c:pt idx="4">
                  <c:v>2002.7</c:v>
                </c:pt>
                <c:pt idx="5">
                  <c:v>5088.7</c:v>
                </c:pt>
              </c:numCache>
            </c:numRef>
          </c:xVal>
          <c:yVal>
            <c:numRef>
              <c:f>'3'!$T$5:$T$10</c:f>
              <c:numCache>
                <c:formatCode>General</c:formatCode>
                <c:ptCount val="6"/>
                <c:pt idx="0">
                  <c:v>2.9072633650261231E-7</c:v>
                </c:pt>
                <c:pt idx="1">
                  <c:v>1.5591237994147977</c:v>
                </c:pt>
                <c:pt idx="2">
                  <c:v>1.6982370003727345</c:v>
                </c:pt>
                <c:pt idx="3">
                  <c:v>1.706881289595408</c:v>
                </c:pt>
                <c:pt idx="4">
                  <c:v>1.7159767435687467</c:v>
                </c:pt>
                <c:pt idx="5">
                  <c:v>1.7190492191197178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7D1-9222-7CD2529BB5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'3'!$B$4:$B$8</c:f>
              <c:numCache>
                <c:formatCode>General</c:formatCode>
                <c:ptCount val="5"/>
                <c:pt idx="0">
                  <c:v>57</c:v>
                </c:pt>
                <c:pt idx="1">
                  <c:v>440.7</c:v>
                </c:pt>
                <c:pt idx="2">
                  <c:v>713.2</c:v>
                </c:pt>
                <c:pt idx="3">
                  <c:v>2002.7</c:v>
                </c:pt>
                <c:pt idx="4">
                  <c:v>5088.7</c:v>
                </c:pt>
              </c:numCache>
            </c:numRef>
          </c:xVal>
          <c:yVal>
            <c:numRef>
              <c:f>'3'!$C$4:$C$8</c:f>
              <c:numCache>
                <c:formatCode>General</c:formatCode>
                <c:ptCount val="5"/>
                <c:pt idx="0">
                  <c:v>1.6779999999999999</c:v>
                </c:pt>
                <c:pt idx="1">
                  <c:v>0.85400000000000031</c:v>
                </c:pt>
                <c:pt idx="2">
                  <c:v>4.3609999999999989</c:v>
                </c:pt>
                <c:pt idx="3">
                  <c:v>1.6099999999999977</c:v>
                </c:pt>
                <c:pt idx="4">
                  <c:v>2.7530000000000019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C-47D1-9222-7CD2529B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'3'!$E$29:$E$33</c:f>
              <c:numCache>
                <c:formatCode>General</c:formatCode>
                <c:ptCount val="5"/>
                <c:pt idx="0">
                  <c:v>1.7543859649122806E-2</c:v>
                </c:pt>
                <c:pt idx="1">
                  <c:v>2.269117313365101E-3</c:v>
                </c:pt>
                <c:pt idx="2">
                  <c:v>0</c:v>
                </c:pt>
                <c:pt idx="3">
                  <c:v>4.9932591002147106E-4</c:v>
                </c:pt>
                <c:pt idx="4">
                  <c:v>1.96513844400338E-4</c:v>
                </c:pt>
              </c:numCache>
            </c:numRef>
          </c:xVal>
          <c:yVal>
            <c:numRef>
              <c:f>'3'!$F$29:$F$33</c:f>
              <c:numCache>
                <c:formatCode>General</c:formatCode>
                <c:ptCount val="5"/>
                <c:pt idx="0">
                  <c:v>0.59594755661501786</c:v>
                </c:pt>
                <c:pt idx="1">
                  <c:v>1.1709601873536295</c:v>
                </c:pt>
                <c:pt idx="2">
                  <c:v>0</c:v>
                </c:pt>
                <c:pt idx="3">
                  <c:v>0.6211180124223612</c:v>
                </c:pt>
                <c:pt idx="4">
                  <c:v>0.3632401017072282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F-4588-858E-C4B6D394ED07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'3'!$H$42:$H$46</c:f>
              <c:numCache>
                <c:formatCode>General</c:formatCode>
                <c:ptCount val="5"/>
                <c:pt idx="0">
                  <c:v>1.7543859649122806E-2</c:v>
                </c:pt>
                <c:pt idx="1">
                  <c:v>2.269117313365101E-3</c:v>
                </c:pt>
                <c:pt idx="2">
                  <c:v>0</c:v>
                </c:pt>
                <c:pt idx="3">
                  <c:v>4.9932591002147106E-4</c:v>
                </c:pt>
                <c:pt idx="4">
                  <c:v>1.96513844400338E-4</c:v>
                </c:pt>
              </c:numCache>
            </c:numRef>
          </c:xVal>
          <c:yVal>
            <c:numRef>
              <c:f>'3'!$I$42:$I$46</c:f>
              <c:numCache>
                <c:formatCode>General</c:formatCode>
                <c:ptCount val="5"/>
                <c:pt idx="0">
                  <c:v>0.70023311171046299</c:v>
                </c:pt>
                <c:pt idx="1">
                  <c:v>0.68495837980260788</c:v>
                </c:pt>
                <c:pt idx="2">
                  <c:v>0.68268926403834485</c:v>
                </c:pt>
                <c:pt idx="3">
                  <c:v>0.68318858960748186</c:v>
                </c:pt>
                <c:pt idx="4">
                  <c:v>0.68288577774858727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F-4588-858E-C4B6D394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'3'!$S$30:$S$35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57</c:v>
                </c:pt>
                <c:pt idx="2">
                  <c:v>440.7</c:v>
                </c:pt>
                <c:pt idx="3">
                  <c:v>713.2</c:v>
                </c:pt>
                <c:pt idx="4">
                  <c:v>2002.7</c:v>
                </c:pt>
                <c:pt idx="5">
                  <c:v>5088.7</c:v>
                </c:pt>
              </c:numCache>
            </c:numRef>
          </c:xVal>
          <c:yVal>
            <c:numRef>
              <c:f>'3'!$T$30:$T$35</c:f>
              <c:numCache>
                <c:formatCode>General</c:formatCode>
                <c:ptCount val="6"/>
                <c:pt idx="0">
                  <c:v>1.0000000000000008E-6</c:v>
                </c:pt>
                <c:pt idx="1">
                  <c:v>1.4280958487628426</c:v>
                </c:pt>
                <c:pt idx="2">
                  <c:v>1.4599427198601194</c:v>
                </c:pt>
                <c:pt idx="3">
                  <c:v>1.4617929830752063</c:v>
                </c:pt>
                <c:pt idx="4">
                  <c:v>1.4637246804349273</c:v>
                </c:pt>
                <c:pt idx="5">
                  <c:v>1.4643737394808685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0-4177-956D-044C99235E7A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('3'!$B$28:$B$30,'3'!$B$32:$B$33)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57</c:v>
                </c:pt>
                <c:pt idx="2">
                  <c:v>440.7</c:v>
                </c:pt>
                <c:pt idx="3">
                  <c:v>2002.7</c:v>
                </c:pt>
                <c:pt idx="4">
                  <c:v>5088.7</c:v>
                </c:pt>
              </c:numCache>
            </c:numRef>
          </c:xVal>
          <c:yVal>
            <c:numRef>
              <c:f>('3'!$C$28:$C$30,'3'!$C$32:$C$33)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1.6779999999999999</c:v>
                </c:pt>
                <c:pt idx="2">
                  <c:v>0.85400000000000031</c:v>
                </c:pt>
                <c:pt idx="3">
                  <c:v>1.6099999999999977</c:v>
                </c:pt>
                <c:pt idx="4">
                  <c:v>2.7530000000000019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0-4177-956D-044C9923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'4'!$E$4:$E$8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2.8153153153153156E-3</c:v>
                </c:pt>
                <c:pt idx="2">
                  <c:v>1.3115614138632041E-3</c:v>
                </c:pt>
                <c:pt idx="3">
                  <c:v>5.8920575064812632E-4</c:v>
                </c:pt>
                <c:pt idx="4">
                  <c:v>2.2036139268400177E-4</c:v>
                </c:pt>
              </c:numCache>
            </c:numRef>
          </c:xVal>
          <c:yVal>
            <c:numRef>
              <c:f>'4'!$F$4:$F$8</c:f>
              <c:numCache>
                <c:formatCode>General</c:formatCode>
                <c:ptCount val="5"/>
                <c:pt idx="0">
                  <c:v>0.53276505061267976</c:v>
                </c:pt>
                <c:pt idx="1">
                  <c:v>0.64391500321957507</c:v>
                </c:pt>
                <c:pt idx="2">
                  <c:v>1.6963528413910112</c:v>
                </c:pt>
                <c:pt idx="3">
                  <c:v>0.83333333333333337</c:v>
                </c:pt>
                <c:pt idx="4">
                  <c:v>0.13724951962668122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7C0-9D10-866E184F7777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'4'!$H$18:$H$22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2.8153153153153156E-3</c:v>
                </c:pt>
                <c:pt idx="2">
                  <c:v>1.3115614138632041E-3</c:v>
                </c:pt>
                <c:pt idx="3">
                  <c:v>5.8920575064812632E-4</c:v>
                </c:pt>
                <c:pt idx="4">
                  <c:v>2.2036139268400177E-4</c:v>
                </c:pt>
              </c:numCache>
            </c:numRef>
          </c:xVal>
          <c:yVal>
            <c:numRef>
              <c:f>'4'!$I$18:$I$22</c:f>
              <c:numCache>
                <c:formatCode>General</c:formatCode>
                <c:ptCount val="5"/>
                <c:pt idx="0">
                  <c:v>0.53566618628818063</c:v>
                </c:pt>
                <c:pt idx="1">
                  <c:v>0.82420294243970371</c:v>
                </c:pt>
                <c:pt idx="2">
                  <c:v>0.82685100282612545</c:v>
                </c:pt>
                <c:pt idx="3">
                  <c:v>0.82812304701821038</c:v>
                </c:pt>
                <c:pt idx="4">
                  <c:v>0.82877256961106072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7C0-9D10-866E184F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'4'!$S$5:$S$10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6</c:v>
                </c:pt>
                <c:pt idx="2">
                  <c:v>355.2</c:v>
                </c:pt>
                <c:pt idx="3">
                  <c:v>762.45</c:v>
                </c:pt>
                <c:pt idx="4">
                  <c:v>1697.2</c:v>
                </c:pt>
                <c:pt idx="5">
                  <c:v>4538</c:v>
                </c:pt>
              </c:numCache>
            </c:numRef>
          </c:xVal>
          <c:yVal>
            <c:numRef>
              <c:f>'4'!$T$5:$T$10</c:f>
              <c:numCache>
                <c:formatCode>General</c:formatCode>
                <c:ptCount val="6"/>
                <c:pt idx="0">
                  <c:v>-5.6787021066957153E-7</c:v>
                </c:pt>
                <c:pt idx="1">
                  <c:v>1.8668342814941365</c:v>
                </c:pt>
                <c:pt idx="2">
                  <c:v>1.213293411741438</c:v>
                </c:pt>
                <c:pt idx="3">
                  <c:v>1.2094077368015059</c:v>
                </c:pt>
                <c:pt idx="4">
                  <c:v>1.2075500175978198</c:v>
                </c:pt>
                <c:pt idx="5">
                  <c:v>1.2066036409352876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E-4A38-88F6-9CA8B8586D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'4'!$B$4:$B$8</c:f>
              <c:numCache>
                <c:formatCode>General</c:formatCode>
                <c:ptCount val="5"/>
                <c:pt idx="0">
                  <c:v>6</c:v>
                </c:pt>
                <c:pt idx="1">
                  <c:v>355.2</c:v>
                </c:pt>
                <c:pt idx="2">
                  <c:v>762.45</c:v>
                </c:pt>
                <c:pt idx="3">
                  <c:v>1697.2</c:v>
                </c:pt>
                <c:pt idx="4">
                  <c:v>4538</c:v>
                </c:pt>
              </c:numCache>
            </c:numRef>
          </c:xVal>
          <c:yVal>
            <c:numRef>
              <c:f>'4'!$C$4:$C$8</c:f>
              <c:numCache>
                <c:formatCode>General</c:formatCode>
                <c:ptCount val="5"/>
                <c:pt idx="0">
                  <c:v>1.877</c:v>
                </c:pt>
                <c:pt idx="1">
                  <c:v>1.5529999999999999</c:v>
                </c:pt>
                <c:pt idx="2">
                  <c:v>0.58949999999999936</c:v>
                </c:pt>
                <c:pt idx="3">
                  <c:v>1.2</c:v>
                </c:pt>
                <c:pt idx="4">
                  <c:v>7.286000000000004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E-4A38-88F6-9CA8B858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'4'!$E$29:$E$33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2.8153153153153156E-3</c:v>
                </c:pt>
                <c:pt idx="2">
                  <c:v>0</c:v>
                </c:pt>
                <c:pt idx="3">
                  <c:v>5.8920575064812632E-4</c:v>
                </c:pt>
                <c:pt idx="4">
                  <c:v>2.2036139268400177E-4</c:v>
                </c:pt>
              </c:numCache>
            </c:numRef>
          </c:xVal>
          <c:yVal>
            <c:numRef>
              <c:f>'4'!$F$29:$F$33</c:f>
              <c:numCache>
                <c:formatCode>General</c:formatCode>
                <c:ptCount val="5"/>
                <c:pt idx="0">
                  <c:v>0.53276505061267976</c:v>
                </c:pt>
                <c:pt idx="1">
                  <c:v>0.64391500321957507</c:v>
                </c:pt>
                <c:pt idx="2">
                  <c:v>0</c:v>
                </c:pt>
                <c:pt idx="3">
                  <c:v>0.83333333333333337</c:v>
                </c:pt>
                <c:pt idx="4">
                  <c:v>0.13724951962668122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E5F-A0F6-3C0529A65B90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'4'!$H$42:$H$46</c:f>
              <c:numCache>
                <c:formatCode>General</c:formatCode>
                <c:ptCount val="5"/>
                <c:pt idx="0">
                  <c:v>0.16666666666666666</c:v>
                </c:pt>
                <c:pt idx="1">
                  <c:v>2.8153153153153156E-3</c:v>
                </c:pt>
                <c:pt idx="2">
                  <c:v>0</c:v>
                </c:pt>
                <c:pt idx="3">
                  <c:v>5.8920575064812632E-4</c:v>
                </c:pt>
                <c:pt idx="4">
                  <c:v>2.2036139268400177E-4</c:v>
                </c:pt>
              </c:numCache>
            </c:numRef>
          </c:xVal>
          <c:yVal>
            <c:numRef>
              <c:f>'4'!$I$42:$I$46</c:f>
              <c:numCache>
                <c:formatCode>General</c:formatCode>
                <c:ptCount val="5"/>
                <c:pt idx="0">
                  <c:v>0.66090944997240508</c:v>
                </c:pt>
                <c:pt idx="1">
                  <c:v>0.49705817960341853</c:v>
                </c:pt>
                <c:pt idx="2">
                  <c:v>0.49424286567955278</c:v>
                </c:pt>
                <c:pt idx="3">
                  <c:v>0.49483207113899014</c:v>
                </c:pt>
                <c:pt idx="4">
                  <c:v>0.49446322696332473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9-4E5F-A0F6-3C0529A6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'4'!$S$30:$S$35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6</c:v>
                </c:pt>
                <c:pt idx="2">
                  <c:v>355.2</c:v>
                </c:pt>
                <c:pt idx="3">
                  <c:v>762.45</c:v>
                </c:pt>
                <c:pt idx="4">
                  <c:v>1697.2</c:v>
                </c:pt>
                <c:pt idx="5">
                  <c:v>4538</c:v>
                </c:pt>
              </c:numCache>
            </c:numRef>
          </c:xVal>
          <c:yVal>
            <c:numRef>
              <c:f>'4'!$T$30:$T$35</c:f>
              <c:numCache>
                <c:formatCode>General</c:formatCode>
                <c:ptCount val="6"/>
                <c:pt idx="0">
                  <c:v>1.0000000000000209E-6</c:v>
                </c:pt>
                <c:pt idx="1">
                  <c:v>1.5130665782457084</c:v>
                </c:pt>
                <c:pt idx="2">
                  <c:v>2.0118369258058628</c:v>
                </c:pt>
                <c:pt idx="3">
                  <c:v>2.017941817558583</c:v>
                </c:pt>
                <c:pt idx="4">
                  <c:v>2.0208876067758279</c:v>
                </c:pt>
                <c:pt idx="5">
                  <c:v>2.0223950851539705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3-4BE1-831B-7803836B3925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('4'!$B$28:$B$30,'4'!$B$32:$B$33)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6</c:v>
                </c:pt>
                <c:pt idx="2">
                  <c:v>355.2</c:v>
                </c:pt>
                <c:pt idx="3">
                  <c:v>1697.2</c:v>
                </c:pt>
                <c:pt idx="4">
                  <c:v>4538</c:v>
                </c:pt>
              </c:numCache>
            </c:numRef>
          </c:xVal>
          <c:yVal>
            <c:numRef>
              <c:f>('4'!$C$28:$C$30,'4'!$C$32:$C$33)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1.877</c:v>
                </c:pt>
                <c:pt idx="2">
                  <c:v>1.5529999999999999</c:v>
                </c:pt>
                <c:pt idx="3">
                  <c:v>1.2</c:v>
                </c:pt>
                <c:pt idx="4">
                  <c:v>7.286000000000004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3-4BE1-831B-7803836B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'5'!$E$4:$E$8</c:f>
              <c:numCache>
                <c:formatCode>General</c:formatCode>
                <c:ptCount val="5"/>
                <c:pt idx="0">
                  <c:v>9.0090090090090089E-3</c:v>
                </c:pt>
                <c:pt idx="1">
                  <c:v>3.2472804026627698E-3</c:v>
                </c:pt>
                <c:pt idx="2">
                  <c:v>1.1220825852782765E-3</c:v>
                </c:pt>
                <c:pt idx="3">
                  <c:v>6.0816152770175758E-4</c:v>
                </c:pt>
                <c:pt idx="4">
                  <c:v>2.210824195259993E-4</c:v>
                </c:pt>
              </c:numCache>
            </c:numRef>
          </c:xVal>
          <c:yVal>
            <c:numRef>
              <c:f>'5'!$F$4:$F$8</c:f>
              <c:numCache>
                <c:formatCode>General</c:formatCode>
                <c:ptCount val="5"/>
                <c:pt idx="0">
                  <c:v>0.96525096525096521</c:v>
                </c:pt>
                <c:pt idx="1">
                  <c:v>0.46414481318171269</c:v>
                </c:pt>
                <c:pt idx="2">
                  <c:v>0.59772863120143471</c:v>
                </c:pt>
                <c:pt idx="3">
                  <c:v>0.18740629685157414</c:v>
                </c:pt>
                <c:pt idx="4">
                  <c:v>0.17683465959328026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A-41D6-A084-348B5E643D2D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'5'!$H$18:$H$22</c:f>
              <c:numCache>
                <c:formatCode>General</c:formatCode>
                <c:ptCount val="5"/>
                <c:pt idx="0">
                  <c:v>9.0090090090090089E-3</c:v>
                </c:pt>
                <c:pt idx="1">
                  <c:v>3.2472804026627698E-3</c:v>
                </c:pt>
                <c:pt idx="2">
                  <c:v>1.1220825852782765E-3</c:v>
                </c:pt>
                <c:pt idx="3">
                  <c:v>6.0816152770175758E-4</c:v>
                </c:pt>
                <c:pt idx="4">
                  <c:v>2.210824195259993E-4</c:v>
                </c:pt>
              </c:numCache>
            </c:numRef>
          </c:xVal>
          <c:yVal>
            <c:numRef>
              <c:f>'5'!$I$18:$I$22</c:f>
              <c:numCache>
                <c:formatCode>General</c:formatCode>
                <c:ptCount val="5"/>
                <c:pt idx="0">
                  <c:v>0.97059270213214077</c:v>
                </c:pt>
                <c:pt idx="1">
                  <c:v>0.51066264763331892</c:v>
                </c:pt>
                <c:pt idx="2">
                  <c:v>0.34101870659558492</c:v>
                </c:pt>
                <c:pt idx="3">
                  <c:v>0.29999495206488491</c:v>
                </c:pt>
                <c:pt idx="4">
                  <c:v>0.26909635765303741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A-41D6-A084-348B5E64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'5'!$S$5:$S$10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111</c:v>
                </c:pt>
                <c:pt idx="2">
                  <c:v>307.95</c:v>
                </c:pt>
                <c:pt idx="3">
                  <c:v>891.2</c:v>
                </c:pt>
                <c:pt idx="4">
                  <c:v>1644.3</c:v>
                </c:pt>
                <c:pt idx="5">
                  <c:v>4523.2</c:v>
                </c:pt>
              </c:numCache>
            </c:numRef>
          </c:xVal>
          <c:yVal>
            <c:numRef>
              <c:f>'5'!$T$5:$T$10</c:f>
              <c:numCache>
                <c:formatCode>General</c:formatCode>
                <c:ptCount val="6"/>
                <c:pt idx="0">
                  <c:v>1.2527401790420674E-8</c:v>
                </c:pt>
                <c:pt idx="1">
                  <c:v>1.0302982886675935</c:v>
                </c:pt>
                <c:pt idx="2">
                  <c:v>1.958239954761777</c:v>
                </c:pt>
                <c:pt idx="3">
                  <c:v>2.9323904544213257</c:v>
                </c:pt>
                <c:pt idx="4">
                  <c:v>3.3333894224450593</c:v>
                </c:pt>
                <c:pt idx="5">
                  <c:v>3.7161409716639939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2A7-A2FC-6EB5E9272A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'5'!$B$4:$B$8</c:f>
              <c:numCache>
                <c:formatCode>General</c:formatCode>
                <c:ptCount val="5"/>
                <c:pt idx="0">
                  <c:v>111</c:v>
                </c:pt>
                <c:pt idx="1">
                  <c:v>307.95</c:v>
                </c:pt>
                <c:pt idx="2">
                  <c:v>891.2</c:v>
                </c:pt>
                <c:pt idx="3">
                  <c:v>1644.3</c:v>
                </c:pt>
                <c:pt idx="4">
                  <c:v>4523.2</c:v>
                </c:pt>
              </c:numCache>
            </c:numRef>
          </c:xVal>
          <c:yVal>
            <c:numRef>
              <c:f>'5'!$C$4:$C$8</c:f>
              <c:numCache>
                <c:formatCode>General</c:formatCode>
                <c:ptCount val="5"/>
                <c:pt idx="0">
                  <c:v>1.036</c:v>
                </c:pt>
                <c:pt idx="1">
                  <c:v>2.1545000000000001</c:v>
                </c:pt>
                <c:pt idx="2">
                  <c:v>1.6729999999999996</c:v>
                </c:pt>
                <c:pt idx="3">
                  <c:v>5.3360000000000021</c:v>
                </c:pt>
                <c:pt idx="4">
                  <c:v>5.6550000000000002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2-42A7-A2FC-6EB5E927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'5'!$E$29:$E$33</c:f>
              <c:numCache>
                <c:formatCode>General</c:formatCode>
                <c:ptCount val="5"/>
                <c:pt idx="0">
                  <c:v>9.0090090090090089E-3</c:v>
                </c:pt>
                <c:pt idx="1">
                  <c:v>3.2472804026627698E-3</c:v>
                </c:pt>
                <c:pt idx="2">
                  <c:v>1.1220825852782765E-3</c:v>
                </c:pt>
                <c:pt idx="3">
                  <c:v>6.0816152770175758E-4</c:v>
                </c:pt>
                <c:pt idx="4">
                  <c:v>0</c:v>
                </c:pt>
              </c:numCache>
            </c:numRef>
          </c:xVal>
          <c:yVal>
            <c:numRef>
              <c:f>'5'!$F$29:$F$33</c:f>
              <c:numCache>
                <c:formatCode>General</c:formatCode>
                <c:ptCount val="5"/>
                <c:pt idx="0">
                  <c:v>0.96525096525096521</c:v>
                </c:pt>
                <c:pt idx="1">
                  <c:v>0.46414481318171269</c:v>
                </c:pt>
                <c:pt idx="2">
                  <c:v>0.59772863120143471</c:v>
                </c:pt>
                <c:pt idx="3">
                  <c:v>0.18740629685157414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D-4D78-ABD5-31FCE4613976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'5'!$H$42:$H$46</c:f>
              <c:numCache>
                <c:formatCode>General</c:formatCode>
                <c:ptCount val="5"/>
                <c:pt idx="0">
                  <c:v>9.0090090090090089E-3</c:v>
                </c:pt>
                <c:pt idx="1">
                  <c:v>3.2472804026627698E-3</c:v>
                </c:pt>
                <c:pt idx="2">
                  <c:v>1.1220825852782765E-3</c:v>
                </c:pt>
                <c:pt idx="3">
                  <c:v>6.0816152770175758E-4</c:v>
                </c:pt>
                <c:pt idx="4">
                  <c:v>0</c:v>
                </c:pt>
              </c:numCache>
            </c:numRef>
          </c:xVal>
          <c:yVal>
            <c:numRef>
              <c:f>'5'!$I$42:$I$46</c:f>
              <c:numCache>
                <c:formatCode>General</c:formatCode>
                <c:ptCount val="5"/>
                <c:pt idx="0">
                  <c:v>0.5591450484414654</c:v>
                </c:pt>
                <c:pt idx="1">
                  <c:v>0.55338332300485371</c:v>
                </c:pt>
                <c:pt idx="2">
                  <c:v>0.5512581263566172</c:v>
                </c:pt>
                <c:pt idx="3">
                  <c:v>0.55074420558176718</c:v>
                </c:pt>
                <c:pt idx="4">
                  <c:v>0.55013604438863695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D-4D78-ABD5-31FCE461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177</c:v>
                </c:pt>
                <c:pt idx="2">
                  <c:v>328.85</c:v>
                </c:pt>
                <c:pt idx="3">
                  <c:v>842.7</c:v>
                </c:pt>
                <c:pt idx="4">
                  <c:v>1910.9</c:v>
                </c:pt>
                <c:pt idx="5">
                  <c:v>4895.5</c:v>
                </c:pt>
              </c:numCache>
            </c:numRef>
          </c:xVal>
          <c:yVal>
            <c:numRef>
              <c:f>'1'!$T$5:$T$10</c:f>
              <c:numCache>
                <c:formatCode>General</c:formatCode>
                <c:ptCount val="6"/>
                <c:pt idx="0">
                  <c:v>2.7862831438982735E-9</c:v>
                </c:pt>
                <c:pt idx="1">
                  <c:v>0.40893462917878198</c:v>
                </c:pt>
                <c:pt idx="2">
                  <c:v>0.66265922808341104</c:v>
                </c:pt>
                <c:pt idx="3">
                  <c:v>1.1854195317476457</c:v>
                </c:pt>
                <c:pt idx="4">
                  <c:v>1.6515091567804876</c:v>
                </c:pt>
                <c:pt idx="5">
                  <c:v>2.0366540265678514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2-47BA-8824-6DB3C583E3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'1'!$B$4:$B$8</c:f>
              <c:numCache>
                <c:formatCode>General</c:formatCode>
                <c:ptCount val="5"/>
                <c:pt idx="0">
                  <c:v>177</c:v>
                </c:pt>
                <c:pt idx="1">
                  <c:v>328.85</c:v>
                </c:pt>
                <c:pt idx="2">
                  <c:v>842.7</c:v>
                </c:pt>
                <c:pt idx="3">
                  <c:v>1910.9</c:v>
                </c:pt>
                <c:pt idx="4">
                  <c:v>4895.5</c:v>
                </c:pt>
              </c:numCache>
            </c:numRef>
          </c:xVal>
          <c:yVal>
            <c:numRef>
              <c:f>'1'!$C$4:$C$8</c:f>
              <c:numCache>
                <c:formatCode>General</c:formatCode>
                <c:ptCount val="5"/>
                <c:pt idx="0">
                  <c:v>0.38</c:v>
                </c:pt>
                <c:pt idx="1">
                  <c:v>0.87849999999999961</c:v>
                </c:pt>
                <c:pt idx="2">
                  <c:v>1.3779999999999994</c:v>
                </c:pt>
                <c:pt idx="3">
                  <c:v>0.92</c:v>
                </c:pt>
                <c:pt idx="4">
                  <c:v>3.2050000000000001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2-47BA-8824-6DB3C583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'5'!$S$30:$S$35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111</c:v>
                </c:pt>
                <c:pt idx="2">
                  <c:v>307.95</c:v>
                </c:pt>
                <c:pt idx="3">
                  <c:v>891.2</c:v>
                </c:pt>
                <c:pt idx="4">
                  <c:v>1644.3</c:v>
                </c:pt>
                <c:pt idx="5">
                  <c:v>4523.2</c:v>
                </c:pt>
              </c:numCache>
            </c:numRef>
          </c:xVal>
          <c:yVal>
            <c:numRef>
              <c:f>'5'!$T$30:$T$35</c:f>
              <c:numCache>
                <c:formatCode>General</c:formatCode>
                <c:ptCount val="6"/>
                <c:pt idx="0">
                  <c:v>9.9999999999999678E-7</c:v>
                </c:pt>
                <c:pt idx="1">
                  <c:v>1.788444702832213</c:v>
                </c:pt>
                <c:pt idx="2">
                  <c:v>1.8070656603275139</c:v>
                </c:pt>
                <c:pt idx="3">
                  <c:v>1.8140322150155206</c:v>
                </c:pt>
                <c:pt idx="4">
                  <c:v>1.8157249588194411</c:v>
                </c:pt>
                <c:pt idx="5">
                  <c:v>1.8170020001749916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1-4E29-89F3-C718765734DD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'5'!$B$28:$B$32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111</c:v>
                </c:pt>
                <c:pt idx="2">
                  <c:v>307.95</c:v>
                </c:pt>
                <c:pt idx="3">
                  <c:v>891.2</c:v>
                </c:pt>
                <c:pt idx="4">
                  <c:v>1644.3</c:v>
                </c:pt>
              </c:numCache>
            </c:numRef>
          </c:xVal>
          <c:yVal>
            <c:numRef>
              <c:f>'5'!$C$28:$C$32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1.036</c:v>
                </c:pt>
                <c:pt idx="2">
                  <c:v>2.1545000000000001</c:v>
                </c:pt>
                <c:pt idx="3">
                  <c:v>1.6729999999999996</c:v>
                </c:pt>
                <c:pt idx="4">
                  <c:v>5.3360000000000021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1-4E29-89F3-C7187657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'6'!$E$4:$E$8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1.9596315892612187E-3</c:v>
                </c:pt>
                <c:pt idx="2">
                  <c:v>1.2084592145015106E-3</c:v>
                </c:pt>
                <c:pt idx="3">
                  <c:v>5.4504823676895407E-4</c:v>
                </c:pt>
                <c:pt idx="4">
                  <c:v>1.9924684691864753E-4</c:v>
                </c:pt>
              </c:numCache>
            </c:numRef>
          </c:xVal>
          <c:yVal>
            <c:numRef>
              <c:f>'6'!$F$4:$F$8</c:f>
              <c:numCache>
                <c:formatCode>General</c:formatCode>
                <c:ptCount val="5"/>
                <c:pt idx="0">
                  <c:v>3.1347962382445136</c:v>
                </c:pt>
                <c:pt idx="1">
                  <c:v>1.7857142857142876</c:v>
                </c:pt>
                <c:pt idx="2">
                  <c:v>0.42247570764681025</c:v>
                </c:pt>
                <c:pt idx="3">
                  <c:v>0.23116042533518255</c:v>
                </c:pt>
                <c:pt idx="4">
                  <c:v>8.8849400266548195E-2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7-4B28-A3A6-92D9FF81D48C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'6'!$H$18:$H$22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1.9596315892612187E-3</c:v>
                </c:pt>
                <c:pt idx="2">
                  <c:v>1.2084592145015106E-3</c:v>
                </c:pt>
                <c:pt idx="3">
                  <c:v>5.4504823676895407E-4</c:v>
                </c:pt>
                <c:pt idx="4">
                  <c:v>1.9924684691864753E-4</c:v>
                </c:pt>
              </c:numCache>
            </c:numRef>
          </c:xVal>
          <c:yVal>
            <c:numRef>
              <c:f>'6'!$I$18:$I$22</c:f>
              <c:numCache>
                <c:formatCode>General</c:formatCode>
                <c:ptCount val="5"/>
                <c:pt idx="0">
                  <c:v>3.2800636903169198</c:v>
                </c:pt>
                <c:pt idx="1">
                  <c:v>1.0589012796856552</c:v>
                </c:pt>
                <c:pt idx="2">
                  <c:v>0.70443699053475284</c:v>
                </c:pt>
                <c:pt idx="3">
                  <c:v>0.39138567430111276</c:v>
                </c:pt>
                <c:pt idx="4">
                  <c:v>0.22820842236890063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7-4B28-A3A6-92D9FF81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'6'!$S$5:$S$10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150</c:v>
                </c:pt>
                <c:pt idx="2">
                  <c:v>510.3</c:v>
                </c:pt>
                <c:pt idx="3">
                  <c:v>827.5</c:v>
                </c:pt>
                <c:pt idx="4">
                  <c:v>1834.7</c:v>
                </c:pt>
                <c:pt idx="5">
                  <c:v>5018.8999999999996</c:v>
                </c:pt>
              </c:numCache>
            </c:numRef>
          </c:xVal>
          <c:yVal>
            <c:numRef>
              <c:f>'6'!$T$5:$T$10</c:f>
              <c:numCache>
                <c:formatCode>General</c:formatCode>
                <c:ptCount val="6"/>
                <c:pt idx="0">
                  <c:v>2.1191764517251859E-9</c:v>
                </c:pt>
                <c:pt idx="1">
                  <c:v>0.30487212884069947</c:v>
                </c:pt>
                <c:pt idx="2">
                  <c:v>0.94437509821204435</c:v>
                </c:pt>
                <c:pt idx="3">
                  <c:v>1.4195733804962161</c:v>
                </c:pt>
                <c:pt idx="4">
                  <c:v>2.5550245337560558</c:v>
                </c:pt>
                <c:pt idx="5">
                  <c:v>4.3819592178920228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D-4803-A8ED-CD812C1D4D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'6'!$B$4:$B$8</c:f>
              <c:numCache>
                <c:formatCode>General</c:formatCode>
                <c:ptCount val="5"/>
                <c:pt idx="0">
                  <c:v>150</c:v>
                </c:pt>
                <c:pt idx="1">
                  <c:v>510.3</c:v>
                </c:pt>
                <c:pt idx="2">
                  <c:v>827.5</c:v>
                </c:pt>
                <c:pt idx="3">
                  <c:v>1834.7</c:v>
                </c:pt>
                <c:pt idx="4">
                  <c:v>5018.8999999999996</c:v>
                </c:pt>
              </c:numCache>
            </c:numRef>
          </c:xVal>
          <c:yVal>
            <c:numRef>
              <c:f>'6'!$C$4:$C$8</c:f>
              <c:numCache>
                <c:formatCode>General</c:formatCode>
                <c:ptCount val="5"/>
                <c:pt idx="0">
                  <c:v>0.31900000000000006</c:v>
                </c:pt>
                <c:pt idx="1">
                  <c:v>0.55999999999999939</c:v>
                </c:pt>
                <c:pt idx="2">
                  <c:v>2.3670000000000004</c:v>
                </c:pt>
                <c:pt idx="3">
                  <c:v>4.3260000000000014</c:v>
                </c:pt>
                <c:pt idx="4">
                  <c:v>11.255000000000001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803-A8ED-CD812C1D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'6'!$E$29:$E$33</c:f>
              <c:numCache>
                <c:formatCode>General</c:formatCode>
                <c:ptCount val="5"/>
                <c:pt idx="0">
                  <c:v>0</c:v>
                </c:pt>
                <c:pt idx="1">
                  <c:v>1.9596315892612187E-3</c:v>
                </c:pt>
                <c:pt idx="2">
                  <c:v>1.2084592145015106E-3</c:v>
                </c:pt>
                <c:pt idx="3">
                  <c:v>5.4504823676895407E-4</c:v>
                </c:pt>
                <c:pt idx="4">
                  <c:v>0</c:v>
                </c:pt>
              </c:numCache>
            </c:numRef>
          </c:xVal>
          <c:yVal>
            <c:numRef>
              <c:f>'6'!$F$29:$F$33</c:f>
              <c:numCache>
                <c:formatCode>General</c:formatCode>
                <c:ptCount val="5"/>
                <c:pt idx="0">
                  <c:v>0</c:v>
                </c:pt>
                <c:pt idx="1">
                  <c:v>1.7857142857142876</c:v>
                </c:pt>
                <c:pt idx="2">
                  <c:v>0.42247570764681025</c:v>
                </c:pt>
                <c:pt idx="3">
                  <c:v>0.23116042533518255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3-4BD1-BF64-84A07A663362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'6'!$H$42:$H$46</c:f>
              <c:numCache>
                <c:formatCode>General</c:formatCode>
                <c:ptCount val="5"/>
                <c:pt idx="0">
                  <c:v>0</c:v>
                </c:pt>
                <c:pt idx="1">
                  <c:v>1.9596315892612187E-3</c:v>
                </c:pt>
                <c:pt idx="2">
                  <c:v>1.2084592145015106E-3</c:v>
                </c:pt>
                <c:pt idx="3">
                  <c:v>5.4504823676895407E-4</c:v>
                </c:pt>
                <c:pt idx="4">
                  <c:v>0</c:v>
                </c:pt>
              </c:numCache>
            </c:numRef>
          </c:xVal>
          <c:yVal>
            <c:numRef>
              <c:f>'6'!$I$42:$I$46</c:f>
              <c:numCache>
                <c:formatCode>General</c:formatCode>
                <c:ptCount val="5"/>
                <c:pt idx="0">
                  <c:v>0.81187909378786571</c:v>
                </c:pt>
                <c:pt idx="1">
                  <c:v>0.81383872378614297</c:v>
                </c:pt>
                <c:pt idx="2">
                  <c:v>0.8130875520212445</c:v>
                </c:pt>
                <c:pt idx="3">
                  <c:v>0.8124241415821214</c:v>
                </c:pt>
                <c:pt idx="4">
                  <c:v>0.81187909378786571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3-4BD1-BF64-84A07A663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'6'!$S$30:$S$35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150</c:v>
                </c:pt>
                <c:pt idx="2">
                  <c:v>510.3</c:v>
                </c:pt>
                <c:pt idx="3">
                  <c:v>827.5</c:v>
                </c:pt>
                <c:pt idx="4">
                  <c:v>1834.7</c:v>
                </c:pt>
                <c:pt idx="5">
                  <c:v>5018.8999999999996</c:v>
                </c:pt>
              </c:numCache>
            </c:numRef>
          </c:xVal>
          <c:yVal>
            <c:numRef>
              <c:f>'6'!$T$30:$T$35</c:f>
              <c:numCache>
                <c:formatCode>General</c:formatCode>
                <c:ptCount val="6"/>
                <c:pt idx="0">
                  <c:v>9.9999999999999868E-7</c:v>
                </c:pt>
                <c:pt idx="1">
                  <c:v>1.2216788051740408</c:v>
                </c:pt>
                <c:pt idx="2">
                  <c:v>1.2287446772596382</c:v>
                </c:pt>
                <c:pt idx="3">
                  <c:v>1.2298798542839724</c:v>
                </c:pt>
                <c:pt idx="4">
                  <c:v>1.230884151291457</c:v>
                </c:pt>
                <c:pt idx="5">
                  <c:v>1.2314082892760312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3-410D-88BE-C4C77E5BFCF5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('6'!$B$28,'6'!$B$30:$B$32)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510.3</c:v>
                </c:pt>
                <c:pt idx="2">
                  <c:v>827.5</c:v>
                </c:pt>
                <c:pt idx="3">
                  <c:v>1834.7</c:v>
                </c:pt>
              </c:numCache>
            </c:numRef>
          </c:xVal>
          <c:yVal>
            <c:numRef>
              <c:f>('6'!$C$28,'6'!$C$30:$C$32)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0.55999999999999939</c:v>
                </c:pt>
                <c:pt idx="2">
                  <c:v>2.3670000000000004</c:v>
                </c:pt>
                <c:pt idx="3">
                  <c:v>4.3260000000000014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3-410D-88BE-C4C77E5B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'7'!$E$4:$E$8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2.4090580582992048E-3</c:v>
                </c:pt>
                <c:pt idx="2">
                  <c:v>1.2813941568426449E-3</c:v>
                </c:pt>
                <c:pt idx="3">
                  <c:v>5.2681487725213358E-4</c:v>
                </c:pt>
                <c:pt idx="4">
                  <c:v>2.2435609799874361E-4</c:v>
                </c:pt>
              </c:numCache>
            </c:numRef>
          </c:xVal>
          <c:yVal>
            <c:numRef>
              <c:f>'7'!$F$4:$F$8</c:f>
              <c:numCache>
                <c:formatCode>General</c:formatCode>
                <c:ptCount val="5"/>
                <c:pt idx="0">
                  <c:v>1.3642564802182808</c:v>
                </c:pt>
                <c:pt idx="1">
                  <c:v>1.3869625520110964</c:v>
                </c:pt>
                <c:pt idx="2">
                  <c:v>0.70274068868587458</c:v>
                </c:pt>
                <c:pt idx="3">
                  <c:v>0.40338846308995585</c:v>
                </c:pt>
                <c:pt idx="4">
                  <c:v>0.31133250311332522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9-4238-BE7D-32D521F2FD3F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'7'!$H$18:$H$22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2.4090580582992048E-3</c:v>
                </c:pt>
                <c:pt idx="2">
                  <c:v>1.2813941568426449E-3</c:v>
                </c:pt>
                <c:pt idx="3">
                  <c:v>5.2681487725213358E-4</c:v>
                </c:pt>
                <c:pt idx="4">
                  <c:v>2.2435609799874361E-4</c:v>
                </c:pt>
              </c:numCache>
            </c:numRef>
          </c:xVal>
          <c:yVal>
            <c:numRef>
              <c:f>'7'!$I$18:$I$22</c:f>
              <c:numCache>
                <c:formatCode>General</c:formatCode>
                <c:ptCount val="5"/>
                <c:pt idx="0">
                  <c:v>1.5371153975653513</c:v>
                </c:pt>
                <c:pt idx="1">
                  <c:v>0.86339037288245901</c:v>
                </c:pt>
                <c:pt idx="2">
                  <c:v>0.68494856206177368</c:v>
                </c:pt>
                <c:pt idx="3">
                  <c:v>0.56554375280612701</c:v>
                </c:pt>
                <c:pt idx="4">
                  <c:v>0.51768260180282166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9-4238-BE7D-32D521F2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'7'!$S$5:$S$10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150</c:v>
                </c:pt>
                <c:pt idx="2">
                  <c:v>415.1</c:v>
                </c:pt>
                <c:pt idx="3">
                  <c:v>780.4</c:v>
                </c:pt>
                <c:pt idx="4">
                  <c:v>1898.2</c:v>
                </c:pt>
                <c:pt idx="5">
                  <c:v>4457.2</c:v>
                </c:pt>
              </c:numCache>
            </c:numRef>
          </c:xVal>
          <c:yVal>
            <c:numRef>
              <c:f>'7'!$T$5:$T$10</c:f>
              <c:numCache>
                <c:formatCode>General</c:formatCode>
                <c:ptCount val="6"/>
                <c:pt idx="0">
                  <c:v>6.3195049009763112E-9</c:v>
                </c:pt>
                <c:pt idx="1">
                  <c:v>0.65056924261113225</c:v>
                </c:pt>
                <c:pt idx="2">
                  <c:v>1.1582246355857142</c:v>
                </c:pt>
                <c:pt idx="3">
                  <c:v>1.4599636460143597</c:v>
                </c:pt>
                <c:pt idx="4">
                  <c:v>1.768209789319003</c:v>
                </c:pt>
                <c:pt idx="5">
                  <c:v>1.9316855473170538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E-4551-842A-0E1210252F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'7'!$B$4:$B$8</c:f>
              <c:numCache>
                <c:formatCode>General</c:formatCode>
                <c:ptCount val="5"/>
                <c:pt idx="0">
                  <c:v>150</c:v>
                </c:pt>
                <c:pt idx="1">
                  <c:v>415.1</c:v>
                </c:pt>
                <c:pt idx="2">
                  <c:v>780.4</c:v>
                </c:pt>
                <c:pt idx="3">
                  <c:v>1898.2</c:v>
                </c:pt>
                <c:pt idx="4">
                  <c:v>4457.2</c:v>
                </c:pt>
              </c:numCache>
            </c:numRef>
          </c:xVal>
          <c:yVal>
            <c:numRef>
              <c:f>'7'!$C$4:$C$8</c:f>
              <c:numCache>
                <c:formatCode>General</c:formatCode>
                <c:ptCount val="5"/>
                <c:pt idx="0">
                  <c:v>0.7330000000000001</c:v>
                </c:pt>
                <c:pt idx="1">
                  <c:v>0.72099999999999964</c:v>
                </c:pt>
                <c:pt idx="2">
                  <c:v>1.4230000000000007</c:v>
                </c:pt>
                <c:pt idx="3">
                  <c:v>2.4789999999999988</c:v>
                </c:pt>
                <c:pt idx="4">
                  <c:v>3.211999999999998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E-4551-842A-0E121025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'7'!$E$29:$E$33</c:f>
              <c:numCache>
                <c:formatCode>General</c:formatCode>
                <c:ptCount val="5"/>
                <c:pt idx="0">
                  <c:v>0</c:v>
                </c:pt>
                <c:pt idx="1">
                  <c:v>2.4090580582992048E-3</c:v>
                </c:pt>
                <c:pt idx="2">
                  <c:v>1.2813941568426449E-3</c:v>
                </c:pt>
                <c:pt idx="3">
                  <c:v>5.2681487725213358E-4</c:v>
                </c:pt>
                <c:pt idx="4">
                  <c:v>2.2435609799874361E-4</c:v>
                </c:pt>
              </c:numCache>
            </c:numRef>
          </c:xVal>
          <c:yVal>
            <c:numRef>
              <c:f>'7'!$F$29:$F$33</c:f>
              <c:numCache>
                <c:formatCode>General</c:formatCode>
                <c:ptCount val="5"/>
                <c:pt idx="0">
                  <c:v>0</c:v>
                </c:pt>
                <c:pt idx="1">
                  <c:v>1.3869625520110964</c:v>
                </c:pt>
                <c:pt idx="2">
                  <c:v>0.70274068868587458</c:v>
                </c:pt>
                <c:pt idx="3">
                  <c:v>0.40338846308995585</c:v>
                </c:pt>
                <c:pt idx="4">
                  <c:v>0.31133250311332522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6-4D0C-9E6F-16E46D21B0A2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'7'!$H$42:$H$46</c:f>
              <c:numCache>
                <c:formatCode>General</c:formatCode>
                <c:ptCount val="5"/>
                <c:pt idx="0">
                  <c:v>0</c:v>
                </c:pt>
                <c:pt idx="1">
                  <c:v>2.4090580582992048E-3</c:v>
                </c:pt>
                <c:pt idx="2">
                  <c:v>1.2813941568426449E-3</c:v>
                </c:pt>
                <c:pt idx="3">
                  <c:v>5.2681487725213358E-4</c:v>
                </c:pt>
                <c:pt idx="4">
                  <c:v>2.2435609799874361E-4</c:v>
                </c:pt>
              </c:numCache>
            </c:numRef>
          </c:xVal>
          <c:yVal>
            <c:numRef>
              <c:f>'7'!$I$42:$I$46</c:f>
              <c:numCache>
                <c:formatCode>General</c:formatCode>
                <c:ptCount val="5"/>
                <c:pt idx="0">
                  <c:v>0.69999564631143585</c:v>
                </c:pt>
                <c:pt idx="1">
                  <c:v>0.70240470268340494</c:v>
                </c:pt>
                <c:pt idx="2">
                  <c:v>0.70127703957130816</c:v>
                </c:pt>
                <c:pt idx="3">
                  <c:v>0.70052246081991987</c:v>
                </c:pt>
                <c:pt idx="4">
                  <c:v>0.70022000225238634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6-4D0C-9E6F-16E46D21B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'7'!$S$30:$S$35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150</c:v>
                </c:pt>
                <c:pt idx="2">
                  <c:v>415.1</c:v>
                </c:pt>
                <c:pt idx="3">
                  <c:v>780.4</c:v>
                </c:pt>
                <c:pt idx="4">
                  <c:v>1898.2</c:v>
                </c:pt>
                <c:pt idx="5">
                  <c:v>4457.2</c:v>
                </c:pt>
              </c:numCache>
            </c:numRef>
          </c:xVal>
          <c:yVal>
            <c:numRef>
              <c:f>'7'!$T$30:$T$35</c:f>
              <c:numCache>
                <c:formatCode>General</c:formatCode>
                <c:ptCount val="6"/>
                <c:pt idx="0">
                  <c:v>9.9999999999999826E-7</c:v>
                </c:pt>
                <c:pt idx="1">
                  <c:v>1.4151030672478502</c:v>
                </c:pt>
                <c:pt idx="2">
                  <c:v>1.4236806732353702</c:v>
                </c:pt>
                <c:pt idx="3">
                  <c:v>1.4259699713130516</c:v>
                </c:pt>
                <c:pt idx="4">
                  <c:v>1.4275059772238559</c:v>
                </c:pt>
                <c:pt idx="5">
                  <c:v>1.4281225854493105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9-4944-9486-4902FF237DDA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('7'!$B$28,'7'!$B$30:$B$33)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415.1</c:v>
                </c:pt>
                <c:pt idx="2">
                  <c:v>780.4</c:v>
                </c:pt>
                <c:pt idx="3">
                  <c:v>1898.2</c:v>
                </c:pt>
                <c:pt idx="4">
                  <c:v>4457.2</c:v>
                </c:pt>
              </c:numCache>
            </c:numRef>
          </c:xVal>
          <c:yVal>
            <c:numRef>
              <c:f>('7'!$C$28,'7'!$C$30:$C$33)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0.72099999999999964</c:v>
                </c:pt>
                <c:pt idx="2">
                  <c:v>1.4230000000000007</c:v>
                </c:pt>
                <c:pt idx="3">
                  <c:v>2.4789999999999988</c:v>
                </c:pt>
                <c:pt idx="4">
                  <c:v>3.211999999999998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9-4944-9486-4902FF23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'8'!$E$4:$E$8</c:f>
              <c:numCache>
                <c:formatCode>General</c:formatCode>
                <c:ptCount val="5"/>
                <c:pt idx="0">
                  <c:v>0</c:v>
                </c:pt>
                <c:pt idx="1">
                  <c:v>2.7862914460852605E-3</c:v>
                </c:pt>
                <c:pt idx="2">
                  <c:v>1.1909015124449208E-3</c:v>
                </c:pt>
                <c:pt idx="3">
                  <c:v>5.6818181818181815E-4</c:v>
                </c:pt>
                <c:pt idx="4">
                  <c:v>2.3113905325443788E-4</c:v>
                </c:pt>
              </c:numCache>
            </c:numRef>
          </c:xVal>
          <c:yVal>
            <c:numRef>
              <c:f>'8'!$F$4:$F$8</c:f>
              <c:numCache>
                <c:formatCode>General</c:formatCode>
                <c:ptCount val="5"/>
                <c:pt idx="0">
                  <c:v>0</c:v>
                </c:pt>
                <c:pt idx="1">
                  <c:v>0.84104289318755221</c:v>
                </c:pt>
                <c:pt idx="2">
                  <c:v>1.5408320493066261</c:v>
                </c:pt>
                <c:pt idx="3">
                  <c:v>0.3301419610432485</c:v>
                </c:pt>
                <c:pt idx="4">
                  <c:v>0.27502750275027477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D-44A8-9F4C-BE60721ED12C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'8'!$H$18:$H$22</c:f>
              <c:numCache>
                <c:formatCode>General</c:formatCode>
                <c:ptCount val="5"/>
                <c:pt idx="0">
                  <c:v>0</c:v>
                </c:pt>
                <c:pt idx="1">
                  <c:v>2.7862914460852605E-3</c:v>
                </c:pt>
                <c:pt idx="2">
                  <c:v>1.1909015124449208E-3</c:v>
                </c:pt>
                <c:pt idx="3">
                  <c:v>5.6818181818181815E-4</c:v>
                </c:pt>
                <c:pt idx="4">
                  <c:v>2.3113905325443788E-4</c:v>
                </c:pt>
              </c:numCache>
            </c:numRef>
          </c:xVal>
          <c:yVal>
            <c:numRef>
              <c:f>'8'!$I$18:$I$22</c:f>
              <c:numCache>
                <c:formatCode>General</c:formatCode>
                <c:ptCount val="5"/>
                <c:pt idx="0">
                  <c:v>0.47950079866772205</c:v>
                </c:pt>
                <c:pt idx="1">
                  <c:v>1.1031063171429987</c:v>
                </c:pt>
                <c:pt idx="2">
                  <c:v>0.74603887248072287</c:v>
                </c:pt>
                <c:pt idx="3">
                  <c:v>0.60666671945225437</c:v>
                </c:pt>
                <c:pt idx="4">
                  <c:v>0.53123249721172561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D-44A8-9F4C-BE60721E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'1'!$E$29:$E$33</c:f>
              <c:numCache>
                <c:formatCode>General</c:formatCode>
                <c:ptCount val="5"/>
                <c:pt idx="0">
                  <c:v>5.6497175141242938E-3</c:v>
                </c:pt>
                <c:pt idx="1">
                  <c:v>3.0409001064315034E-3</c:v>
                </c:pt>
                <c:pt idx="2">
                  <c:v>1.1866619200189864E-3</c:v>
                </c:pt>
                <c:pt idx="3">
                  <c:v>5.2331362185357685E-4</c:v>
                </c:pt>
                <c:pt idx="4">
                  <c:v>0</c:v>
                </c:pt>
              </c:numCache>
            </c:numRef>
          </c:xVal>
          <c:yVal>
            <c:numRef>
              <c:f>'1'!$F$29:$F$33</c:f>
              <c:numCache>
                <c:formatCode>General</c:formatCode>
                <c:ptCount val="5"/>
                <c:pt idx="0">
                  <c:v>2.6315789473684212</c:v>
                </c:pt>
                <c:pt idx="1">
                  <c:v>1.1383039271485491</c:v>
                </c:pt>
                <c:pt idx="2">
                  <c:v>0.72568940493468825</c:v>
                </c:pt>
                <c:pt idx="3">
                  <c:v>1.0869565217391304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8-45C1-9A8C-7B66465A18CE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'1'!$H$42:$H$46</c:f>
              <c:numCache>
                <c:formatCode>General</c:formatCode>
                <c:ptCount val="5"/>
                <c:pt idx="0">
                  <c:v>5.6497175141242938E-3</c:v>
                </c:pt>
                <c:pt idx="1">
                  <c:v>3.0409001064315034E-3</c:v>
                </c:pt>
                <c:pt idx="2">
                  <c:v>1.1866619200189864E-3</c:v>
                </c:pt>
                <c:pt idx="3">
                  <c:v>5.2331362185357685E-4</c:v>
                </c:pt>
                <c:pt idx="4">
                  <c:v>0</c:v>
                </c:pt>
              </c:numCache>
            </c:numRef>
          </c:xVal>
          <c:yVal>
            <c:numRef>
              <c:f>'1'!$I$42:$I$46</c:f>
              <c:numCache>
                <c:formatCode>General</c:formatCode>
                <c:ptCount val="5"/>
                <c:pt idx="0">
                  <c:v>1.3986817639152029</c:v>
                </c:pt>
                <c:pt idx="1">
                  <c:v>1.3960729501416764</c:v>
                </c:pt>
                <c:pt idx="2">
                  <c:v>1.3942187145382769</c:v>
                </c:pt>
                <c:pt idx="3">
                  <c:v>1.3935553671641772</c:v>
                </c:pt>
                <c:pt idx="4">
                  <c:v>1.3930320542713162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8-45C1-9A8C-7B66465A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'8'!$S$5:$S$10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24</c:v>
                </c:pt>
                <c:pt idx="2">
                  <c:v>358.9</c:v>
                </c:pt>
                <c:pt idx="3">
                  <c:v>839.7</c:v>
                </c:pt>
                <c:pt idx="4">
                  <c:v>1760</c:v>
                </c:pt>
                <c:pt idx="5">
                  <c:v>4326.3999999999996</c:v>
                </c:pt>
              </c:numCache>
            </c:numRef>
          </c:xVal>
          <c:yVal>
            <c:numRef>
              <c:f>'8'!$T$5:$T$10</c:f>
              <c:numCache>
                <c:formatCode>General</c:formatCode>
                <c:ptCount val="6"/>
                <c:pt idx="0">
                  <c:v>4.46803525236331E-9</c:v>
                </c:pt>
                <c:pt idx="1">
                  <c:v>0.10198876400675165</c:v>
                </c:pt>
                <c:pt idx="2">
                  <c:v>0.9065309340172758</c:v>
                </c:pt>
                <c:pt idx="3">
                  <c:v>1.3404127276569484</c:v>
                </c:pt>
                <c:pt idx="4">
                  <c:v>1.6483515049298854</c:v>
                </c:pt>
                <c:pt idx="5">
                  <c:v>1.8824149600197455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D-4771-B2CF-A666E4AA6B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'8'!$B$4:$B$8</c:f>
              <c:numCache>
                <c:formatCode>General</c:formatCode>
                <c:ptCount val="5"/>
                <c:pt idx="0">
                  <c:v>24</c:v>
                </c:pt>
                <c:pt idx="1">
                  <c:v>358.9</c:v>
                </c:pt>
                <c:pt idx="2">
                  <c:v>839.7</c:v>
                </c:pt>
                <c:pt idx="3">
                  <c:v>1760</c:v>
                </c:pt>
                <c:pt idx="4">
                  <c:v>4326.3999999999996</c:v>
                </c:pt>
              </c:numCache>
            </c:numRef>
          </c:xVal>
          <c:yVal>
            <c:numRef>
              <c:f>'8'!$C$4:$C$8</c:f>
              <c:numCache>
                <c:formatCode>General</c:formatCode>
                <c:ptCount val="5"/>
                <c:pt idx="0">
                  <c:v>1.849</c:v>
                </c:pt>
                <c:pt idx="1">
                  <c:v>1.1890000000000005</c:v>
                </c:pt>
                <c:pt idx="2">
                  <c:v>0.6489999999999998</c:v>
                </c:pt>
                <c:pt idx="3">
                  <c:v>3.0290000000000008</c:v>
                </c:pt>
                <c:pt idx="4">
                  <c:v>3.6360000000000037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D-4771-B2CF-A666E4AA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'8'!$E$29:$E$33</c:f>
              <c:numCache>
                <c:formatCode>General</c:formatCode>
                <c:ptCount val="5"/>
                <c:pt idx="0">
                  <c:v>0</c:v>
                </c:pt>
                <c:pt idx="1">
                  <c:v>2.7862914460852605E-3</c:v>
                </c:pt>
                <c:pt idx="2">
                  <c:v>1.1909015124449208E-3</c:v>
                </c:pt>
                <c:pt idx="3">
                  <c:v>5.6818181818181815E-4</c:v>
                </c:pt>
                <c:pt idx="4">
                  <c:v>2.3113905325443788E-4</c:v>
                </c:pt>
              </c:numCache>
            </c:numRef>
          </c:xVal>
          <c:yVal>
            <c:numRef>
              <c:f>'8'!$F$29:$F$33</c:f>
              <c:numCache>
                <c:formatCode>General</c:formatCode>
                <c:ptCount val="5"/>
                <c:pt idx="0">
                  <c:v>0</c:v>
                </c:pt>
                <c:pt idx="1">
                  <c:v>0.84104289318755221</c:v>
                </c:pt>
                <c:pt idx="2">
                  <c:v>1.5408320493066261</c:v>
                </c:pt>
                <c:pt idx="3">
                  <c:v>0.3301419610432485</c:v>
                </c:pt>
                <c:pt idx="4">
                  <c:v>0.27502750275027477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4-4717-82E6-4654A8A27777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'8'!$H$42:$H$46</c:f>
              <c:numCache>
                <c:formatCode>General</c:formatCode>
                <c:ptCount val="5"/>
                <c:pt idx="0">
                  <c:v>0</c:v>
                </c:pt>
                <c:pt idx="1">
                  <c:v>2.7862914460852605E-3</c:v>
                </c:pt>
                <c:pt idx="2">
                  <c:v>1.1909015124449208E-3</c:v>
                </c:pt>
                <c:pt idx="3">
                  <c:v>5.6818181818181815E-4</c:v>
                </c:pt>
                <c:pt idx="4">
                  <c:v>2.3113905325443788E-4</c:v>
                </c:pt>
              </c:numCache>
            </c:numRef>
          </c:xVal>
          <c:yVal>
            <c:numRef>
              <c:f>'8'!$I$42:$I$46</c:f>
              <c:numCache>
                <c:formatCode>General</c:formatCode>
                <c:ptCount val="5"/>
                <c:pt idx="0">
                  <c:v>0.9940892992017325</c:v>
                </c:pt>
                <c:pt idx="1">
                  <c:v>0.99687558787799524</c:v>
                </c:pt>
                <c:pt idx="2">
                  <c:v>0.99528019953031499</c:v>
                </c:pt>
                <c:pt idx="3">
                  <c:v>0.99465748045509084</c:v>
                </c:pt>
                <c:pt idx="4">
                  <c:v>0.99432043802521408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4-4717-82E6-4654A8A2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'8'!$S$30:$S$35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24</c:v>
                </c:pt>
                <c:pt idx="2">
                  <c:v>358.9</c:v>
                </c:pt>
                <c:pt idx="3">
                  <c:v>839.7</c:v>
                </c:pt>
                <c:pt idx="4">
                  <c:v>1760</c:v>
                </c:pt>
                <c:pt idx="5">
                  <c:v>4326.3999999999996</c:v>
                </c:pt>
              </c:numCache>
            </c:numRef>
          </c:xVal>
          <c:yVal>
            <c:numRef>
              <c:f>'8'!$T$30:$T$35</c:f>
              <c:numCache>
                <c:formatCode>General</c:formatCode>
                <c:ptCount val="6"/>
                <c:pt idx="0">
                  <c:v>1.0000000000000002E-6</c:v>
                </c:pt>
                <c:pt idx="1">
                  <c:v>0.96547842633189151</c:v>
                </c:pt>
                <c:pt idx="2">
                  <c:v>1.0031342046690654</c:v>
                </c:pt>
                <c:pt idx="3">
                  <c:v>1.0047421826254679</c:v>
                </c:pt>
                <c:pt idx="4">
                  <c:v>1.0053712153679923</c:v>
                </c:pt>
                <c:pt idx="5">
                  <c:v>1.0057120036535363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D-4EC0-B5EE-0616DEBAC9D3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('8'!$B$28,'8'!$B$30:$B$33)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358.9</c:v>
                </c:pt>
                <c:pt idx="2">
                  <c:v>839.7</c:v>
                </c:pt>
                <c:pt idx="3">
                  <c:v>1760</c:v>
                </c:pt>
                <c:pt idx="4">
                  <c:v>4326.3999999999996</c:v>
                </c:pt>
              </c:numCache>
            </c:numRef>
          </c:xVal>
          <c:yVal>
            <c:numRef>
              <c:f>('8'!$C$28,'8'!$C$30:$C$33)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1.1890000000000005</c:v>
                </c:pt>
                <c:pt idx="2">
                  <c:v>0.6489999999999998</c:v>
                </c:pt>
                <c:pt idx="3">
                  <c:v>3.0290000000000008</c:v>
                </c:pt>
                <c:pt idx="4">
                  <c:v>3.6360000000000037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D-4EC0-B5EE-0616DEBA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'9'!$E$4:$E$8</c:f>
              <c:numCache>
                <c:formatCode>General</c:formatCode>
                <c:ptCount val="5"/>
                <c:pt idx="0">
                  <c:v>0</c:v>
                </c:pt>
                <c:pt idx="1">
                  <c:v>2.2456770716370983E-3</c:v>
                </c:pt>
                <c:pt idx="2">
                  <c:v>1.0848340203948796E-3</c:v>
                </c:pt>
                <c:pt idx="3">
                  <c:v>5.308137374595254E-4</c:v>
                </c:pt>
                <c:pt idx="4">
                  <c:v>2.2546897546897547E-4</c:v>
                </c:pt>
              </c:numCache>
            </c:numRef>
          </c:xVal>
          <c:yVal>
            <c:numRef>
              <c:f>'9'!$F$4:$F$8</c:f>
              <c:numCache>
                <c:formatCode>General</c:formatCode>
                <c:ptCount val="5"/>
                <c:pt idx="0">
                  <c:v>0</c:v>
                </c:pt>
                <c:pt idx="1">
                  <c:v>0.9487666034155593</c:v>
                </c:pt>
                <c:pt idx="2">
                  <c:v>0.44702726866338838</c:v>
                </c:pt>
                <c:pt idx="3">
                  <c:v>0.23452157598499057</c:v>
                </c:pt>
                <c:pt idx="4">
                  <c:v>0.21123785382340493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7-471B-9AA2-A910C5D41880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'9'!$H$18:$H$22</c:f>
              <c:numCache>
                <c:formatCode>General</c:formatCode>
                <c:ptCount val="5"/>
                <c:pt idx="0">
                  <c:v>0</c:v>
                </c:pt>
                <c:pt idx="1">
                  <c:v>2.2456770716370983E-3</c:v>
                </c:pt>
                <c:pt idx="2">
                  <c:v>1.0848340203948796E-3</c:v>
                </c:pt>
                <c:pt idx="3">
                  <c:v>5.308137374595254E-4</c:v>
                </c:pt>
                <c:pt idx="4">
                  <c:v>2.2546897546897547E-4</c:v>
                </c:pt>
              </c:numCache>
            </c:numRef>
          </c:xVal>
          <c:yVal>
            <c:numRef>
              <c:f>'9'!$I$18:$I$22</c:f>
              <c:numCache>
                <c:formatCode>General</c:formatCode>
                <c:ptCount val="5"/>
                <c:pt idx="0">
                  <c:v>7.0898983577911523E-2</c:v>
                </c:pt>
                <c:pt idx="1">
                  <c:v>0.92699041023765893</c:v>
                </c:pt>
                <c:pt idx="2">
                  <c:v>0.48445671008212676</c:v>
                </c:pt>
                <c:pt idx="3">
                  <c:v>0.27325447606243064</c:v>
                </c:pt>
                <c:pt idx="4">
                  <c:v>0.15685170550512689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7-471B-9AA2-A910C5D4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'9'!$S$5:$S$10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126</c:v>
                </c:pt>
                <c:pt idx="2">
                  <c:v>445.3</c:v>
                </c:pt>
                <c:pt idx="3">
                  <c:v>921.8</c:v>
                </c:pt>
                <c:pt idx="4">
                  <c:v>1883.9</c:v>
                </c:pt>
                <c:pt idx="5">
                  <c:v>4435.2</c:v>
                </c:pt>
              </c:numCache>
            </c:numRef>
          </c:xVal>
          <c:yVal>
            <c:numRef>
              <c:f>'9'!$T$5:$T$10</c:f>
              <c:numCache>
                <c:formatCode>General</c:formatCode>
                <c:ptCount val="6"/>
                <c:pt idx="0">
                  <c:v>2.6231743494751621E-9</c:v>
                </c:pt>
                <c:pt idx="1">
                  <c:v>0.32295206134501753</c:v>
                </c:pt>
                <c:pt idx="2">
                  <c:v>1.0787598112731531</c:v>
                </c:pt>
                <c:pt idx="3">
                  <c:v>2.0641679208663999</c:v>
                </c:pt>
                <c:pt idx="4">
                  <c:v>3.6595923858591406</c:v>
                </c:pt>
                <c:pt idx="5">
                  <c:v>6.3754486875331668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9-424B-94F6-80E1A24130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'9'!$B$4:$B$8</c:f>
              <c:numCache>
                <c:formatCode>General</c:formatCode>
                <c:ptCount val="5"/>
                <c:pt idx="0">
                  <c:v>126</c:v>
                </c:pt>
                <c:pt idx="1">
                  <c:v>445.3</c:v>
                </c:pt>
                <c:pt idx="2">
                  <c:v>921.8</c:v>
                </c:pt>
                <c:pt idx="3">
                  <c:v>1883.9</c:v>
                </c:pt>
                <c:pt idx="4">
                  <c:v>4435.2</c:v>
                </c:pt>
              </c:numCache>
            </c:numRef>
          </c:xVal>
          <c:yVal>
            <c:numRef>
              <c:f>'9'!$C$4:$C$8</c:f>
              <c:numCache>
                <c:formatCode>General</c:formatCode>
                <c:ptCount val="5"/>
                <c:pt idx="0">
                  <c:v>1.081</c:v>
                </c:pt>
                <c:pt idx="1">
                  <c:v>1.0540000000000005</c:v>
                </c:pt>
                <c:pt idx="2">
                  <c:v>2.2370000000000005</c:v>
                </c:pt>
                <c:pt idx="3">
                  <c:v>4.2640000000000011</c:v>
                </c:pt>
                <c:pt idx="4">
                  <c:v>4.7340000000000053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9-424B-94F6-80E1A241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'9'!$E$29:$E$33</c:f>
              <c:numCache>
                <c:formatCode>General</c:formatCode>
                <c:ptCount val="5"/>
                <c:pt idx="0">
                  <c:v>7.9365079365079361E-3</c:v>
                </c:pt>
                <c:pt idx="1">
                  <c:v>2.2456770716370983E-3</c:v>
                </c:pt>
                <c:pt idx="2">
                  <c:v>1.0848340203948796E-3</c:v>
                </c:pt>
                <c:pt idx="3">
                  <c:v>5.308137374595254E-4</c:v>
                </c:pt>
                <c:pt idx="4">
                  <c:v>0</c:v>
                </c:pt>
              </c:numCache>
            </c:numRef>
          </c:xVal>
          <c:yVal>
            <c:numRef>
              <c:f>'9'!$F$29:$F$33</c:f>
              <c:numCache>
                <c:formatCode>General</c:formatCode>
                <c:ptCount val="5"/>
                <c:pt idx="0">
                  <c:v>0.92506938020351526</c:v>
                </c:pt>
                <c:pt idx="1">
                  <c:v>0.9487666034155593</c:v>
                </c:pt>
                <c:pt idx="2">
                  <c:v>0.44702726866338838</c:v>
                </c:pt>
                <c:pt idx="3">
                  <c:v>0.23452157598499057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5-44F2-8E83-C952EB98E4D6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'9'!$H$42:$H$46</c:f>
              <c:numCache>
                <c:formatCode>General</c:formatCode>
                <c:ptCount val="5"/>
                <c:pt idx="0">
                  <c:v>7.9365079365079361E-3</c:v>
                </c:pt>
                <c:pt idx="1">
                  <c:v>2.2456770716370983E-3</c:v>
                </c:pt>
                <c:pt idx="2">
                  <c:v>1.0848340203948796E-3</c:v>
                </c:pt>
                <c:pt idx="3">
                  <c:v>5.308137374595254E-4</c:v>
                </c:pt>
                <c:pt idx="4">
                  <c:v>0</c:v>
                </c:pt>
              </c:numCache>
            </c:numRef>
          </c:xVal>
          <c:yVal>
            <c:numRef>
              <c:f>'9'!$I$42:$I$46</c:f>
              <c:numCache>
                <c:formatCode>General</c:formatCode>
                <c:ptCount val="5"/>
                <c:pt idx="0">
                  <c:v>0.64383325306254136</c:v>
                </c:pt>
                <c:pt idx="1">
                  <c:v>0.63814242581645131</c:v>
                </c:pt>
                <c:pt idx="2">
                  <c:v>0.63698158350338541</c:v>
                </c:pt>
                <c:pt idx="3">
                  <c:v>0.63642756357274977</c:v>
                </c:pt>
                <c:pt idx="4">
                  <c:v>0.63589675017283298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5-44F2-8E83-C952EB98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'9'!$S$30:$S$35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126</c:v>
                </c:pt>
                <c:pt idx="2">
                  <c:v>445.3</c:v>
                </c:pt>
                <c:pt idx="3">
                  <c:v>921.8</c:v>
                </c:pt>
                <c:pt idx="4">
                  <c:v>1883.9</c:v>
                </c:pt>
                <c:pt idx="5">
                  <c:v>4435.2</c:v>
                </c:pt>
              </c:numCache>
            </c:numRef>
          </c:xVal>
          <c:yVal>
            <c:numRef>
              <c:f>'9'!$T$30:$T$35</c:f>
              <c:numCache>
                <c:formatCode>General</c:formatCode>
                <c:ptCount val="6"/>
                <c:pt idx="0">
                  <c:v>9.9999999999999763E-7</c:v>
                </c:pt>
                <c:pt idx="1">
                  <c:v>1.5531971907994337</c:v>
                </c:pt>
                <c:pt idx="2">
                  <c:v>1.5670482944627626</c:v>
                </c:pt>
                <c:pt idx="3">
                  <c:v>1.5699041006806209</c:v>
                </c:pt>
                <c:pt idx="4">
                  <c:v>1.571270726217832</c:v>
                </c:pt>
                <c:pt idx="5">
                  <c:v>1.57202495074654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F-4FB3-B554-5D930FD91CF4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'9'!$B$28:$B$33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126</c:v>
                </c:pt>
                <c:pt idx="2">
                  <c:v>445.3</c:v>
                </c:pt>
                <c:pt idx="3">
                  <c:v>921.8</c:v>
                </c:pt>
                <c:pt idx="4">
                  <c:v>1883.9</c:v>
                </c:pt>
                <c:pt idx="5">
                  <c:v>4435.2</c:v>
                </c:pt>
              </c:numCache>
            </c:numRef>
          </c:xVal>
          <c:yVal>
            <c:numRef>
              <c:f>'9'!$C$28:$C$33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1.081</c:v>
                </c:pt>
                <c:pt idx="2">
                  <c:v>1.0540000000000005</c:v>
                </c:pt>
                <c:pt idx="3">
                  <c:v>2.2370000000000005</c:v>
                </c:pt>
                <c:pt idx="4">
                  <c:v>4.2640000000000011</c:v>
                </c:pt>
                <c:pt idx="5">
                  <c:v>4.7340000000000053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F-4FB3-B554-5D930FD9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'10'!$E$4:$E$8</c:f>
              <c:numCache>
                <c:formatCode>General</c:formatCode>
                <c:ptCount val="5"/>
                <c:pt idx="0">
                  <c:v>0</c:v>
                </c:pt>
                <c:pt idx="1">
                  <c:v>2.1934634788330775E-3</c:v>
                </c:pt>
                <c:pt idx="2">
                  <c:v>1.474491300501327E-3</c:v>
                </c:pt>
                <c:pt idx="3">
                  <c:v>5.74349549135604E-4</c:v>
                </c:pt>
                <c:pt idx="4">
                  <c:v>2.1809775141218293E-4</c:v>
                </c:pt>
              </c:numCache>
            </c:numRef>
          </c:xVal>
          <c:yVal>
            <c:numRef>
              <c:f>'10'!$F$4:$F$8</c:f>
              <c:numCache>
                <c:formatCode>General</c:formatCode>
                <c:ptCount val="5"/>
                <c:pt idx="0">
                  <c:v>0</c:v>
                </c:pt>
                <c:pt idx="1">
                  <c:v>1.1820330969267137</c:v>
                </c:pt>
                <c:pt idx="2">
                  <c:v>0.5260389268805894</c:v>
                </c:pt>
                <c:pt idx="3">
                  <c:v>0.19677292404565122</c:v>
                </c:pt>
                <c:pt idx="4">
                  <c:v>0.20777062123415782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C-49A3-92B8-D29FC402121A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'10'!$H$18:$H$22</c:f>
              <c:numCache>
                <c:formatCode>General</c:formatCode>
                <c:ptCount val="5"/>
                <c:pt idx="0">
                  <c:v>0</c:v>
                </c:pt>
                <c:pt idx="1">
                  <c:v>2.1934634788330775E-3</c:v>
                </c:pt>
                <c:pt idx="2">
                  <c:v>1.474491300501327E-3</c:v>
                </c:pt>
                <c:pt idx="3">
                  <c:v>5.74349549135604E-4</c:v>
                </c:pt>
                <c:pt idx="4">
                  <c:v>2.1809775141218293E-4</c:v>
                </c:pt>
              </c:numCache>
            </c:numRef>
          </c:xVal>
          <c:yVal>
            <c:numRef>
              <c:f>'10'!$I$18:$I$22</c:f>
              <c:numCache>
                <c:formatCode>General</c:formatCode>
                <c:ptCount val="5"/>
                <c:pt idx="0">
                  <c:v>-1.8386240228448147E-2</c:v>
                </c:pt>
                <c:pt idx="1">
                  <c:v>1.0566879785401881</c:v>
                </c:pt>
                <c:pt idx="2">
                  <c:v>0.70430077884648745</c:v>
                </c:pt>
                <c:pt idx="3">
                  <c:v>0.26311760006597573</c:v>
                </c:pt>
                <c:pt idx="4">
                  <c:v>8.8509211634460266E-2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C-49A3-92B8-D29FC402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'10'!$S$5:$S$10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120</c:v>
                </c:pt>
                <c:pt idx="2">
                  <c:v>455.9</c:v>
                </c:pt>
                <c:pt idx="3">
                  <c:v>678.2</c:v>
                </c:pt>
                <c:pt idx="4">
                  <c:v>1741.1</c:v>
                </c:pt>
                <c:pt idx="5">
                  <c:v>4585.1000000000004</c:v>
                </c:pt>
              </c:numCache>
            </c:numRef>
          </c:xVal>
          <c:yVal>
            <c:numRef>
              <c:f>'10'!$T$5:$T$10</c:f>
              <c:numCache>
                <c:formatCode>General</c:formatCode>
                <c:ptCount val="6"/>
                <c:pt idx="0">
                  <c:v>2.0402902800773143E-9</c:v>
                </c:pt>
                <c:pt idx="1">
                  <c:v>0.24594196399411791</c:v>
                </c:pt>
                <c:pt idx="2">
                  <c:v>0.94635315278356569</c:v>
                </c:pt>
                <c:pt idx="3">
                  <c:v>1.4198479258219938</c:v>
                </c:pt>
                <c:pt idx="4">
                  <c:v>3.8005819441544539</c:v>
                </c:pt>
                <c:pt idx="5">
                  <c:v>11.298259034663678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C-4AB0-823B-6E76CFFAB8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'10'!$B$4:$B$8</c:f>
              <c:numCache>
                <c:formatCode>General</c:formatCode>
                <c:ptCount val="5"/>
                <c:pt idx="0">
                  <c:v>120</c:v>
                </c:pt>
                <c:pt idx="1">
                  <c:v>455.9</c:v>
                </c:pt>
                <c:pt idx="2">
                  <c:v>678.2</c:v>
                </c:pt>
                <c:pt idx="3">
                  <c:v>1741.1</c:v>
                </c:pt>
                <c:pt idx="4">
                  <c:v>4585.1000000000004</c:v>
                </c:pt>
              </c:numCache>
            </c:numRef>
          </c:xVal>
          <c:yVal>
            <c:numRef>
              <c:f>'10'!$C$4:$C$8</c:f>
              <c:numCache>
                <c:formatCode>General</c:formatCode>
                <c:ptCount val="5"/>
                <c:pt idx="0">
                  <c:v>1.2909999999999999</c:v>
                </c:pt>
                <c:pt idx="1">
                  <c:v>0.8460000000000002</c:v>
                </c:pt>
                <c:pt idx="2">
                  <c:v>1.9009999999999991</c:v>
                </c:pt>
                <c:pt idx="3">
                  <c:v>5.0820000000000025</c:v>
                </c:pt>
                <c:pt idx="4">
                  <c:v>4.8129999999999926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C-4AB0-823B-6E76CFFA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'10'!$E$29:$E$33</c:f>
              <c:numCache>
                <c:formatCode>General</c:formatCode>
                <c:ptCount val="5"/>
                <c:pt idx="0">
                  <c:v>0</c:v>
                </c:pt>
                <c:pt idx="1">
                  <c:v>2.1934634788330775E-3</c:v>
                </c:pt>
                <c:pt idx="2">
                  <c:v>0</c:v>
                </c:pt>
                <c:pt idx="3">
                  <c:v>5.74349549135604E-4</c:v>
                </c:pt>
                <c:pt idx="4">
                  <c:v>2.1809775141218293E-4</c:v>
                </c:pt>
              </c:numCache>
            </c:numRef>
          </c:xVal>
          <c:yVal>
            <c:numRef>
              <c:f>'10'!$F$29:$F$33</c:f>
              <c:numCache>
                <c:formatCode>General</c:formatCode>
                <c:ptCount val="5"/>
                <c:pt idx="0">
                  <c:v>0</c:v>
                </c:pt>
                <c:pt idx="1">
                  <c:v>1.1820330969267137</c:v>
                </c:pt>
                <c:pt idx="2">
                  <c:v>0</c:v>
                </c:pt>
                <c:pt idx="3">
                  <c:v>0.19677292404565122</c:v>
                </c:pt>
                <c:pt idx="4">
                  <c:v>0.20777062123415782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A-462A-A887-F9F4D8E04DC6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'10'!$H$42:$H$46</c:f>
              <c:numCache>
                <c:formatCode>General</c:formatCode>
                <c:ptCount val="5"/>
                <c:pt idx="0">
                  <c:v>0</c:v>
                </c:pt>
                <c:pt idx="1">
                  <c:v>2.1934634788330775E-3</c:v>
                </c:pt>
                <c:pt idx="2">
                  <c:v>0</c:v>
                </c:pt>
                <c:pt idx="3">
                  <c:v>5.74349549135604E-4</c:v>
                </c:pt>
                <c:pt idx="4">
                  <c:v>2.1809775141218293E-4</c:v>
                </c:pt>
              </c:numCache>
            </c:numRef>
          </c:xVal>
          <c:yVal>
            <c:numRef>
              <c:f>'10'!$I$42:$I$46</c:f>
              <c:numCache>
                <c:formatCode>General</c:formatCode>
                <c:ptCount val="5"/>
                <c:pt idx="0">
                  <c:v>0.52786357732838951</c:v>
                </c:pt>
                <c:pt idx="1">
                  <c:v>0.53005703964937312</c:v>
                </c:pt>
                <c:pt idx="2">
                  <c:v>0.52786357732838951</c:v>
                </c:pt>
                <c:pt idx="3">
                  <c:v>0.52843792657434696</c:v>
                </c:pt>
                <c:pt idx="4">
                  <c:v>0.52808167496467584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A-462A-A887-F9F4D8E0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177</c:v>
                </c:pt>
                <c:pt idx="2">
                  <c:v>328.85</c:v>
                </c:pt>
                <c:pt idx="3">
                  <c:v>842.7</c:v>
                </c:pt>
                <c:pt idx="4">
                  <c:v>1910.9</c:v>
                </c:pt>
                <c:pt idx="5">
                  <c:v>4895.5</c:v>
                </c:pt>
              </c:numCache>
            </c:numRef>
          </c:xVal>
          <c:yVal>
            <c:numRef>
              <c:f>'1'!$T$30:$T$35</c:f>
              <c:numCache>
                <c:formatCode>General</c:formatCode>
                <c:ptCount val="6"/>
                <c:pt idx="0">
                  <c:v>9.9999999999999445E-7</c:v>
                </c:pt>
                <c:pt idx="1">
                  <c:v>0.71495891760309427</c:v>
                </c:pt>
                <c:pt idx="2">
                  <c:v>0.71629494712186637</c:v>
                </c:pt>
                <c:pt idx="3">
                  <c:v>0.7172475807220603</c:v>
                </c:pt>
                <c:pt idx="4">
                  <c:v>0.71758899830076739</c:v>
                </c:pt>
                <c:pt idx="5">
                  <c:v>0.71775332248977364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F-473F-98E1-9940125F3D6A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'1'!$B$28:$B$32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177</c:v>
                </c:pt>
                <c:pt idx="2">
                  <c:v>328.85</c:v>
                </c:pt>
                <c:pt idx="3">
                  <c:v>842.7</c:v>
                </c:pt>
                <c:pt idx="4">
                  <c:v>1910.9</c:v>
                </c:pt>
              </c:numCache>
            </c:numRef>
          </c:xVal>
          <c:yVal>
            <c:numRef>
              <c:f>'1'!$C$28:$C$32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0.38</c:v>
                </c:pt>
                <c:pt idx="2">
                  <c:v>0.87849999999999961</c:v>
                </c:pt>
                <c:pt idx="3">
                  <c:v>1.3779999999999994</c:v>
                </c:pt>
                <c:pt idx="4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F-473F-98E1-9940125F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'10'!$S$30:$S$35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120</c:v>
                </c:pt>
                <c:pt idx="2">
                  <c:v>455.9</c:v>
                </c:pt>
                <c:pt idx="3">
                  <c:v>678.2</c:v>
                </c:pt>
                <c:pt idx="4">
                  <c:v>1741.1</c:v>
                </c:pt>
                <c:pt idx="5">
                  <c:v>4585.1000000000004</c:v>
                </c:pt>
              </c:numCache>
            </c:numRef>
          </c:xVal>
          <c:yVal>
            <c:numRef>
              <c:f>'10'!$T$30:$T$35</c:f>
              <c:numCache>
                <c:formatCode>General</c:formatCode>
                <c:ptCount val="6"/>
                <c:pt idx="0">
                  <c:v>9.9999999999999911E-7</c:v>
                </c:pt>
                <c:pt idx="1">
                  <c:v>1.8649865158113579</c:v>
                </c:pt>
                <c:pt idx="2">
                  <c:v>1.8865894143420658</c:v>
                </c:pt>
                <c:pt idx="3">
                  <c:v>1.8891518685981108</c:v>
                </c:pt>
                <c:pt idx="4">
                  <c:v>1.8923698502917887</c:v>
                </c:pt>
                <c:pt idx="5">
                  <c:v>1.8936464706276572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1-4AFD-966F-6BE181F2BF3A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('10'!$B$28,'10'!$B$30,'10'!$B$32:$B$33)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455.9</c:v>
                </c:pt>
                <c:pt idx="2">
                  <c:v>1741.1</c:v>
                </c:pt>
                <c:pt idx="3">
                  <c:v>4585.1000000000004</c:v>
                </c:pt>
              </c:numCache>
            </c:numRef>
          </c:xVal>
          <c:yVal>
            <c:numRef>
              <c:f>('10'!$C$28,'10'!$C$30,'10'!$C$32:$C$33)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0.8460000000000002</c:v>
                </c:pt>
                <c:pt idx="2">
                  <c:v>5.0820000000000025</c:v>
                </c:pt>
                <c:pt idx="3">
                  <c:v>4.8129999999999926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1-4AFD-966F-6BE181F2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'11'!$E$4:$E$8</c:f>
              <c:numCache>
                <c:formatCode>General</c:formatCode>
                <c:ptCount val="5"/>
                <c:pt idx="0">
                  <c:v>0</c:v>
                </c:pt>
                <c:pt idx="1">
                  <c:v>2.1431633090441492E-3</c:v>
                </c:pt>
                <c:pt idx="2">
                  <c:v>1.3234515616728428E-3</c:v>
                </c:pt>
                <c:pt idx="3">
                  <c:v>5.250997689561016E-4</c:v>
                </c:pt>
                <c:pt idx="4">
                  <c:v>2.0206510537695247E-4</c:v>
                </c:pt>
              </c:numCache>
            </c:numRef>
          </c:xVal>
          <c:yVal>
            <c:numRef>
              <c:f>'11'!$F$4:$F$8</c:f>
              <c:numCache>
                <c:formatCode>General</c:formatCode>
                <c:ptCount val="5"/>
                <c:pt idx="0">
                  <c:v>0</c:v>
                </c:pt>
                <c:pt idx="1">
                  <c:v>1.0141987829614603</c:v>
                </c:pt>
                <c:pt idx="2">
                  <c:v>0.57570523891767444</c:v>
                </c:pt>
                <c:pt idx="3">
                  <c:v>0.32351989647363322</c:v>
                </c:pt>
                <c:pt idx="4">
                  <c:v>0.14062719729995773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B-475F-AB85-D57F5923383E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'11'!$H$18:$H$22</c:f>
              <c:numCache>
                <c:formatCode>General</c:formatCode>
                <c:ptCount val="5"/>
                <c:pt idx="0">
                  <c:v>0</c:v>
                </c:pt>
                <c:pt idx="1">
                  <c:v>2.1431633090441492E-3</c:v>
                </c:pt>
                <c:pt idx="2">
                  <c:v>1.3234515616728428E-3</c:v>
                </c:pt>
                <c:pt idx="3">
                  <c:v>5.250997689561016E-4</c:v>
                </c:pt>
                <c:pt idx="4">
                  <c:v>2.0206510537695247E-4</c:v>
                </c:pt>
              </c:numCache>
            </c:numRef>
          </c:xVal>
          <c:yVal>
            <c:numRef>
              <c:f>'11'!$I$18:$I$22</c:f>
              <c:numCache>
                <c:formatCode>General</c:formatCode>
                <c:ptCount val="5"/>
                <c:pt idx="0">
                  <c:v>5.9622993631360033E-2</c:v>
                </c:pt>
                <c:pt idx="1">
                  <c:v>0.98743512808032197</c:v>
                </c:pt>
                <c:pt idx="2">
                  <c:v>0.63256786119870467</c:v>
                </c:pt>
                <c:pt idx="3">
                  <c:v>0.28694768483797917</c:v>
                </c:pt>
                <c:pt idx="4">
                  <c:v>0.14710044153571972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B-475F-AB85-D57F5923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'11'!$S$5:$S$10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36</c:v>
                </c:pt>
                <c:pt idx="2">
                  <c:v>466.6</c:v>
                </c:pt>
                <c:pt idx="3">
                  <c:v>755.6</c:v>
                </c:pt>
                <c:pt idx="4">
                  <c:v>1904.4</c:v>
                </c:pt>
                <c:pt idx="5">
                  <c:v>4948.8999999999996</c:v>
                </c:pt>
              </c:numCache>
            </c:numRef>
          </c:xVal>
          <c:yVal>
            <c:numRef>
              <c:f>'11'!$T$5:$T$10</c:f>
              <c:numCache>
                <c:formatCode>General</c:formatCode>
                <c:ptCount val="6"/>
                <c:pt idx="0">
                  <c:v>2.3099108420497572E-9</c:v>
                </c:pt>
                <c:pt idx="1">
                  <c:v>8.2746528339392153E-2</c:v>
                </c:pt>
                <c:pt idx="2">
                  <c:v>1.012724756859831</c:v>
                </c:pt>
                <c:pt idx="3">
                  <c:v>1.5808580570391579</c:v>
                </c:pt>
                <c:pt idx="4">
                  <c:v>3.4849558049741201</c:v>
                </c:pt>
                <c:pt idx="5">
                  <c:v>6.7980761278488391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9-4F38-89BD-2DDCD76918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'11'!$B$4:$B$8</c:f>
              <c:numCache>
                <c:formatCode>General</c:formatCode>
                <c:ptCount val="5"/>
                <c:pt idx="0">
                  <c:v>36</c:v>
                </c:pt>
                <c:pt idx="1">
                  <c:v>466.6</c:v>
                </c:pt>
                <c:pt idx="2">
                  <c:v>755.6</c:v>
                </c:pt>
                <c:pt idx="3">
                  <c:v>1904.4</c:v>
                </c:pt>
                <c:pt idx="4">
                  <c:v>4948.8999999999996</c:v>
                </c:pt>
              </c:numCache>
            </c:numRef>
          </c:xVal>
          <c:yVal>
            <c:numRef>
              <c:f>'11'!$C$4:$C$8</c:f>
              <c:numCache>
                <c:formatCode>General</c:formatCode>
                <c:ptCount val="5"/>
                <c:pt idx="0">
                  <c:v>1.9790000000000001</c:v>
                </c:pt>
                <c:pt idx="1">
                  <c:v>0.98600000000000021</c:v>
                </c:pt>
                <c:pt idx="2">
                  <c:v>1.7369999999999992</c:v>
                </c:pt>
                <c:pt idx="3">
                  <c:v>3.0909999999999993</c:v>
                </c:pt>
                <c:pt idx="4">
                  <c:v>7.1110000000000033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9-4F38-89BD-2DDCD769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'11'!$E$29:$E$33</c:f>
              <c:numCache>
                <c:formatCode>General</c:formatCode>
                <c:ptCount val="5"/>
                <c:pt idx="0">
                  <c:v>0</c:v>
                </c:pt>
                <c:pt idx="1">
                  <c:v>2.1431633090441492E-3</c:v>
                </c:pt>
                <c:pt idx="2">
                  <c:v>1.3234515616728428E-3</c:v>
                </c:pt>
                <c:pt idx="3">
                  <c:v>5.250997689561016E-4</c:v>
                </c:pt>
                <c:pt idx="4">
                  <c:v>0</c:v>
                </c:pt>
              </c:numCache>
            </c:numRef>
          </c:xVal>
          <c:yVal>
            <c:numRef>
              <c:f>'11'!$F$29:$F$33</c:f>
              <c:numCache>
                <c:formatCode>General</c:formatCode>
                <c:ptCount val="5"/>
                <c:pt idx="0">
                  <c:v>0</c:v>
                </c:pt>
                <c:pt idx="1">
                  <c:v>1.0141987829614603</c:v>
                </c:pt>
                <c:pt idx="2">
                  <c:v>0.57570523891767444</c:v>
                </c:pt>
                <c:pt idx="3">
                  <c:v>0.32351989647363322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C-4D92-AC9B-574B7B5CC611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'11'!$H$42:$H$46</c:f>
              <c:numCache>
                <c:formatCode>General</c:formatCode>
                <c:ptCount val="5"/>
                <c:pt idx="0">
                  <c:v>0</c:v>
                </c:pt>
                <c:pt idx="1">
                  <c:v>2.1431633090441492E-3</c:v>
                </c:pt>
                <c:pt idx="2">
                  <c:v>1.3234515616728428E-3</c:v>
                </c:pt>
                <c:pt idx="3">
                  <c:v>5.250997689561016E-4</c:v>
                </c:pt>
                <c:pt idx="4">
                  <c:v>0</c:v>
                </c:pt>
              </c:numCache>
            </c:numRef>
          </c:xVal>
          <c:yVal>
            <c:numRef>
              <c:f>'11'!$I$42:$I$46</c:f>
              <c:numCache>
                <c:formatCode>General</c:formatCode>
                <c:ptCount val="5"/>
                <c:pt idx="0">
                  <c:v>0.63647740194573998</c:v>
                </c:pt>
                <c:pt idx="1">
                  <c:v>0.63862056389070909</c:v>
                </c:pt>
                <c:pt idx="2">
                  <c:v>0.63780085266506581</c:v>
                </c:pt>
                <c:pt idx="3">
                  <c:v>0.63700250138048198</c:v>
                </c:pt>
                <c:pt idx="4">
                  <c:v>0.63647740194573998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C-4D92-AC9B-574B7B5C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'11'!$S$30:$S$35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36</c:v>
                </c:pt>
                <c:pt idx="2">
                  <c:v>466.6</c:v>
                </c:pt>
                <c:pt idx="3">
                  <c:v>755.6</c:v>
                </c:pt>
                <c:pt idx="4">
                  <c:v>1904.4</c:v>
                </c:pt>
                <c:pt idx="5">
                  <c:v>4948.8999999999996</c:v>
                </c:pt>
              </c:numCache>
            </c:numRef>
          </c:xVal>
          <c:yVal>
            <c:numRef>
              <c:f>'11'!$T$30:$T$35</c:f>
              <c:numCache>
                <c:formatCode>General</c:formatCode>
                <c:ptCount val="6"/>
                <c:pt idx="0">
                  <c:v>9.9999999999999953E-7</c:v>
                </c:pt>
                <c:pt idx="1">
                  <c:v>1.5054455834765161</c:v>
                </c:pt>
                <c:pt idx="2">
                  <c:v>1.5658750383915541</c:v>
                </c:pt>
                <c:pt idx="3">
                  <c:v>1.5678875244858588</c:v>
                </c:pt>
                <c:pt idx="4">
                  <c:v>1.5698525481969803</c:v>
                </c:pt>
                <c:pt idx="5">
                  <c:v>1.5706490501942232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9-4CDB-A1C4-6641F9C7352D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('11'!$B$28,'11'!$B$30:$B$32)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466.6</c:v>
                </c:pt>
                <c:pt idx="2">
                  <c:v>755.6</c:v>
                </c:pt>
                <c:pt idx="3">
                  <c:v>1904.4</c:v>
                </c:pt>
              </c:numCache>
            </c:numRef>
          </c:xVal>
          <c:yVal>
            <c:numRef>
              <c:f>('11'!$C$28,'11'!$C$30:$C$32)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0.98600000000000021</c:v>
                </c:pt>
                <c:pt idx="2">
                  <c:v>1.7369999999999992</c:v>
                </c:pt>
                <c:pt idx="3">
                  <c:v>3.0909999999999993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9-4CDB-A1C4-6641F9C7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'12'!$E$4:$E$8</c:f>
              <c:numCache>
                <c:formatCode>General</c:formatCode>
                <c:ptCount val="5"/>
                <c:pt idx="0">
                  <c:v>3.0303030303030304E-2</c:v>
                </c:pt>
                <c:pt idx="1">
                  <c:v>2.8248587570621469E-3</c:v>
                </c:pt>
                <c:pt idx="2">
                  <c:v>1.331026221216558E-3</c:v>
                </c:pt>
                <c:pt idx="3">
                  <c:v>5.9161095663491691E-4</c:v>
                </c:pt>
                <c:pt idx="4">
                  <c:v>2.02069188490139E-4</c:v>
                </c:pt>
              </c:numCache>
            </c:numRef>
          </c:xVal>
          <c:yVal>
            <c:numRef>
              <c:f>'12'!$F$4:$F$8</c:f>
              <c:numCache>
                <c:formatCode>General</c:formatCode>
                <c:ptCount val="5"/>
                <c:pt idx="0">
                  <c:v>0.51572975760701389</c:v>
                </c:pt>
                <c:pt idx="1">
                  <c:v>0.60591371788657311</c:v>
                </c:pt>
                <c:pt idx="2">
                  <c:v>0.33344448149383116</c:v>
                </c:pt>
                <c:pt idx="3">
                  <c:v>0.29726516052318663</c:v>
                </c:pt>
                <c:pt idx="4">
                  <c:v>0.30864197530864196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DBE-A7F7-A24608F46B49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'12'!$H$18:$H$22</c:f>
              <c:numCache>
                <c:formatCode>General</c:formatCode>
                <c:ptCount val="5"/>
                <c:pt idx="0">
                  <c:v>3.0303030303030304E-2</c:v>
                </c:pt>
                <c:pt idx="1">
                  <c:v>2.8248587570621469E-3</c:v>
                </c:pt>
                <c:pt idx="2">
                  <c:v>1.331026221216558E-3</c:v>
                </c:pt>
                <c:pt idx="3">
                  <c:v>5.9161095663491691E-4</c:v>
                </c:pt>
                <c:pt idx="4">
                  <c:v>2.02069188490139E-4</c:v>
                </c:pt>
              </c:numCache>
            </c:numRef>
          </c:xVal>
          <c:yVal>
            <c:numRef>
              <c:f>'12'!$I$18:$I$22</c:f>
              <c:numCache>
                <c:formatCode>General</c:formatCode>
                <c:ptCount val="5"/>
                <c:pt idx="0">
                  <c:v>0.43545151979567542</c:v>
                </c:pt>
                <c:pt idx="1">
                  <c:v>0.40797335938244722</c:v>
                </c:pt>
                <c:pt idx="2">
                  <c:v>0.40647952745182564</c:v>
                </c:pt>
                <c:pt idx="3">
                  <c:v>0.40574011248681702</c:v>
                </c:pt>
                <c:pt idx="4">
                  <c:v>0.40535057087649451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DBE-A7F7-A24608F4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'12'!$S$5:$S$10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33</c:v>
                </c:pt>
                <c:pt idx="2">
                  <c:v>354</c:v>
                </c:pt>
                <c:pt idx="3">
                  <c:v>751.3</c:v>
                </c:pt>
                <c:pt idx="4">
                  <c:v>1690.3</c:v>
                </c:pt>
                <c:pt idx="5">
                  <c:v>4948.8</c:v>
                </c:pt>
              </c:numCache>
            </c:numRef>
          </c:xVal>
          <c:yVal>
            <c:numRef>
              <c:f>'12'!$T$5:$T$10</c:f>
              <c:numCache>
                <c:formatCode>General</c:formatCode>
                <c:ptCount val="6"/>
                <c:pt idx="0">
                  <c:v>9.9999999999999699E-7</c:v>
                </c:pt>
                <c:pt idx="1">
                  <c:v>2.2964668959456715</c:v>
                </c:pt>
                <c:pt idx="2">
                  <c:v>2.4511404409192514</c:v>
                </c:pt>
                <c:pt idx="3">
                  <c:v>2.460148500636397</c:v>
                </c:pt>
                <c:pt idx="4">
                  <c:v>2.4646318399995297</c:v>
                </c:pt>
                <c:pt idx="5">
                  <c:v>2.4670003494448962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2-494D-AEDC-D25D835C3C5E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'12'!$B$3:$B$8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33</c:v>
                </c:pt>
                <c:pt idx="2">
                  <c:v>354</c:v>
                </c:pt>
                <c:pt idx="3">
                  <c:v>751.3</c:v>
                </c:pt>
                <c:pt idx="4">
                  <c:v>1690.3</c:v>
                </c:pt>
                <c:pt idx="5">
                  <c:v>4948.8</c:v>
                </c:pt>
              </c:numCache>
            </c:numRef>
          </c:xVal>
          <c:yVal>
            <c:numRef>
              <c:f>'12'!$C$3:$C$8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1.9390000000000001</c:v>
                </c:pt>
                <c:pt idx="2">
                  <c:v>1.6503999999999996</c:v>
                </c:pt>
                <c:pt idx="3">
                  <c:v>2.999000000000001</c:v>
                </c:pt>
                <c:pt idx="4">
                  <c:v>3.3640000000000008</c:v>
                </c:pt>
                <c:pt idx="5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2-494D-AEDC-D25D835C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'12'!$E$29:$E$33</c:f>
              <c:numCache>
                <c:formatCode>General</c:formatCode>
                <c:ptCount val="5"/>
                <c:pt idx="0">
                  <c:v>3.0303030303030304E-2</c:v>
                </c:pt>
                <c:pt idx="1">
                  <c:v>2.8248587570621469E-3</c:v>
                </c:pt>
                <c:pt idx="2">
                  <c:v>1.331026221216558E-3</c:v>
                </c:pt>
                <c:pt idx="3">
                  <c:v>5.9161095663491691E-4</c:v>
                </c:pt>
                <c:pt idx="4">
                  <c:v>2.02069188490139E-4</c:v>
                </c:pt>
              </c:numCache>
            </c:numRef>
          </c:xVal>
          <c:yVal>
            <c:numRef>
              <c:f>'12'!$F$29:$F$33</c:f>
              <c:numCache>
                <c:formatCode>General</c:formatCode>
                <c:ptCount val="5"/>
                <c:pt idx="0">
                  <c:v>0.51572975760701389</c:v>
                </c:pt>
                <c:pt idx="1">
                  <c:v>0.60591371788657311</c:v>
                </c:pt>
                <c:pt idx="2">
                  <c:v>0.33344448149383116</c:v>
                </c:pt>
                <c:pt idx="3">
                  <c:v>0.29726516052318663</c:v>
                </c:pt>
                <c:pt idx="4">
                  <c:v>0.30864197530864196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A-4ABA-A5EB-C730ACE4EFA2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'12'!$H$42:$H$46</c:f>
              <c:numCache>
                <c:formatCode>General</c:formatCode>
                <c:ptCount val="5"/>
                <c:pt idx="0">
                  <c:v>3.0303030303030304E-2</c:v>
                </c:pt>
                <c:pt idx="1">
                  <c:v>2.8248587570621469E-3</c:v>
                </c:pt>
                <c:pt idx="2">
                  <c:v>1.331026221216558E-3</c:v>
                </c:pt>
                <c:pt idx="3">
                  <c:v>5.9161095663491691E-4</c:v>
                </c:pt>
                <c:pt idx="4">
                  <c:v>2.02069188490139E-4</c:v>
                </c:pt>
              </c:numCache>
            </c:numRef>
          </c:xVal>
          <c:yVal>
            <c:numRef>
              <c:f>'12'!$I$42:$I$46</c:f>
              <c:numCache>
                <c:formatCode>General</c:formatCode>
                <c:ptCount val="5"/>
                <c:pt idx="0">
                  <c:v>0.43545151979567542</c:v>
                </c:pt>
                <c:pt idx="1">
                  <c:v>0.40797335938244722</c:v>
                </c:pt>
                <c:pt idx="2">
                  <c:v>0.40647952745182564</c:v>
                </c:pt>
                <c:pt idx="3">
                  <c:v>0.40574011248681702</c:v>
                </c:pt>
                <c:pt idx="4">
                  <c:v>0.40535057087649451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A-4ABA-A5EB-C730ACE4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'12'!$S$30:$S$35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33</c:v>
                </c:pt>
                <c:pt idx="2">
                  <c:v>354</c:v>
                </c:pt>
                <c:pt idx="3">
                  <c:v>751.3</c:v>
                </c:pt>
                <c:pt idx="4">
                  <c:v>1690.3</c:v>
                </c:pt>
                <c:pt idx="5">
                  <c:v>4948.8</c:v>
                </c:pt>
              </c:numCache>
            </c:numRef>
          </c:xVal>
          <c:yVal>
            <c:numRef>
              <c:f>'12'!$T$30:$T$35</c:f>
              <c:numCache>
                <c:formatCode>General</c:formatCode>
                <c:ptCount val="6"/>
                <c:pt idx="0">
                  <c:v>9.9999999999999699E-7</c:v>
                </c:pt>
                <c:pt idx="1">
                  <c:v>2.2964668959456715</c:v>
                </c:pt>
                <c:pt idx="2">
                  <c:v>2.4511404409192514</c:v>
                </c:pt>
                <c:pt idx="3">
                  <c:v>2.460148500636397</c:v>
                </c:pt>
                <c:pt idx="4">
                  <c:v>2.4646318399995297</c:v>
                </c:pt>
                <c:pt idx="5">
                  <c:v>2.4670003494448962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459-BD95-274D1F071F77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'12'!$B$28:$B$33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33</c:v>
                </c:pt>
                <c:pt idx="2">
                  <c:v>354</c:v>
                </c:pt>
                <c:pt idx="3">
                  <c:v>751.3</c:v>
                </c:pt>
                <c:pt idx="4">
                  <c:v>1690.3</c:v>
                </c:pt>
                <c:pt idx="5">
                  <c:v>4948.8</c:v>
                </c:pt>
              </c:numCache>
            </c:numRef>
          </c:xVal>
          <c:yVal>
            <c:numRef>
              <c:f>'12'!$C$28:$C$33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1.9390000000000001</c:v>
                </c:pt>
                <c:pt idx="2">
                  <c:v>1.6503999999999996</c:v>
                </c:pt>
                <c:pt idx="3">
                  <c:v>2.999000000000001</c:v>
                </c:pt>
                <c:pt idx="4">
                  <c:v>3.3640000000000008</c:v>
                </c:pt>
                <c:pt idx="5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A-4459-BD95-274D1F07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'13'!$E$4:$E$8</c:f>
              <c:numCache>
                <c:formatCode>General</c:formatCode>
                <c:ptCount val="5"/>
                <c:pt idx="0">
                  <c:v>4.7619047619047609E-2</c:v>
                </c:pt>
                <c:pt idx="1">
                  <c:v>5.5555555555555558E-3</c:v>
                </c:pt>
                <c:pt idx="2">
                  <c:v>1.2428535918468805E-3</c:v>
                </c:pt>
                <c:pt idx="3">
                  <c:v>5.9488399762046404E-4</c:v>
                </c:pt>
                <c:pt idx="4">
                  <c:v>2.3927451965640177E-4</c:v>
                </c:pt>
              </c:numCache>
            </c:numRef>
          </c:xVal>
          <c:yVal>
            <c:numRef>
              <c:f>'13'!$F$4:$F$8</c:f>
              <c:numCache>
                <c:formatCode>General</c:formatCode>
                <c:ptCount val="5"/>
                <c:pt idx="0">
                  <c:v>0.4480286738351254</c:v>
                </c:pt>
                <c:pt idx="1">
                  <c:v>0.28137310073157007</c:v>
                </c:pt>
                <c:pt idx="2">
                  <c:v>0.38343558282208573</c:v>
                </c:pt>
                <c:pt idx="3">
                  <c:v>0.2770083102493075</c:v>
                </c:pt>
                <c:pt idx="4">
                  <c:v>0.30864197530864196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3-44AB-A8BD-EDBAF35CC961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'13'!$H$18:$H$22</c:f>
              <c:numCache>
                <c:formatCode>General</c:formatCode>
                <c:ptCount val="5"/>
                <c:pt idx="0">
                  <c:v>4.7619047619047609E-2</c:v>
                </c:pt>
                <c:pt idx="1">
                  <c:v>5.5555555555555558E-3</c:v>
                </c:pt>
                <c:pt idx="2">
                  <c:v>1.2428535918468805E-3</c:v>
                </c:pt>
                <c:pt idx="3">
                  <c:v>5.9488399762046404E-4</c:v>
                </c:pt>
                <c:pt idx="4">
                  <c:v>2.3927451965640177E-4</c:v>
                </c:pt>
              </c:numCache>
            </c:numRef>
          </c:xVal>
          <c:yVal>
            <c:numRef>
              <c:f>'13'!$I$18:$I$22</c:f>
              <c:numCache>
                <c:formatCode>General</c:formatCode>
                <c:ptCount val="5"/>
                <c:pt idx="0">
                  <c:v>0.3762662404856667</c:v>
                </c:pt>
                <c:pt idx="1">
                  <c:v>0.33420276224622375</c:v>
                </c:pt>
                <c:pt idx="2">
                  <c:v>0.32989006169987251</c:v>
                </c:pt>
                <c:pt idx="3">
                  <c:v>0.32924209231859947</c:v>
                </c:pt>
                <c:pt idx="4">
                  <c:v>0.3288864829575055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3-44AB-A8BD-EDBAF35CC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'2'!$E$4:$E$8</c:f>
              <c:numCache>
                <c:formatCode>General</c:formatCode>
                <c:ptCount val="5"/>
                <c:pt idx="0">
                  <c:v>5.208333333333333E-3</c:v>
                </c:pt>
                <c:pt idx="1">
                  <c:v>2.2251891410769915E-3</c:v>
                </c:pt>
                <c:pt idx="2">
                  <c:v>1.3596193065941536E-3</c:v>
                </c:pt>
                <c:pt idx="3">
                  <c:v>4.8313846748478112E-4</c:v>
                </c:pt>
                <c:pt idx="4">
                  <c:v>1.9204916458613405E-4</c:v>
                </c:pt>
              </c:numCache>
            </c:numRef>
          </c:xVal>
          <c:yVal>
            <c:numRef>
              <c:f>'2'!$F$4:$F$8</c:f>
              <c:numCache>
                <c:formatCode>General</c:formatCode>
                <c:ptCount val="5"/>
                <c:pt idx="0">
                  <c:v>5.6818181818181843</c:v>
                </c:pt>
                <c:pt idx="1">
                  <c:v>2.2988505747126435</c:v>
                </c:pt>
                <c:pt idx="2">
                  <c:v>0.31948881789137379</c:v>
                </c:pt>
                <c:pt idx="3">
                  <c:v>0.83822296730930623</c:v>
                </c:pt>
                <c:pt idx="4">
                  <c:v>0.55803571428571486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F-4FC5-9C13-E68BDCB6EAEE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'2'!$H$18:$H$22</c:f>
              <c:numCache>
                <c:formatCode>General</c:formatCode>
                <c:ptCount val="5"/>
                <c:pt idx="0">
                  <c:v>5.208333333333333E-3</c:v>
                </c:pt>
                <c:pt idx="1">
                  <c:v>2.2251891410769915E-3</c:v>
                </c:pt>
                <c:pt idx="2">
                  <c:v>1.3596193065941536E-3</c:v>
                </c:pt>
                <c:pt idx="3">
                  <c:v>4.8313846748478112E-4</c:v>
                </c:pt>
                <c:pt idx="4">
                  <c:v>1.9204916458613405E-4</c:v>
                </c:pt>
              </c:numCache>
            </c:numRef>
          </c:xVal>
          <c:yVal>
            <c:numRef>
              <c:f>'2'!$I$18:$I$22</c:f>
              <c:numCache>
                <c:formatCode>General</c:formatCode>
                <c:ptCount val="5"/>
                <c:pt idx="0">
                  <c:v>5.4629547272698886</c:v>
                </c:pt>
                <c:pt idx="1">
                  <c:v>2.2917104756122502</c:v>
                </c:pt>
                <c:pt idx="2">
                  <c:v>1.3715627438541729</c:v>
                </c:pt>
                <c:pt idx="3">
                  <c:v>0.43981602174506762</c:v>
                </c:pt>
                <c:pt idx="4">
                  <c:v>0.1303722875358429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F-4FC5-9C13-E68BDCB6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'13'!$S$5:$S$10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21.000000000000004</c:v>
                </c:pt>
                <c:pt idx="2">
                  <c:v>180</c:v>
                </c:pt>
                <c:pt idx="3">
                  <c:v>804.6</c:v>
                </c:pt>
                <c:pt idx="4">
                  <c:v>1681</c:v>
                </c:pt>
                <c:pt idx="5">
                  <c:v>4179.3</c:v>
                </c:pt>
              </c:numCache>
            </c:numRef>
          </c:xVal>
          <c:yVal>
            <c:numRef>
              <c:f>'13'!$T$5:$T$10</c:f>
              <c:numCache>
                <c:formatCode>General</c:formatCode>
                <c:ptCount val="6"/>
                <c:pt idx="0">
                  <c:v>9.9999999999999657E-7</c:v>
                </c:pt>
                <c:pt idx="1">
                  <c:v>2.6576925921104353</c:v>
                </c:pt>
                <c:pt idx="2">
                  <c:v>2.9921954961678336</c:v>
                </c:pt>
                <c:pt idx="3">
                  <c:v>3.0313129011742714</c:v>
                </c:pt>
                <c:pt idx="4">
                  <c:v>3.0372787177902048</c:v>
                </c:pt>
                <c:pt idx="5">
                  <c:v>3.0405627832664899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D-4E72-93FA-E9952A46C1EC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'13'!$B$3:$B$8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21.000000000000004</c:v>
                </c:pt>
                <c:pt idx="2">
                  <c:v>180</c:v>
                </c:pt>
                <c:pt idx="3">
                  <c:v>804.6</c:v>
                </c:pt>
                <c:pt idx="4">
                  <c:v>1681</c:v>
                </c:pt>
                <c:pt idx="5">
                  <c:v>4179.3</c:v>
                </c:pt>
              </c:numCache>
            </c:numRef>
          </c:xVal>
          <c:yVal>
            <c:numRef>
              <c:f>'13'!$C$3:$C$8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2.2320000000000002</c:v>
                </c:pt>
                <c:pt idx="2">
                  <c:v>3.5539999999999998</c:v>
                </c:pt>
                <c:pt idx="3">
                  <c:v>2.608000000000001</c:v>
                </c:pt>
                <c:pt idx="4">
                  <c:v>3.61</c:v>
                </c:pt>
                <c:pt idx="5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D-4E72-93FA-E9952A46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'13'!$E$29:$E$33</c:f>
              <c:numCache>
                <c:formatCode>General</c:formatCode>
                <c:ptCount val="5"/>
                <c:pt idx="0">
                  <c:v>4.7619047619047609E-2</c:v>
                </c:pt>
                <c:pt idx="1">
                  <c:v>5.5555555555555558E-3</c:v>
                </c:pt>
                <c:pt idx="2">
                  <c:v>0</c:v>
                </c:pt>
                <c:pt idx="3">
                  <c:v>5.9488399762046404E-4</c:v>
                </c:pt>
                <c:pt idx="4">
                  <c:v>2.3927451965640177E-4</c:v>
                </c:pt>
              </c:numCache>
            </c:numRef>
          </c:xVal>
          <c:yVal>
            <c:numRef>
              <c:f>'13'!$F$29:$F$33</c:f>
              <c:numCache>
                <c:formatCode>General</c:formatCode>
                <c:ptCount val="5"/>
                <c:pt idx="0">
                  <c:v>0.4480286738351254</c:v>
                </c:pt>
                <c:pt idx="1">
                  <c:v>0.28137310073157007</c:v>
                </c:pt>
                <c:pt idx="2">
                  <c:v>0</c:v>
                </c:pt>
                <c:pt idx="3">
                  <c:v>0.2770083102493075</c:v>
                </c:pt>
                <c:pt idx="4">
                  <c:v>0.30864197530864196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7-4A89-9CDE-1C2C47C0A5E2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'13'!$H$42:$H$46</c:f>
              <c:numCache>
                <c:formatCode>General</c:formatCode>
                <c:ptCount val="5"/>
                <c:pt idx="0">
                  <c:v>4.7619047619047609E-2</c:v>
                </c:pt>
                <c:pt idx="1">
                  <c:v>5.5555555555555558E-3</c:v>
                </c:pt>
                <c:pt idx="2">
                  <c:v>0</c:v>
                </c:pt>
                <c:pt idx="3">
                  <c:v>5.9488399762046404E-4</c:v>
                </c:pt>
                <c:pt idx="4">
                  <c:v>2.3927451965640177E-4</c:v>
                </c:pt>
              </c:numCache>
            </c:numRef>
          </c:xVal>
          <c:yVal>
            <c:numRef>
              <c:f>'13'!$I$42:$I$46</c:f>
              <c:numCache>
                <c:formatCode>General</c:formatCode>
                <c:ptCount val="5"/>
                <c:pt idx="0">
                  <c:v>0.36287986046812087</c:v>
                </c:pt>
                <c:pt idx="1">
                  <c:v>0.3208163816656</c:v>
                </c:pt>
                <c:pt idx="2">
                  <c:v>0.31526082786149345</c:v>
                </c:pt>
                <c:pt idx="3">
                  <c:v>0.31585571167157028</c:v>
                </c:pt>
                <c:pt idx="4">
                  <c:v>0.31550010230571596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7-4A89-9CDE-1C2C47C0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'13'!$S$30:$S$35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21.000000000000004</c:v>
                </c:pt>
                <c:pt idx="2">
                  <c:v>180</c:v>
                </c:pt>
                <c:pt idx="3">
                  <c:v>804.6</c:v>
                </c:pt>
                <c:pt idx="4">
                  <c:v>1681</c:v>
                </c:pt>
                <c:pt idx="5">
                  <c:v>4179.3</c:v>
                </c:pt>
              </c:numCache>
            </c:numRef>
          </c:xVal>
          <c:yVal>
            <c:numRef>
              <c:f>'13'!$T$30:$T$35</c:f>
              <c:numCache>
                <c:formatCode>General</c:formatCode>
                <c:ptCount val="6"/>
                <c:pt idx="0">
                  <c:v>9.9999999999999593E-7</c:v>
                </c:pt>
                <c:pt idx="1">
                  <c:v>2.7557329820122387</c:v>
                </c:pt>
                <c:pt idx="2">
                  <c:v>3.1170478103650603</c:v>
                </c:pt>
                <c:pt idx="3">
                  <c:v>3.159520915036798</c:v>
                </c:pt>
                <c:pt idx="4">
                  <c:v>3.1660025861422736</c:v>
                </c:pt>
                <c:pt idx="5">
                  <c:v>3.1695710799833958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D-4B69-93A9-7CCD80F6B377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('13'!$B$28:$B$30,'13'!$B$32:$B$33)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21.000000000000004</c:v>
                </c:pt>
                <c:pt idx="2">
                  <c:v>180</c:v>
                </c:pt>
                <c:pt idx="3">
                  <c:v>1681</c:v>
                </c:pt>
                <c:pt idx="4">
                  <c:v>4179.3</c:v>
                </c:pt>
              </c:numCache>
            </c:numRef>
          </c:xVal>
          <c:yVal>
            <c:numRef>
              <c:f>('13'!$C$28:$C$30,'13'!$C$32:$C$33)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2.2320000000000002</c:v>
                </c:pt>
                <c:pt idx="2">
                  <c:v>3.5539999999999998</c:v>
                </c:pt>
                <c:pt idx="3">
                  <c:v>3.61</c:v>
                </c:pt>
                <c:pt idx="4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D-4B69-93A9-7CCD80F6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'14'!$E$4:$E$8</c:f>
              <c:numCache>
                <c:formatCode>General</c:formatCode>
                <c:ptCount val="5"/>
                <c:pt idx="0">
                  <c:v>1000000</c:v>
                </c:pt>
                <c:pt idx="1">
                  <c:v>2.6406126221283337E-3</c:v>
                </c:pt>
                <c:pt idx="2">
                  <c:v>1.3150973172014729E-3</c:v>
                </c:pt>
                <c:pt idx="3">
                  <c:v>5.9530896535301824E-4</c:v>
                </c:pt>
                <c:pt idx="4">
                  <c:v>2.4878716258241074E-4</c:v>
                </c:pt>
              </c:numCache>
            </c:numRef>
          </c:xVal>
          <c:yVal>
            <c:numRef>
              <c:f>'14'!$F$4:$F$8</c:f>
              <c:numCache>
                <c:formatCode>General</c:formatCode>
                <c:ptCount val="5"/>
                <c:pt idx="0">
                  <c:v>0.62073246430788331</c:v>
                </c:pt>
                <c:pt idx="1">
                  <c:v>0.79176563737133809</c:v>
                </c:pt>
                <c:pt idx="2">
                  <c:v>0.51203277009728598</c:v>
                </c:pt>
                <c:pt idx="3">
                  <c:v>0.43196544276457882</c:v>
                </c:pt>
                <c:pt idx="4">
                  <c:v>0.22306491188935973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C-405A-B19F-050E75E99F03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'14'!$H$18:$H$22</c:f>
              <c:numCache>
                <c:formatCode>General</c:formatCode>
                <c:ptCount val="5"/>
                <c:pt idx="0">
                  <c:v>1000000</c:v>
                </c:pt>
                <c:pt idx="1">
                  <c:v>2.6406126221283337E-3</c:v>
                </c:pt>
                <c:pt idx="2">
                  <c:v>1.3150973172014729E-3</c:v>
                </c:pt>
                <c:pt idx="3">
                  <c:v>5.9530896535301824E-4</c:v>
                </c:pt>
                <c:pt idx="4">
                  <c:v>2.4878716258241074E-4</c:v>
                </c:pt>
              </c:numCache>
            </c:numRef>
          </c:xVal>
          <c:yVal>
            <c:numRef>
              <c:f>'14'!$I$18:$I$22</c:f>
              <c:numCache>
                <c:formatCode>General</c:formatCode>
                <c:ptCount val="5"/>
                <c:pt idx="0">
                  <c:v>500000.31036623253</c:v>
                </c:pt>
                <c:pt idx="1">
                  <c:v>0.49042752059748396</c:v>
                </c:pt>
                <c:pt idx="2">
                  <c:v>0.4897647631819444</c:v>
                </c:pt>
                <c:pt idx="3">
                  <c:v>0.48940486913467585</c:v>
                </c:pt>
                <c:pt idx="4">
                  <c:v>0.48923160829522822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C-405A-B19F-050E75E9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'14'!$S$5:$S$10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378.7</c:v>
                </c:pt>
                <c:pt idx="3">
                  <c:v>760.4</c:v>
                </c:pt>
                <c:pt idx="4">
                  <c:v>1679.8</c:v>
                </c:pt>
                <c:pt idx="5">
                  <c:v>4019.5</c:v>
                </c:pt>
              </c:numCache>
            </c:numRef>
          </c:xVal>
          <c:yVal>
            <c:numRef>
              <c:f>'14'!$T$5:$T$10</c:f>
              <c:numCache>
                <c:formatCode>General</c:formatCode>
                <c:ptCount val="6"/>
                <c:pt idx="0">
                  <c:v>1.9999987585358405E-6</c:v>
                </c:pt>
                <c:pt idx="1">
                  <c:v>1.9999987585358405E-6</c:v>
                </c:pt>
                <c:pt idx="2">
                  <c:v>2.0390372848197997</c:v>
                </c:pt>
                <c:pt idx="3">
                  <c:v>2.0417965422892346</c:v>
                </c:pt>
                <c:pt idx="4">
                  <c:v>2.0432980198339981</c:v>
                </c:pt>
                <c:pt idx="5">
                  <c:v>2.0440216515948153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9-4D66-BFBB-3A8B7E4F60DF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'14'!$B$3:$B$8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378.7</c:v>
                </c:pt>
                <c:pt idx="3">
                  <c:v>760.4</c:v>
                </c:pt>
                <c:pt idx="4">
                  <c:v>1679.8</c:v>
                </c:pt>
                <c:pt idx="5">
                  <c:v>4019.5</c:v>
                </c:pt>
              </c:numCache>
            </c:numRef>
          </c:xVal>
          <c:yVal>
            <c:numRef>
              <c:f>'14'!$C$3:$C$8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1.611</c:v>
                </c:pt>
                <c:pt idx="2">
                  <c:v>1.2629999999999999</c:v>
                </c:pt>
                <c:pt idx="3">
                  <c:v>1.9530000000000007</c:v>
                </c:pt>
                <c:pt idx="4">
                  <c:v>2.3149999999999999</c:v>
                </c:pt>
                <c:pt idx="5">
                  <c:v>4.4830000000000014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9-4D66-BFBB-3A8B7E4F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'14'!$E$29:$E$33</c:f>
              <c:numCache>
                <c:formatCode>General</c:formatCode>
                <c:ptCount val="5"/>
                <c:pt idx="0">
                  <c:v>0</c:v>
                </c:pt>
                <c:pt idx="1">
                  <c:v>2.6406126221283337E-3</c:v>
                </c:pt>
                <c:pt idx="2">
                  <c:v>1.3150973172014729E-3</c:v>
                </c:pt>
                <c:pt idx="3">
                  <c:v>5.9530896535301824E-4</c:v>
                </c:pt>
                <c:pt idx="4">
                  <c:v>2.4878716258241074E-4</c:v>
                </c:pt>
              </c:numCache>
            </c:numRef>
          </c:xVal>
          <c:yVal>
            <c:numRef>
              <c:f>'14'!$F$29:$F$33</c:f>
              <c:numCache>
                <c:formatCode>General</c:formatCode>
                <c:ptCount val="5"/>
                <c:pt idx="0">
                  <c:v>0</c:v>
                </c:pt>
                <c:pt idx="1">
                  <c:v>0.79176563737133809</c:v>
                </c:pt>
                <c:pt idx="2">
                  <c:v>0.51203277009728598</c:v>
                </c:pt>
                <c:pt idx="3">
                  <c:v>0.43196544276457882</c:v>
                </c:pt>
                <c:pt idx="4">
                  <c:v>0.22306491188935973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5-4884-A994-4CE22543AF4E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'14'!$H$42:$H$46</c:f>
              <c:numCache>
                <c:formatCode>General</c:formatCode>
                <c:ptCount val="5"/>
                <c:pt idx="0">
                  <c:v>0</c:v>
                </c:pt>
                <c:pt idx="1">
                  <c:v>2.6406126221283337E-3</c:v>
                </c:pt>
                <c:pt idx="2">
                  <c:v>1.3150973172014729E-3</c:v>
                </c:pt>
                <c:pt idx="3">
                  <c:v>5.9530896535301824E-4</c:v>
                </c:pt>
                <c:pt idx="4">
                  <c:v>2.4878716258241074E-4</c:v>
                </c:pt>
              </c:numCache>
            </c:numRef>
          </c:xVal>
          <c:yVal>
            <c:numRef>
              <c:f>'14'!$I$42:$I$46</c:f>
              <c:numCache>
                <c:formatCode>General</c:formatCode>
                <c:ptCount val="5"/>
                <c:pt idx="0">
                  <c:v>0.48850723938085139</c:v>
                </c:pt>
                <c:pt idx="1">
                  <c:v>0.49114785071302136</c:v>
                </c:pt>
                <c:pt idx="2">
                  <c:v>0.48982233605561831</c:v>
                </c:pt>
                <c:pt idx="3">
                  <c:v>0.48910254805539166</c:v>
                </c:pt>
                <c:pt idx="4">
                  <c:v>0.48875602642189947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5-4884-A994-4CE22543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'14'!$S$30:$S$35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378.7</c:v>
                </c:pt>
                <c:pt idx="3">
                  <c:v>760.4</c:v>
                </c:pt>
                <c:pt idx="4">
                  <c:v>1679.8</c:v>
                </c:pt>
                <c:pt idx="5">
                  <c:v>4019.5</c:v>
                </c:pt>
              </c:numCache>
            </c:numRef>
          </c:xVal>
          <c:yVal>
            <c:numRef>
              <c:f>'14'!$T$30:$T$35</c:f>
              <c:numCache>
                <c:formatCode>General</c:formatCode>
                <c:ptCount val="6"/>
                <c:pt idx="0">
                  <c:v>9.9999999999999911E-7</c:v>
                </c:pt>
                <c:pt idx="1">
                  <c:v>9.9999999999999911E-7</c:v>
                </c:pt>
                <c:pt idx="2">
                  <c:v>2.0360467801055329</c:v>
                </c:pt>
                <c:pt idx="3">
                  <c:v>2.041556553040595</c:v>
                </c:pt>
                <c:pt idx="4">
                  <c:v>2.0445610107243777</c:v>
                </c:pt>
                <c:pt idx="5">
                  <c:v>2.0460105777535502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9-454A-8F89-9AEE76679D82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('14'!$B$28,'14'!$B$30:$B$33)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378.7</c:v>
                </c:pt>
                <c:pt idx="2">
                  <c:v>760.4</c:v>
                </c:pt>
                <c:pt idx="3">
                  <c:v>1679.8</c:v>
                </c:pt>
                <c:pt idx="4">
                  <c:v>4019.5</c:v>
                </c:pt>
              </c:numCache>
            </c:numRef>
          </c:xVal>
          <c:yVal>
            <c:numRef>
              <c:f>('14'!$C$28,'14'!$C$30:$C$33)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1.2629999999999999</c:v>
                </c:pt>
                <c:pt idx="2">
                  <c:v>1.9530000000000007</c:v>
                </c:pt>
                <c:pt idx="3">
                  <c:v>2.3149999999999999</c:v>
                </c:pt>
                <c:pt idx="4">
                  <c:v>4.4830000000000014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79-454A-8F89-9AEE7667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'15'!$E$4:$E$8</c:f>
              <c:numCache>
                <c:formatCode>General</c:formatCode>
                <c:ptCount val="5"/>
                <c:pt idx="0">
                  <c:v>5.5555555555555552E-2</c:v>
                </c:pt>
                <c:pt idx="1">
                  <c:v>3.8550501156515036E-3</c:v>
                </c:pt>
                <c:pt idx="2">
                  <c:v>1.3168290755859889E-3</c:v>
                </c:pt>
                <c:pt idx="3">
                  <c:v>5.831923951711669E-4</c:v>
                </c:pt>
                <c:pt idx="4">
                  <c:v>2.377442822500119E-4</c:v>
                </c:pt>
              </c:numCache>
            </c:numRef>
          </c:xVal>
          <c:yVal>
            <c:numRef>
              <c:f>'15'!$F$4:$F$8</c:f>
              <c:numCache>
                <c:formatCode>General</c:formatCode>
                <c:ptCount val="5"/>
                <c:pt idx="0">
                  <c:v>0.50125313283208017</c:v>
                </c:pt>
                <c:pt idx="1">
                  <c:v>0.44113106003793723</c:v>
                </c:pt>
                <c:pt idx="2">
                  <c:v>0.37363622776864447</c:v>
                </c:pt>
                <c:pt idx="3">
                  <c:v>0.18426386585590568</c:v>
                </c:pt>
                <c:pt idx="4">
                  <c:v>0.21097046413502107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B-4CF2-9727-B6A2304A5266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'15'!$H$18:$H$22</c:f>
              <c:numCache>
                <c:formatCode>General</c:formatCode>
                <c:ptCount val="5"/>
                <c:pt idx="0">
                  <c:v>5.5555555555555552E-2</c:v>
                </c:pt>
                <c:pt idx="1">
                  <c:v>3.8550501156515036E-3</c:v>
                </c:pt>
                <c:pt idx="2">
                  <c:v>1.3168290755859889E-3</c:v>
                </c:pt>
                <c:pt idx="3">
                  <c:v>5.831923951711669E-4</c:v>
                </c:pt>
                <c:pt idx="4">
                  <c:v>2.377442822500119E-4</c:v>
                </c:pt>
              </c:numCache>
            </c:numRef>
          </c:xVal>
          <c:yVal>
            <c:numRef>
              <c:f>'15'!$I$18:$I$22</c:f>
              <c:numCache>
                <c:formatCode>General</c:formatCode>
                <c:ptCount val="5"/>
                <c:pt idx="0">
                  <c:v>0.38549681575274286</c:v>
                </c:pt>
                <c:pt idx="1">
                  <c:v>0.33379632737096931</c:v>
                </c:pt>
                <c:pt idx="2">
                  <c:v>0.33125810716836768</c:v>
                </c:pt>
                <c:pt idx="3">
                  <c:v>0.3305244707300099</c:v>
                </c:pt>
                <c:pt idx="4">
                  <c:v>0.33017902273106631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B-4CF2-9727-B6A2304A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'15'!$S$5:$S$10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18</c:v>
                </c:pt>
                <c:pt idx="2">
                  <c:v>259.39999999999998</c:v>
                </c:pt>
                <c:pt idx="3">
                  <c:v>759.4</c:v>
                </c:pt>
                <c:pt idx="4">
                  <c:v>1714.7</c:v>
                </c:pt>
                <c:pt idx="5">
                  <c:v>4206.2</c:v>
                </c:pt>
              </c:numCache>
            </c:numRef>
          </c:xVal>
          <c:yVal>
            <c:numRef>
              <c:f>'15'!$T$5:$T$10</c:f>
              <c:numCache>
                <c:formatCode>General</c:formatCode>
                <c:ptCount val="6"/>
                <c:pt idx="0">
                  <c:v>9.9999999999999318E-7</c:v>
                </c:pt>
                <c:pt idx="1">
                  <c:v>2.594055149450051</c:v>
                </c:pt>
                <c:pt idx="2">
                  <c:v>2.9958388334471877</c:v>
                </c:pt>
                <c:pt idx="3">
                  <c:v>3.0187940411424643</c:v>
                </c:pt>
                <c:pt idx="4">
                  <c:v>3.0254945958807804</c:v>
                </c:pt>
                <c:pt idx="5">
                  <c:v>3.0286600030750854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2-460A-AC64-65FAE7585F3D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'15'!$B$3:$B$8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18</c:v>
                </c:pt>
                <c:pt idx="2">
                  <c:v>259.39999999999998</c:v>
                </c:pt>
                <c:pt idx="3">
                  <c:v>759.4</c:v>
                </c:pt>
                <c:pt idx="4">
                  <c:v>1714.7</c:v>
                </c:pt>
                <c:pt idx="5">
                  <c:v>4206.2</c:v>
                </c:pt>
              </c:numCache>
            </c:numRef>
          </c:xVal>
          <c:yVal>
            <c:numRef>
              <c:f>'15'!$C$3:$C$8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1.9950000000000001</c:v>
                </c:pt>
                <c:pt idx="2">
                  <c:v>2.2669000000000001</c:v>
                </c:pt>
                <c:pt idx="3">
                  <c:v>2.6763999999999997</c:v>
                </c:pt>
                <c:pt idx="4">
                  <c:v>5.4269999999999996</c:v>
                </c:pt>
                <c:pt idx="5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2-460A-AC64-65FAE758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'15'!$E$29:$E$33</c:f>
              <c:numCache>
                <c:formatCode>General</c:formatCode>
                <c:ptCount val="5"/>
                <c:pt idx="0">
                  <c:v>5.5555555555555552E-2</c:v>
                </c:pt>
                <c:pt idx="1">
                  <c:v>3.8550501156515036E-3</c:v>
                </c:pt>
                <c:pt idx="2">
                  <c:v>1.3168290755859889E-3</c:v>
                </c:pt>
                <c:pt idx="3">
                  <c:v>0</c:v>
                </c:pt>
                <c:pt idx="4">
                  <c:v>2.377442822500119E-4</c:v>
                </c:pt>
              </c:numCache>
            </c:numRef>
          </c:xVal>
          <c:yVal>
            <c:numRef>
              <c:f>'15'!$F$29:$F$33</c:f>
              <c:numCache>
                <c:formatCode>General</c:formatCode>
                <c:ptCount val="5"/>
                <c:pt idx="0">
                  <c:v>0.50125313283208017</c:v>
                </c:pt>
                <c:pt idx="1">
                  <c:v>0.44113106003793723</c:v>
                </c:pt>
                <c:pt idx="2">
                  <c:v>0.37363622776864447</c:v>
                </c:pt>
                <c:pt idx="3">
                  <c:v>0</c:v>
                </c:pt>
                <c:pt idx="4">
                  <c:v>0.21097046413502107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8-4CAA-ACB1-4B7C7A9EA9EB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'15'!$H$42:$H$46</c:f>
              <c:numCache>
                <c:formatCode>General</c:formatCode>
                <c:ptCount val="5"/>
                <c:pt idx="0">
                  <c:v>5.5555555555555552E-2</c:v>
                </c:pt>
                <c:pt idx="1">
                  <c:v>3.8550501156515036E-3</c:v>
                </c:pt>
                <c:pt idx="2">
                  <c:v>1.3168290755859889E-3</c:v>
                </c:pt>
                <c:pt idx="3">
                  <c:v>0</c:v>
                </c:pt>
                <c:pt idx="4">
                  <c:v>2.377442822500119E-4</c:v>
                </c:pt>
              </c:numCache>
            </c:numRef>
          </c:xVal>
          <c:yVal>
            <c:numRef>
              <c:f>'15'!$I$42:$I$46</c:f>
              <c:numCache>
                <c:formatCode>General</c:formatCode>
                <c:ptCount val="5"/>
                <c:pt idx="0">
                  <c:v>0.42206196603839807</c:v>
                </c:pt>
                <c:pt idx="1">
                  <c:v>0.37036147954706156</c:v>
                </c:pt>
                <c:pt idx="2">
                  <c:v>0.36782325943727034</c:v>
                </c:pt>
                <c:pt idx="3">
                  <c:v>0.36650643084431067</c:v>
                </c:pt>
                <c:pt idx="4">
                  <c:v>0.36674417503942586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8-4CAA-ACB1-4B7C7A9E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'2'!$S$5:$S$10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192</c:v>
                </c:pt>
                <c:pt idx="2">
                  <c:v>449.4</c:v>
                </c:pt>
                <c:pt idx="3">
                  <c:v>735.5</c:v>
                </c:pt>
                <c:pt idx="4">
                  <c:v>2069.8000000000002</c:v>
                </c:pt>
                <c:pt idx="5">
                  <c:v>5207</c:v>
                </c:pt>
              </c:numCache>
            </c:numRef>
          </c:xVal>
          <c:yVal>
            <c:numRef>
              <c:f>'2'!$T$5:$T$10</c:f>
              <c:numCache>
                <c:formatCode>General</c:formatCode>
                <c:ptCount val="6"/>
                <c:pt idx="0">
                  <c:v>9.4068572324698225E-10</c:v>
                </c:pt>
                <c:pt idx="1">
                  <c:v>0.18305112341645741</c:v>
                </c:pt>
                <c:pt idx="2">
                  <c:v>0.4363552947205695</c:v>
                </c:pt>
                <c:pt idx="3">
                  <c:v>0.72909533630954448</c:v>
                </c:pt>
                <c:pt idx="4">
                  <c:v>2.2736779711486594</c:v>
                </c:pt>
                <c:pt idx="5">
                  <c:v>7.6703417490091415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A-4D6B-981D-A9B34B14CC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'2'!$B$4:$B$8</c:f>
              <c:numCache>
                <c:formatCode>General</c:formatCode>
                <c:ptCount val="5"/>
                <c:pt idx="0">
                  <c:v>192</c:v>
                </c:pt>
                <c:pt idx="1">
                  <c:v>449.4</c:v>
                </c:pt>
                <c:pt idx="2">
                  <c:v>735.5</c:v>
                </c:pt>
                <c:pt idx="3">
                  <c:v>2069.8000000000002</c:v>
                </c:pt>
                <c:pt idx="4">
                  <c:v>5207</c:v>
                </c:pt>
              </c:numCache>
            </c:numRef>
          </c:xVal>
          <c:yVal>
            <c:numRef>
              <c:f>'2'!$C$4:$C$8</c:f>
              <c:numCache>
                <c:formatCode>General</c:formatCode>
                <c:ptCount val="5"/>
                <c:pt idx="0">
                  <c:v>0.17599999999999993</c:v>
                </c:pt>
                <c:pt idx="1">
                  <c:v>0.435</c:v>
                </c:pt>
                <c:pt idx="2">
                  <c:v>3.13</c:v>
                </c:pt>
                <c:pt idx="3">
                  <c:v>1.1929999999999972</c:v>
                </c:pt>
                <c:pt idx="4">
                  <c:v>1.7919999999999983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A-4D6B-981D-A9B34B14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'15'!$S$30:$S$35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18</c:v>
                </c:pt>
                <c:pt idx="2">
                  <c:v>259.39999999999998</c:v>
                </c:pt>
                <c:pt idx="3">
                  <c:v>759.4</c:v>
                </c:pt>
                <c:pt idx="4">
                  <c:v>1714.7</c:v>
                </c:pt>
                <c:pt idx="5">
                  <c:v>4206.2</c:v>
                </c:pt>
              </c:numCache>
            </c:numRef>
          </c:xVal>
          <c:yVal>
            <c:numRef>
              <c:f>'15'!$T$30:$T$35</c:f>
              <c:numCache>
                <c:formatCode>General</c:formatCode>
                <c:ptCount val="6"/>
                <c:pt idx="0">
                  <c:v>9.999999999999953E-7</c:v>
                </c:pt>
                <c:pt idx="1">
                  <c:v>2.3693203379264518</c:v>
                </c:pt>
                <c:pt idx="2">
                  <c:v>2.7000648156578353</c:v>
                </c:pt>
                <c:pt idx="3">
                  <c:v>2.7186970218519937</c:v>
                </c:pt>
                <c:pt idx="4">
                  <c:v>2.724130395617002</c:v>
                </c:pt>
                <c:pt idx="5">
                  <c:v>2.7266963405553684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4-4234-A131-044E5BA1BE77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('15'!$B$28:$B$31,'15'!$B$33)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18</c:v>
                </c:pt>
                <c:pt idx="2">
                  <c:v>259.39999999999998</c:v>
                </c:pt>
                <c:pt idx="3">
                  <c:v>759.4</c:v>
                </c:pt>
                <c:pt idx="4">
                  <c:v>4206.2</c:v>
                </c:pt>
              </c:numCache>
            </c:numRef>
          </c:xVal>
          <c:yVal>
            <c:numRef>
              <c:f>('15'!$C$28:$C$31,'15'!$C$33)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1.9950000000000001</c:v>
                </c:pt>
                <c:pt idx="2">
                  <c:v>2.2669000000000001</c:v>
                </c:pt>
                <c:pt idx="3">
                  <c:v>2.6763999999999997</c:v>
                </c:pt>
                <c:pt idx="4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4-4234-A131-044E5BA1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'16'!$E$4:$E$8</c:f>
              <c:numCache>
                <c:formatCode>General</c:formatCode>
                <c:ptCount val="5"/>
                <c:pt idx="0">
                  <c:v>1000000</c:v>
                </c:pt>
                <c:pt idx="1">
                  <c:v>4.0000000000000001E-3</c:v>
                </c:pt>
                <c:pt idx="2">
                  <c:v>1.5693659761456371E-3</c:v>
                </c:pt>
                <c:pt idx="3">
                  <c:v>5.9231179292779719E-4</c:v>
                </c:pt>
                <c:pt idx="4">
                  <c:v>2.8138893578704484E-4</c:v>
                </c:pt>
              </c:numCache>
            </c:numRef>
          </c:xVal>
          <c:yVal>
            <c:numRef>
              <c:f>'16'!$F$4:$F$8</c:f>
              <c:numCache>
                <c:formatCode>General</c:formatCode>
                <c:ptCount val="5"/>
                <c:pt idx="0">
                  <c:v>0.53908355795148244</c:v>
                </c:pt>
                <c:pt idx="1">
                  <c:v>0.44091710758377428</c:v>
                </c:pt>
                <c:pt idx="2">
                  <c:v>0.44286979627989381</c:v>
                </c:pt>
                <c:pt idx="3">
                  <c:v>0.2269117313365101</c:v>
                </c:pt>
                <c:pt idx="4">
                  <c:v>4.9411997232928155E-2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8-4B42-9C19-C8D3D07ADAEF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'16'!$H$18:$H$22</c:f>
              <c:numCache>
                <c:formatCode>General</c:formatCode>
                <c:ptCount val="5"/>
                <c:pt idx="0">
                  <c:v>1000000</c:v>
                </c:pt>
                <c:pt idx="1">
                  <c:v>4.0000000000000001E-3</c:v>
                </c:pt>
                <c:pt idx="2">
                  <c:v>1.5693659761456371E-3</c:v>
                </c:pt>
                <c:pt idx="3">
                  <c:v>5.9231179292779719E-4</c:v>
                </c:pt>
                <c:pt idx="4">
                  <c:v>2.8138893578704484E-4</c:v>
                </c:pt>
              </c:numCache>
            </c:numRef>
          </c:xVal>
          <c:yVal>
            <c:numRef>
              <c:f>'16'!$I$18:$I$22</c:f>
              <c:numCache>
                <c:formatCode>General</c:formatCode>
                <c:ptCount val="5"/>
                <c:pt idx="0">
                  <c:v>500000.26954177936</c:v>
                </c:pt>
                <c:pt idx="1">
                  <c:v>0.29122227447896537</c:v>
                </c:pt>
                <c:pt idx="2">
                  <c:v>0.29000695751487426</c:v>
                </c:pt>
                <c:pt idx="3">
                  <c:v>0.28951843044249426</c:v>
                </c:pt>
                <c:pt idx="4">
                  <c:v>0.28936296902004299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8-4B42-9C19-C8D3D07A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'16'!$S$5:$S$10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250</c:v>
                </c:pt>
                <c:pt idx="3">
                  <c:v>637.20000000000005</c:v>
                </c:pt>
                <c:pt idx="4">
                  <c:v>1688.3</c:v>
                </c:pt>
                <c:pt idx="5">
                  <c:v>3553.8</c:v>
                </c:pt>
              </c:numCache>
            </c:numRef>
          </c:xVal>
          <c:yVal>
            <c:numRef>
              <c:f>'16'!$T$5:$T$10</c:f>
              <c:numCache>
                <c:formatCode>General</c:formatCode>
                <c:ptCount val="6"/>
                <c:pt idx="0">
                  <c:v>1.999998921833464E-6</c:v>
                </c:pt>
                <c:pt idx="1">
                  <c:v>1.999998921833464E-6</c:v>
                </c:pt>
                <c:pt idx="2">
                  <c:v>3.433803275484784</c:v>
                </c:pt>
                <c:pt idx="3">
                  <c:v>3.4481931349826693</c:v>
                </c:pt>
                <c:pt idx="4">
                  <c:v>3.4540115407216727</c:v>
                </c:pt>
                <c:pt idx="5">
                  <c:v>3.4558672223560647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1-4AB0-B959-5AB3FB7B307C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'16'!$B$3:$B$8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250</c:v>
                </c:pt>
                <c:pt idx="3">
                  <c:v>637.20000000000005</c:v>
                </c:pt>
                <c:pt idx="4">
                  <c:v>1688.3</c:v>
                </c:pt>
                <c:pt idx="5">
                  <c:v>3553.8</c:v>
                </c:pt>
              </c:numCache>
            </c:numRef>
          </c:xVal>
          <c:yVal>
            <c:numRef>
              <c:f>'16'!$C$3:$C$8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1.855</c:v>
                </c:pt>
                <c:pt idx="2">
                  <c:v>2.2679999999999998</c:v>
                </c:pt>
                <c:pt idx="3">
                  <c:v>2.2579999999999996</c:v>
                </c:pt>
                <c:pt idx="4">
                  <c:v>4.407</c:v>
                </c:pt>
                <c:pt idx="5">
                  <c:v>20.238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1-4AB0-B959-5AB3FB7B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'16'!$E$29:$E$33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1.5693659761456371E-3</c:v>
                </c:pt>
                <c:pt idx="3">
                  <c:v>5.9231179292779719E-4</c:v>
                </c:pt>
                <c:pt idx="4">
                  <c:v>0</c:v>
                </c:pt>
              </c:numCache>
            </c:numRef>
          </c:xVal>
          <c:yVal>
            <c:numRef>
              <c:f>'16'!$F$29:$F$33</c:f>
              <c:numCache>
                <c:formatCode>General</c:formatCode>
                <c:ptCount val="5"/>
                <c:pt idx="0">
                  <c:v>0</c:v>
                </c:pt>
                <c:pt idx="1">
                  <c:v>0.44091710758377428</c:v>
                </c:pt>
                <c:pt idx="2">
                  <c:v>0.44286979627989381</c:v>
                </c:pt>
                <c:pt idx="3">
                  <c:v>0.2269117313365101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2-4C5C-B287-FA9AC5813EAE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'16'!$H$42:$H$46</c:f>
              <c:numCache>
                <c:formatCode>General</c:formatCode>
                <c:ptCount val="5"/>
                <c:pt idx="0">
                  <c:v>0</c:v>
                </c:pt>
                <c:pt idx="1">
                  <c:v>4.0000000000000001E-3</c:v>
                </c:pt>
                <c:pt idx="2">
                  <c:v>1.5693659761456371E-3</c:v>
                </c:pt>
                <c:pt idx="3">
                  <c:v>5.9231179292779719E-4</c:v>
                </c:pt>
                <c:pt idx="4">
                  <c:v>0</c:v>
                </c:pt>
              </c:numCache>
            </c:numRef>
          </c:xVal>
          <c:yVal>
            <c:numRef>
              <c:f>'16'!$I$42:$I$46</c:f>
              <c:numCache>
                <c:formatCode>General</c:formatCode>
                <c:ptCount val="5"/>
                <c:pt idx="0">
                  <c:v>0.36817898647859693</c:v>
                </c:pt>
                <c:pt idx="1">
                  <c:v>0.37217898500588098</c:v>
                </c:pt>
                <c:pt idx="2">
                  <c:v>0.369748351876935</c:v>
                </c:pt>
                <c:pt idx="3">
                  <c:v>0.36877129805344799</c:v>
                </c:pt>
                <c:pt idx="4">
                  <c:v>0.36817898647859693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2-4C5C-B287-FA9AC581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'16'!$S$30:$S$35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250</c:v>
                </c:pt>
                <c:pt idx="3">
                  <c:v>637.20000000000005</c:v>
                </c:pt>
                <c:pt idx="4">
                  <c:v>1688.3</c:v>
                </c:pt>
                <c:pt idx="5">
                  <c:v>3553.8</c:v>
                </c:pt>
              </c:numCache>
            </c:numRef>
          </c:xVal>
          <c:yVal>
            <c:numRef>
              <c:f>'16'!$T$30:$T$35</c:f>
              <c:numCache>
                <c:formatCode>General</c:formatCode>
                <c:ptCount val="6"/>
                <c:pt idx="0">
                  <c:v>9.9999999999999953E-7</c:v>
                </c:pt>
                <c:pt idx="1">
                  <c:v>9.9999999999999953E-7</c:v>
                </c:pt>
                <c:pt idx="2">
                  <c:v>2.6868792712307448</c:v>
                </c:pt>
                <c:pt idx="3">
                  <c:v>2.7045421431190975</c:v>
                </c:pt>
                <c:pt idx="4">
                  <c:v>2.7117077854987088</c:v>
                </c:pt>
                <c:pt idx="5">
                  <c:v>2.7139960413831132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F-48FC-BC70-4F3BA6C3B95C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('16'!$B$28,'16'!$B$30:$B$32)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250</c:v>
                </c:pt>
                <c:pt idx="2">
                  <c:v>637.20000000000005</c:v>
                </c:pt>
                <c:pt idx="3">
                  <c:v>1688.3</c:v>
                </c:pt>
              </c:numCache>
            </c:numRef>
          </c:xVal>
          <c:yVal>
            <c:numRef>
              <c:f>('16'!$C$28,'16'!$C$30:$C$32)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2.2679999999999998</c:v>
                </c:pt>
                <c:pt idx="2">
                  <c:v>2.2579999999999996</c:v>
                </c:pt>
                <c:pt idx="3">
                  <c:v>4.407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F-48FC-BC70-4F3BA6C3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'17'!$E$4:$E$8</c:f>
              <c:numCache>
                <c:formatCode>General</c:formatCode>
                <c:ptCount val="5"/>
                <c:pt idx="0">
                  <c:v>1000000</c:v>
                </c:pt>
                <c:pt idx="1">
                  <c:v>2.7777777777777776E-2</c:v>
                </c:pt>
                <c:pt idx="2">
                  <c:v>1.2158054711246201E-3</c:v>
                </c:pt>
                <c:pt idx="3">
                  <c:v>5.6427039837490128E-4</c:v>
                </c:pt>
                <c:pt idx="4">
                  <c:v>2.1447721179624664E-4</c:v>
                </c:pt>
              </c:numCache>
            </c:numRef>
          </c:xVal>
          <c:yVal>
            <c:numRef>
              <c:f>'17'!$F$4:$F$8</c:f>
              <c:numCache>
                <c:formatCode>General</c:formatCode>
                <c:ptCount val="5"/>
                <c:pt idx="0">
                  <c:v>-33.333333333333336</c:v>
                </c:pt>
                <c:pt idx="1">
                  <c:v>0.2443195699975568</c:v>
                </c:pt>
                <c:pt idx="2">
                  <c:v>0.32341526520051739</c:v>
                </c:pt>
                <c:pt idx="3">
                  <c:v>0.25000000000000011</c:v>
                </c:pt>
                <c:pt idx="4">
                  <c:v>0.22172949002217296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D-4F73-8D85-F3559883286F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'17'!$H$18:$H$22</c:f>
              <c:numCache>
                <c:formatCode>General</c:formatCode>
                <c:ptCount val="5"/>
                <c:pt idx="0">
                  <c:v>1000000</c:v>
                </c:pt>
                <c:pt idx="1">
                  <c:v>2.7777777777777776E-2</c:v>
                </c:pt>
                <c:pt idx="2">
                  <c:v>1.2158054711246201E-3</c:v>
                </c:pt>
                <c:pt idx="3">
                  <c:v>5.6427039837490128E-4</c:v>
                </c:pt>
                <c:pt idx="4">
                  <c:v>2.1447721179624664E-4</c:v>
                </c:pt>
              </c:numCache>
            </c:numRef>
          </c:xVal>
          <c:yVal>
            <c:numRef>
              <c:f>'17'!$I$18:$I$22</c:f>
              <c:numCache>
                <c:formatCode>General</c:formatCode>
                <c:ptCount val="5"/>
                <c:pt idx="0">
                  <c:v>499983.33333333302</c:v>
                </c:pt>
                <c:pt idx="1">
                  <c:v>0.27003308480734034</c:v>
                </c:pt>
                <c:pt idx="2">
                  <c:v>0.25675254815725979</c:v>
                </c:pt>
                <c:pt idx="3">
                  <c:v>0.25642679164669002</c:v>
                </c:pt>
                <c:pt idx="4">
                  <c:v>0.25625190097288481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D-4F73-8D85-F3559883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'17'!$S$5:$S$10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36</c:v>
                </c:pt>
                <c:pt idx="3">
                  <c:v>822.5</c:v>
                </c:pt>
                <c:pt idx="4">
                  <c:v>1772.2</c:v>
                </c:pt>
                <c:pt idx="5">
                  <c:v>4662.5</c:v>
                </c:pt>
              </c:numCache>
            </c:numRef>
          </c:xVal>
          <c:yVal>
            <c:numRef>
              <c:f>'17'!$T$5:$T$10</c:f>
              <c:numCache>
                <c:formatCode>General</c:formatCode>
                <c:ptCount val="6"/>
                <c:pt idx="0">
                  <c:v>2.000066668888964E-6</c:v>
                </c:pt>
                <c:pt idx="1">
                  <c:v>2.000066668888964E-6</c:v>
                </c:pt>
                <c:pt idx="2">
                  <c:v>3.7032499210734375</c:v>
                </c:pt>
                <c:pt idx="3">
                  <c:v>3.894800683292555</c:v>
                </c:pt>
                <c:pt idx="4">
                  <c:v>3.8997485152714471</c:v>
                </c:pt>
                <c:pt idx="5">
                  <c:v>3.9024100746312693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9-47D7-92F6-91497D67B6C4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'17'!$B$3:$B$8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36</c:v>
                </c:pt>
                <c:pt idx="3">
                  <c:v>822.5</c:v>
                </c:pt>
                <c:pt idx="4">
                  <c:v>1772.2</c:v>
                </c:pt>
                <c:pt idx="5">
                  <c:v>4662.5</c:v>
                </c:pt>
              </c:numCache>
            </c:numRef>
          </c:xVal>
          <c:yVal>
            <c:numRef>
              <c:f>'17'!$C$3:$C$8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-0.03</c:v>
                </c:pt>
                <c:pt idx="2">
                  <c:v>4.093</c:v>
                </c:pt>
                <c:pt idx="3">
                  <c:v>3.0920000000000005</c:v>
                </c:pt>
                <c:pt idx="4">
                  <c:v>3.9999999999999978</c:v>
                </c:pt>
                <c:pt idx="5">
                  <c:v>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9-47D7-92F6-91497D67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'17'!$E$29:$E$33</c:f>
              <c:numCache>
                <c:formatCode>General</c:formatCode>
                <c:ptCount val="5"/>
                <c:pt idx="0">
                  <c:v>0</c:v>
                </c:pt>
                <c:pt idx="1">
                  <c:v>2.7777777777777776E-2</c:v>
                </c:pt>
                <c:pt idx="2">
                  <c:v>1.2158054711246201E-3</c:v>
                </c:pt>
                <c:pt idx="3">
                  <c:v>5.6427039837490128E-4</c:v>
                </c:pt>
                <c:pt idx="4">
                  <c:v>2.1447721179624664E-4</c:v>
                </c:pt>
              </c:numCache>
            </c:numRef>
          </c:xVal>
          <c:yVal>
            <c:numRef>
              <c:f>'17'!$F$29:$F$33</c:f>
              <c:numCache>
                <c:formatCode>General</c:formatCode>
                <c:ptCount val="5"/>
                <c:pt idx="0">
                  <c:v>0</c:v>
                </c:pt>
                <c:pt idx="1">
                  <c:v>0.2443195699975568</c:v>
                </c:pt>
                <c:pt idx="2">
                  <c:v>0.32341526520051739</c:v>
                </c:pt>
                <c:pt idx="3">
                  <c:v>0.25000000000000011</c:v>
                </c:pt>
                <c:pt idx="4">
                  <c:v>0.22172949002217296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E-4E58-9957-697C689F96E3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'17'!$H$42:$H$46</c:f>
              <c:numCache>
                <c:formatCode>General</c:formatCode>
                <c:ptCount val="5"/>
                <c:pt idx="0">
                  <c:v>0</c:v>
                </c:pt>
                <c:pt idx="1">
                  <c:v>2.7777777777777776E-2</c:v>
                </c:pt>
                <c:pt idx="2">
                  <c:v>1.2158054711246201E-3</c:v>
                </c:pt>
                <c:pt idx="3">
                  <c:v>5.6427039837490128E-4</c:v>
                </c:pt>
                <c:pt idx="4">
                  <c:v>2.1447721179624664E-4</c:v>
                </c:pt>
              </c:numCache>
            </c:numRef>
          </c:xVal>
          <c:yVal>
            <c:numRef>
              <c:f>'17'!$I$42:$I$46</c:f>
              <c:numCache>
                <c:formatCode>General</c:formatCode>
                <c:ptCount val="5"/>
                <c:pt idx="0">
                  <c:v>0.25242300069658086</c:v>
                </c:pt>
                <c:pt idx="1">
                  <c:v>0.28020077146260858</c:v>
                </c:pt>
                <c:pt idx="2">
                  <c:v>0.25363880586080823</c:v>
                </c:pt>
                <c:pt idx="3">
                  <c:v>0.25298727095252094</c:v>
                </c:pt>
                <c:pt idx="4">
                  <c:v>0.25263747785423812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E-4E58-9957-697C689F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'17'!$S$30:$S$35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36</c:v>
                </c:pt>
                <c:pt idx="3">
                  <c:v>822.5</c:v>
                </c:pt>
                <c:pt idx="4">
                  <c:v>1772.2</c:v>
                </c:pt>
                <c:pt idx="5">
                  <c:v>4662.5</c:v>
                </c:pt>
              </c:numCache>
            </c:numRef>
          </c:xVal>
          <c:yVal>
            <c:numRef>
              <c:f>'17'!$T$30:$T$35</c:f>
              <c:numCache>
                <c:formatCode>General</c:formatCode>
                <c:ptCount val="6"/>
                <c:pt idx="0">
                  <c:v>1.0000000000000008E-6</c:v>
                </c:pt>
                <c:pt idx="1">
                  <c:v>1.0000000000000008E-6</c:v>
                </c:pt>
                <c:pt idx="2">
                  <c:v>3.5688695458622068</c:v>
                </c:pt>
                <c:pt idx="3">
                  <c:v>3.9426143669387073</c:v>
                </c:pt>
                <c:pt idx="4">
                  <c:v>3.9527680433679753</c:v>
                </c:pt>
                <c:pt idx="5">
                  <c:v>3.9582409090426429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0-4E7E-932E-C02E86F54CCC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('17'!$B$28,'17'!$B$30:$B$33)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36</c:v>
                </c:pt>
                <c:pt idx="2">
                  <c:v>822.5</c:v>
                </c:pt>
                <c:pt idx="3">
                  <c:v>1772.2</c:v>
                </c:pt>
                <c:pt idx="4">
                  <c:v>4662.5</c:v>
                </c:pt>
              </c:numCache>
            </c:numRef>
          </c:xVal>
          <c:yVal>
            <c:numRef>
              <c:f>('17'!$C$28,'17'!$C$30:$C$33)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4.093</c:v>
                </c:pt>
                <c:pt idx="2">
                  <c:v>3.0920000000000005</c:v>
                </c:pt>
                <c:pt idx="3">
                  <c:v>3.9999999999999978</c:v>
                </c:pt>
                <c:pt idx="4">
                  <c:v>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0-4E7E-932E-C02E86F5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'18'!$E$4:$E$8</c:f>
              <c:numCache>
                <c:formatCode>General</c:formatCode>
                <c:ptCount val="5"/>
                <c:pt idx="0">
                  <c:v>1000000</c:v>
                </c:pt>
                <c:pt idx="1">
                  <c:v>4.1536863966770508E-3</c:v>
                </c:pt>
                <c:pt idx="2">
                  <c:v>1.3900472616068947E-3</c:v>
                </c:pt>
                <c:pt idx="3">
                  <c:v>6.5733254453427992E-4</c:v>
                </c:pt>
                <c:pt idx="4">
                  <c:v>2.1326054040220936E-4</c:v>
                </c:pt>
              </c:numCache>
            </c:numRef>
          </c:xVal>
          <c:yVal>
            <c:numRef>
              <c:f>'18'!$F$4:$F$8</c:f>
              <c:numCache>
                <c:formatCode>General</c:formatCode>
                <c:ptCount val="5"/>
                <c:pt idx="0">
                  <c:v>0.49603174603174605</c:v>
                </c:pt>
                <c:pt idx="1">
                  <c:v>0.41536863966770504</c:v>
                </c:pt>
                <c:pt idx="2">
                  <c:v>0.59311981020166071</c:v>
                </c:pt>
                <c:pt idx="3">
                  <c:v>0.25641025641025644</c:v>
                </c:pt>
                <c:pt idx="4">
                  <c:v>0.10353038616834044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D-4463-B525-917FA2ACEA97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'18'!$H$18:$H$22</c:f>
              <c:numCache>
                <c:formatCode>General</c:formatCode>
                <c:ptCount val="5"/>
                <c:pt idx="0">
                  <c:v>1000000</c:v>
                </c:pt>
                <c:pt idx="1">
                  <c:v>4.1536863966770508E-3</c:v>
                </c:pt>
                <c:pt idx="2">
                  <c:v>1.3900472616068947E-3</c:v>
                </c:pt>
                <c:pt idx="3">
                  <c:v>6.5733254453427992E-4</c:v>
                </c:pt>
                <c:pt idx="4">
                  <c:v>2.1326054040220936E-4</c:v>
                </c:pt>
              </c:numCache>
            </c:numRef>
          </c:xVal>
          <c:yVal>
            <c:numRef>
              <c:f>'18'!$I$18:$I$22</c:f>
              <c:numCache>
                <c:formatCode>General</c:formatCode>
                <c:ptCount val="5"/>
                <c:pt idx="0">
                  <c:v>500000.24801587325</c:v>
                </c:pt>
                <c:pt idx="1">
                  <c:v>0.34338232504122479</c:v>
                </c:pt>
                <c:pt idx="2">
                  <c:v>0.34200050573150853</c:v>
                </c:pt>
                <c:pt idx="3">
                  <c:v>0.34163414844132689</c:v>
                </c:pt>
                <c:pt idx="4">
                  <c:v>0.34141211248068815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D-4463-B525-917FA2AC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'2'!$E$29:$E$33</c:f>
              <c:numCache>
                <c:formatCode>General</c:formatCode>
                <c:ptCount val="5"/>
                <c:pt idx="0">
                  <c:v>5.208333333333333E-3</c:v>
                </c:pt>
                <c:pt idx="1">
                  <c:v>2.2251891410769915E-3</c:v>
                </c:pt>
                <c:pt idx="2">
                  <c:v>0</c:v>
                </c:pt>
                <c:pt idx="3">
                  <c:v>4.8313846748478112E-4</c:v>
                </c:pt>
                <c:pt idx="4">
                  <c:v>1.9204916458613405E-4</c:v>
                </c:pt>
              </c:numCache>
            </c:numRef>
          </c:xVal>
          <c:yVal>
            <c:numRef>
              <c:f>'2'!$F$29:$F$33</c:f>
              <c:numCache>
                <c:formatCode>General</c:formatCode>
                <c:ptCount val="5"/>
                <c:pt idx="0">
                  <c:v>5.6818181818181843</c:v>
                </c:pt>
                <c:pt idx="1">
                  <c:v>2.2988505747126435</c:v>
                </c:pt>
                <c:pt idx="2">
                  <c:v>0</c:v>
                </c:pt>
                <c:pt idx="3">
                  <c:v>0.83822296730930623</c:v>
                </c:pt>
                <c:pt idx="4">
                  <c:v>0.55803571428571486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0-4DD5-B198-9D5EA7A0EBCA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'2'!$H$42:$H$46</c:f>
              <c:numCache>
                <c:formatCode>General</c:formatCode>
                <c:ptCount val="5"/>
                <c:pt idx="0">
                  <c:v>5.208333333333333E-3</c:v>
                </c:pt>
                <c:pt idx="1">
                  <c:v>2.2251891410769915E-3</c:v>
                </c:pt>
                <c:pt idx="2">
                  <c:v>0</c:v>
                </c:pt>
                <c:pt idx="3">
                  <c:v>4.8313846748478112E-4</c:v>
                </c:pt>
                <c:pt idx="4">
                  <c:v>1.9204916458613405E-4</c:v>
                </c:pt>
              </c:numCache>
            </c:numRef>
          </c:xVal>
          <c:yVal>
            <c:numRef>
              <c:f>'2'!$I$42:$I$46</c:f>
              <c:numCache>
                <c:formatCode>General</c:formatCode>
                <c:ptCount val="5"/>
                <c:pt idx="0">
                  <c:v>2.3474130038670502</c:v>
                </c:pt>
                <c:pt idx="1">
                  <c:v>2.3444298666619279</c:v>
                </c:pt>
                <c:pt idx="2">
                  <c:v>2.3422046827326994</c:v>
                </c:pt>
                <c:pt idx="3">
                  <c:v>2.342687820068575</c:v>
                </c:pt>
                <c:pt idx="4">
                  <c:v>2.342396731447467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0-4DD5-B198-9D5EA7A0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'18'!$S$5:$S$10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240.75</c:v>
                </c:pt>
                <c:pt idx="3">
                  <c:v>719.4</c:v>
                </c:pt>
                <c:pt idx="4">
                  <c:v>1521.3</c:v>
                </c:pt>
                <c:pt idx="5">
                  <c:v>4689.1000000000004</c:v>
                </c:pt>
              </c:numCache>
            </c:numRef>
          </c:xVal>
          <c:yVal>
            <c:numRef>
              <c:f>'18'!$T$5:$T$10</c:f>
              <c:numCache>
                <c:formatCode>General</c:formatCode>
                <c:ptCount val="6"/>
                <c:pt idx="0">
                  <c:v>1.9999990079369987E-6</c:v>
                </c:pt>
                <c:pt idx="1">
                  <c:v>1.9999990079369987E-6</c:v>
                </c:pt>
                <c:pt idx="2">
                  <c:v>2.912205804069691</c:v>
                </c:pt>
                <c:pt idx="3">
                  <c:v>2.9239722843715952</c:v>
                </c:pt>
                <c:pt idx="4">
                  <c:v>2.9271078566425639</c:v>
                </c:pt>
                <c:pt idx="5">
                  <c:v>2.9290114891766312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3-4086-B330-0BDCCB88ACC0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'18'!$B$3:$B$8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240.75</c:v>
                </c:pt>
                <c:pt idx="3">
                  <c:v>719.4</c:v>
                </c:pt>
                <c:pt idx="4">
                  <c:v>1521.3</c:v>
                </c:pt>
                <c:pt idx="5">
                  <c:v>4689.1000000000004</c:v>
                </c:pt>
              </c:numCache>
            </c:numRef>
          </c:xVal>
          <c:yVal>
            <c:numRef>
              <c:f>'18'!$C$3:$C$8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2.016</c:v>
                </c:pt>
                <c:pt idx="2">
                  <c:v>2.4075000000000002</c:v>
                </c:pt>
                <c:pt idx="3">
                  <c:v>1.6860000000000002</c:v>
                </c:pt>
                <c:pt idx="4">
                  <c:v>3.9</c:v>
                </c:pt>
                <c:pt idx="5">
                  <c:v>9.6589999999999971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3-4086-B330-0BDCCB88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'18'!$E$29:$E$33</c:f>
              <c:numCache>
                <c:formatCode>General</c:formatCode>
                <c:ptCount val="5"/>
                <c:pt idx="0">
                  <c:v>0</c:v>
                </c:pt>
                <c:pt idx="1">
                  <c:v>4.1536863966770508E-3</c:v>
                </c:pt>
                <c:pt idx="2">
                  <c:v>1.3900472616068947E-3</c:v>
                </c:pt>
                <c:pt idx="3">
                  <c:v>6.5733254453427992E-4</c:v>
                </c:pt>
                <c:pt idx="4">
                  <c:v>2.1326054040220936E-4</c:v>
                </c:pt>
              </c:numCache>
            </c:numRef>
          </c:xVal>
          <c:yVal>
            <c:numRef>
              <c:f>'18'!$F$29:$F$33</c:f>
              <c:numCache>
                <c:formatCode>General</c:formatCode>
                <c:ptCount val="5"/>
                <c:pt idx="0">
                  <c:v>0</c:v>
                </c:pt>
                <c:pt idx="1">
                  <c:v>0.41536863966770504</c:v>
                </c:pt>
                <c:pt idx="2">
                  <c:v>0.59311981020166071</c:v>
                </c:pt>
                <c:pt idx="3">
                  <c:v>0.25641025641025644</c:v>
                </c:pt>
                <c:pt idx="4">
                  <c:v>0.10353038616834044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562-8B98-369A8B0AB8D8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'18'!$H$42:$H$46</c:f>
              <c:numCache>
                <c:formatCode>General</c:formatCode>
                <c:ptCount val="5"/>
                <c:pt idx="0">
                  <c:v>0</c:v>
                </c:pt>
                <c:pt idx="1">
                  <c:v>4.1536863966770508E-3</c:v>
                </c:pt>
                <c:pt idx="2">
                  <c:v>1.3900472616068947E-3</c:v>
                </c:pt>
                <c:pt idx="3">
                  <c:v>6.5733254453427992E-4</c:v>
                </c:pt>
                <c:pt idx="4">
                  <c:v>2.1326054040220936E-4</c:v>
                </c:pt>
              </c:numCache>
            </c:numRef>
          </c:xVal>
          <c:yVal>
            <c:numRef>
              <c:f>'18'!$I$42:$I$46</c:f>
              <c:numCache>
                <c:formatCode>General</c:formatCode>
                <c:ptCount val="5"/>
                <c:pt idx="0">
                  <c:v>0.45400492293993011</c:v>
                </c:pt>
                <c:pt idx="1">
                  <c:v>0.4581586074508131</c:v>
                </c:pt>
                <c:pt idx="2">
                  <c:v>0.45539496957044873</c:v>
                </c:pt>
                <c:pt idx="3">
                  <c:v>0.4546622551860322</c:v>
                </c:pt>
                <c:pt idx="4">
                  <c:v>0.454218183383511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6-4562-8B98-369A8B0A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'18'!$S$30:$S$35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240.75</c:v>
                </c:pt>
                <c:pt idx="3">
                  <c:v>719.4</c:v>
                </c:pt>
                <c:pt idx="4">
                  <c:v>1521.3</c:v>
                </c:pt>
                <c:pt idx="5">
                  <c:v>4689.1000000000004</c:v>
                </c:pt>
              </c:numCache>
            </c:numRef>
          </c:xVal>
          <c:yVal>
            <c:numRef>
              <c:f>'18'!$T$30:$T$35</c:f>
              <c:numCache>
                <c:formatCode>General</c:formatCode>
                <c:ptCount val="6"/>
                <c:pt idx="0">
                  <c:v>1.0000000000000004E-6</c:v>
                </c:pt>
                <c:pt idx="1">
                  <c:v>1.0000000000000004E-6</c:v>
                </c:pt>
                <c:pt idx="2">
                  <c:v>2.1826502519814777</c:v>
                </c:pt>
                <c:pt idx="3">
                  <c:v>2.1958960173478643</c:v>
                </c:pt>
                <c:pt idx="4">
                  <c:v>2.1994348301264512</c:v>
                </c:pt>
                <c:pt idx="5">
                  <c:v>2.2015851337146226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327-8D26-53DCAD5BD17E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('18'!$B$28,'18'!$B$30:$B$33)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240.75</c:v>
                </c:pt>
                <c:pt idx="2">
                  <c:v>719.4</c:v>
                </c:pt>
                <c:pt idx="3">
                  <c:v>1521.3</c:v>
                </c:pt>
                <c:pt idx="4">
                  <c:v>4689.1000000000004</c:v>
                </c:pt>
              </c:numCache>
            </c:numRef>
          </c:xVal>
          <c:yVal>
            <c:numRef>
              <c:f>('18'!$C$28,'18'!$C$30:$C$33)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2.4075000000000002</c:v>
                </c:pt>
                <c:pt idx="2">
                  <c:v>1.6860000000000002</c:v>
                </c:pt>
                <c:pt idx="3">
                  <c:v>3.9</c:v>
                </c:pt>
                <c:pt idx="4">
                  <c:v>9.6589999999999971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A-4327-8D26-53DCAD5B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'19'!$E$4:$E$8</c:f>
              <c:numCache>
                <c:formatCode>General</c:formatCode>
                <c:ptCount val="5"/>
                <c:pt idx="0">
                  <c:v>1000000</c:v>
                </c:pt>
                <c:pt idx="1">
                  <c:v>2.7487630566245189E-3</c:v>
                </c:pt>
                <c:pt idx="2">
                  <c:v>1.5888147442008262E-3</c:v>
                </c:pt>
                <c:pt idx="3">
                  <c:v>6.2305295950155766E-4</c:v>
                </c:pt>
                <c:pt idx="4">
                  <c:v>2.5412314807755839E-4</c:v>
                </c:pt>
              </c:numCache>
            </c:numRef>
          </c:xVal>
          <c:yVal>
            <c:numRef>
              <c:f>'19'!$F$4:$F$8</c:f>
              <c:numCache>
                <c:formatCode>General</c:formatCode>
                <c:ptCount val="5"/>
                <c:pt idx="0">
                  <c:v>0.54674685620557684</c:v>
                </c:pt>
                <c:pt idx="1">
                  <c:v>0.79239302694136293</c:v>
                </c:pt>
                <c:pt idx="2">
                  <c:v>0.24473813020068524</c:v>
                </c:pt>
                <c:pt idx="3">
                  <c:v>0.30665440049064713</c:v>
                </c:pt>
                <c:pt idx="4">
                  <c:v>8.5258760337624695E-2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2-412A-811D-349C8F70CFDD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'19'!$H$18:$H$22</c:f>
              <c:numCache>
                <c:formatCode>General</c:formatCode>
                <c:ptCount val="5"/>
                <c:pt idx="0">
                  <c:v>1000000</c:v>
                </c:pt>
                <c:pt idx="1">
                  <c:v>2.7487630566245189E-3</c:v>
                </c:pt>
                <c:pt idx="2">
                  <c:v>1.5888147442008262E-3</c:v>
                </c:pt>
                <c:pt idx="3">
                  <c:v>6.2305295950155766E-4</c:v>
                </c:pt>
                <c:pt idx="4">
                  <c:v>2.5412314807755839E-4</c:v>
                </c:pt>
              </c:numCache>
            </c:numRef>
          </c:xVal>
          <c:yVal>
            <c:numRef>
              <c:f>'19'!$I$18:$I$22</c:f>
              <c:numCache>
                <c:formatCode>General</c:formatCode>
                <c:ptCount val="5"/>
                <c:pt idx="0">
                  <c:v>500000.27337342862</c:v>
                </c:pt>
                <c:pt idx="1">
                  <c:v>0.35798361649705523</c:v>
                </c:pt>
                <c:pt idx="2">
                  <c:v>0.35740364243739264</c:v>
                </c:pt>
                <c:pt idx="3">
                  <c:v>0.35692076162542896</c:v>
                </c:pt>
                <c:pt idx="4">
                  <c:v>0.35673629675042512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2-412A-811D-349C8F70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'19'!$S$5:$S$10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363.8</c:v>
                </c:pt>
                <c:pt idx="3">
                  <c:v>629.4</c:v>
                </c:pt>
                <c:pt idx="4">
                  <c:v>1605</c:v>
                </c:pt>
                <c:pt idx="5">
                  <c:v>3935.1</c:v>
                </c:pt>
              </c:numCache>
            </c:numRef>
          </c:xVal>
          <c:yVal>
            <c:numRef>
              <c:f>'19'!$T$5:$T$10</c:f>
              <c:numCache>
                <c:formatCode>General</c:formatCode>
                <c:ptCount val="6"/>
                <c:pt idx="0">
                  <c:v>1.9999989065068831E-6</c:v>
                </c:pt>
                <c:pt idx="1">
                  <c:v>1.9999989065068831E-6</c:v>
                </c:pt>
                <c:pt idx="2">
                  <c:v>2.7934239275674391</c:v>
                </c:pt>
                <c:pt idx="3">
                  <c:v>2.7979569351344056</c:v>
                </c:pt>
                <c:pt idx="4">
                  <c:v>2.8017423123439689</c:v>
                </c:pt>
                <c:pt idx="5">
                  <c:v>2.8031910660876935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6-4B30-9E78-43DBB557E49D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'19'!$B$3:$B$8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363.8</c:v>
                </c:pt>
                <c:pt idx="3">
                  <c:v>629.4</c:v>
                </c:pt>
                <c:pt idx="4">
                  <c:v>1605</c:v>
                </c:pt>
                <c:pt idx="5">
                  <c:v>3935.1</c:v>
                </c:pt>
              </c:numCache>
            </c:numRef>
          </c:xVal>
          <c:yVal>
            <c:numRef>
              <c:f>'19'!$C$3:$C$8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1.829</c:v>
                </c:pt>
                <c:pt idx="2">
                  <c:v>1.262</c:v>
                </c:pt>
                <c:pt idx="3">
                  <c:v>4.0860000000000003</c:v>
                </c:pt>
                <c:pt idx="4">
                  <c:v>3.2609999999999992</c:v>
                </c:pt>
                <c:pt idx="5">
                  <c:v>11.728999999999999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6-4B30-9E78-43DBB557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'19'!$E$29:$E$33</c:f>
              <c:numCache>
                <c:formatCode>General</c:formatCode>
                <c:ptCount val="5"/>
                <c:pt idx="0">
                  <c:v>0</c:v>
                </c:pt>
                <c:pt idx="1">
                  <c:v>2.7487630566245189E-3</c:v>
                </c:pt>
                <c:pt idx="2">
                  <c:v>1.5888147442008262E-3</c:v>
                </c:pt>
                <c:pt idx="3">
                  <c:v>6.2305295950155766E-4</c:v>
                </c:pt>
                <c:pt idx="4">
                  <c:v>2.5412314807755839E-4</c:v>
                </c:pt>
              </c:numCache>
            </c:numRef>
          </c:xVal>
          <c:yVal>
            <c:numRef>
              <c:f>'19'!$F$29:$F$33</c:f>
              <c:numCache>
                <c:formatCode>General</c:formatCode>
                <c:ptCount val="5"/>
                <c:pt idx="0">
                  <c:v>0</c:v>
                </c:pt>
                <c:pt idx="1">
                  <c:v>0.79239302694136293</c:v>
                </c:pt>
                <c:pt idx="2">
                  <c:v>0.24473813020068524</c:v>
                </c:pt>
                <c:pt idx="3">
                  <c:v>0.30665440049064713</c:v>
                </c:pt>
                <c:pt idx="4">
                  <c:v>8.5258760337624695E-2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6-4102-B327-896EAAF7B6C0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'19'!$H$42:$H$46</c:f>
              <c:numCache>
                <c:formatCode>General</c:formatCode>
                <c:ptCount val="5"/>
                <c:pt idx="0">
                  <c:v>0</c:v>
                </c:pt>
                <c:pt idx="1">
                  <c:v>2.7487630566245189E-3</c:v>
                </c:pt>
                <c:pt idx="2">
                  <c:v>1.5888147442008262E-3</c:v>
                </c:pt>
                <c:pt idx="3">
                  <c:v>6.2305295950155766E-4</c:v>
                </c:pt>
                <c:pt idx="4">
                  <c:v>2.5412314807755839E-4</c:v>
                </c:pt>
              </c:numCache>
            </c:numRef>
          </c:xVal>
          <c:yVal>
            <c:numRef>
              <c:f>'19'!$I$42:$I$46</c:f>
              <c:numCache>
                <c:formatCode>General</c:formatCode>
                <c:ptCount val="5"/>
                <c:pt idx="0">
                  <c:v>0.35595739135169424</c:v>
                </c:pt>
                <c:pt idx="1">
                  <c:v>0.35870615342987622</c:v>
                </c:pt>
                <c:pt idx="2">
                  <c:v>0.35754620553034472</c:v>
                </c:pt>
                <c:pt idx="3">
                  <c:v>0.35658044408941547</c:v>
                </c:pt>
                <c:pt idx="4">
                  <c:v>0.35621151440931481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6-4102-B327-896EAAF7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'19'!$S$30:$S$35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363.8</c:v>
                </c:pt>
                <c:pt idx="3">
                  <c:v>629.4</c:v>
                </c:pt>
                <c:pt idx="4">
                  <c:v>1605</c:v>
                </c:pt>
                <c:pt idx="5">
                  <c:v>3935.1</c:v>
                </c:pt>
              </c:numCache>
            </c:numRef>
          </c:xVal>
          <c:yVal>
            <c:numRef>
              <c:f>'19'!$T$30:$T$35</c:f>
              <c:numCache>
                <c:formatCode>General</c:formatCode>
                <c:ptCount val="6"/>
                <c:pt idx="0">
                  <c:v>9.9999999999999911E-7</c:v>
                </c:pt>
                <c:pt idx="1">
                  <c:v>9.9999999999999911E-7</c:v>
                </c:pt>
                <c:pt idx="2">
                  <c:v>2.7877971716910923</c:v>
                </c:pt>
                <c:pt idx="3">
                  <c:v>2.7968413159823919</c:v>
                </c:pt>
                <c:pt idx="4">
                  <c:v>2.8044162728936466</c:v>
                </c:pt>
                <c:pt idx="5">
                  <c:v>2.8073208179646945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C-4F81-B954-979A290D7CE1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'19'!$B$28:$B$33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363.8</c:v>
                </c:pt>
                <c:pt idx="3">
                  <c:v>629.4</c:v>
                </c:pt>
                <c:pt idx="4">
                  <c:v>1605</c:v>
                </c:pt>
                <c:pt idx="5">
                  <c:v>3935.1</c:v>
                </c:pt>
              </c:numCache>
            </c:numRef>
          </c:xVal>
          <c:yVal>
            <c:numRef>
              <c:f>'19'!$C$28:$C$33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1.829</c:v>
                </c:pt>
                <c:pt idx="2">
                  <c:v>1.262</c:v>
                </c:pt>
                <c:pt idx="3">
                  <c:v>4.0860000000000003</c:v>
                </c:pt>
                <c:pt idx="4">
                  <c:v>3.2609999999999992</c:v>
                </c:pt>
                <c:pt idx="5">
                  <c:v>11.728999999999999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C-4F81-B954-979A290D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'20'!$E$4:$E$8</c:f>
              <c:numCache>
                <c:formatCode>General</c:formatCode>
                <c:ptCount val="5"/>
                <c:pt idx="0">
                  <c:v>1000000</c:v>
                </c:pt>
                <c:pt idx="1">
                  <c:v>1.8518518518518517E-2</c:v>
                </c:pt>
                <c:pt idx="2">
                  <c:v>1.129305477131564E-3</c:v>
                </c:pt>
                <c:pt idx="3">
                  <c:v>5.5013065603080728E-4</c:v>
                </c:pt>
                <c:pt idx="4">
                  <c:v>2.9629629629629629E-4</c:v>
                </c:pt>
              </c:numCache>
            </c:numRef>
          </c:xVal>
          <c:yVal>
            <c:numRef>
              <c:f>'20'!$F$4:$F$8</c:f>
              <c:numCache>
                <c:formatCode>General</c:formatCode>
                <c:ptCount val="5"/>
                <c:pt idx="0">
                  <c:v>0.45516613563950842</c:v>
                </c:pt>
                <c:pt idx="1">
                  <c:v>0.24801587301587302</c:v>
                </c:pt>
                <c:pt idx="2">
                  <c:v>0.33189512114171926</c:v>
                </c:pt>
                <c:pt idx="3">
                  <c:v>0.769882208022172</c:v>
                </c:pt>
                <c:pt idx="4">
                  <c:v>5.5084278946788599E-2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6-4AA5-B65F-C5265952A11C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'20'!$H$18:$H$22</c:f>
              <c:numCache>
                <c:formatCode>General</c:formatCode>
                <c:ptCount val="5"/>
                <c:pt idx="0">
                  <c:v>1000000</c:v>
                </c:pt>
                <c:pt idx="1">
                  <c:v>1.8518518518518517E-2</c:v>
                </c:pt>
                <c:pt idx="2">
                  <c:v>1.129305477131564E-3</c:v>
                </c:pt>
                <c:pt idx="3">
                  <c:v>5.5013065603080728E-4</c:v>
                </c:pt>
                <c:pt idx="4">
                  <c:v>2.9629629629629629E-4</c:v>
                </c:pt>
              </c:numCache>
            </c:numRef>
          </c:xVal>
          <c:yVal>
            <c:numRef>
              <c:f>'20'!$I$18:$I$22</c:f>
              <c:numCache>
                <c:formatCode>General</c:formatCode>
                <c:ptCount val="5"/>
                <c:pt idx="0">
                  <c:v>500000.22758306691</c:v>
                </c:pt>
                <c:pt idx="1">
                  <c:v>0.35791684703409399</c:v>
                </c:pt>
                <c:pt idx="2">
                  <c:v>0.34922224261879115</c:v>
                </c:pt>
                <c:pt idx="3">
                  <c:v>0.34893265527836409</c:v>
                </c:pt>
                <c:pt idx="4">
                  <c:v>0.34880573812922971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6-4AA5-B65F-C5265952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'20'!$S$5:$S$10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54</c:v>
                </c:pt>
                <c:pt idx="3">
                  <c:v>885.5</c:v>
                </c:pt>
                <c:pt idx="4">
                  <c:v>1817.75</c:v>
                </c:pt>
                <c:pt idx="5">
                  <c:v>3375</c:v>
                </c:pt>
              </c:numCache>
            </c:numRef>
          </c:xVal>
          <c:yVal>
            <c:numRef>
              <c:f>'20'!$T$5:$T$10</c:f>
              <c:numCache>
                <c:formatCode>General</c:formatCode>
                <c:ptCount val="6"/>
                <c:pt idx="0">
                  <c:v>1.9999990896681471E-6</c:v>
                </c:pt>
                <c:pt idx="1">
                  <c:v>1.9999990896681471E-6</c:v>
                </c:pt>
                <c:pt idx="2">
                  <c:v>2.7939450413876257</c:v>
                </c:pt>
                <c:pt idx="3">
                  <c:v>2.8635060370183631</c:v>
                </c:pt>
                <c:pt idx="4">
                  <c:v>2.8658825273955548</c:v>
                </c:pt>
                <c:pt idx="5">
                  <c:v>2.8669253131079744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8-480A-9F06-3CC55CD627BD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'20'!$B$3:$B$8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54</c:v>
                </c:pt>
                <c:pt idx="3">
                  <c:v>885.5</c:v>
                </c:pt>
                <c:pt idx="4">
                  <c:v>1817.75</c:v>
                </c:pt>
                <c:pt idx="5">
                  <c:v>3375</c:v>
                </c:pt>
              </c:numCache>
            </c:numRef>
          </c:xVal>
          <c:yVal>
            <c:numRef>
              <c:f>'20'!$C$3:$C$8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2.1970000000000001</c:v>
                </c:pt>
                <c:pt idx="2">
                  <c:v>4.032</c:v>
                </c:pt>
                <c:pt idx="3">
                  <c:v>3.0129999999999995</c:v>
                </c:pt>
                <c:pt idx="4">
                  <c:v>1.2989000000000011</c:v>
                </c:pt>
                <c:pt idx="5">
                  <c:v>18.153999999999996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8-480A-9F06-3CC55CD6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'20'!$E$29:$E$33</c:f>
              <c:numCache>
                <c:formatCode>General</c:formatCode>
                <c:ptCount val="5"/>
                <c:pt idx="0">
                  <c:v>0</c:v>
                </c:pt>
                <c:pt idx="1">
                  <c:v>1.8518518518518517E-2</c:v>
                </c:pt>
                <c:pt idx="2">
                  <c:v>1.129305477131564E-3</c:v>
                </c:pt>
                <c:pt idx="3">
                  <c:v>0</c:v>
                </c:pt>
                <c:pt idx="4">
                  <c:v>2.9629629629629629E-4</c:v>
                </c:pt>
              </c:numCache>
            </c:numRef>
          </c:xVal>
          <c:yVal>
            <c:numRef>
              <c:f>'20'!$F$29:$F$33</c:f>
              <c:numCache>
                <c:formatCode>General</c:formatCode>
                <c:ptCount val="5"/>
                <c:pt idx="0">
                  <c:v>0</c:v>
                </c:pt>
                <c:pt idx="1">
                  <c:v>0.24801587301587302</c:v>
                </c:pt>
                <c:pt idx="2">
                  <c:v>0.33189512114171926</c:v>
                </c:pt>
                <c:pt idx="3">
                  <c:v>0</c:v>
                </c:pt>
                <c:pt idx="4">
                  <c:v>5.5084278946788599E-2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B-4537-9F65-2B1327886E78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'20'!$H$42:$H$46</c:f>
              <c:numCache>
                <c:formatCode>General</c:formatCode>
                <c:ptCount val="5"/>
                <c:pt idx="0">
                  <c:v>0</c:v>
                </c:pt>
                <c:pt idx="1">
                  <c:v>1.8518518518518517E-2</c:v>
                </c:pt>
                <c:pt idx="2">
                  <c:v>1.129305477131564E-3</c:v>
                </c:pt>
                <c:pt idx="3">
                  <c:v>0</c:v>
                </c:pt>
                <c:pt idx="4">
                  <c:v>2.9629629629629629E-4</c:v>
                </c:pt>
              </c:numCache>
            </c:numRef>
          </c:xVal>
          <c:yVal>
            <c:numRef>
              <c:f>'20'!$I$42:$I$46</c:f>
              <c:numCache>
                <c:formatCode>General</c:formatCode>
                <c:ptCount val="5"/>
                <c:pt idx="0">
                  <c:v>0.2050170520960819</c:v>
                </c:pt>
                <c:pt idx="1">
                  <c:v>0.22353556681798836</c:v>
                </c:pt>
                <c:pt idx="2">
                  <c:v>0.20614635734168657</c:v>
                </c:pt>
                <c:pt idx="3">
                  <c:v>0.2050170520960819</c:v>
                </c:pt>
                <c:pt idx="4">
                  <c:v>0.20531334833163239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B-4537-9F65-2B132788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'2'!$S$30:$S$35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192</c:v>
                </c:pt>
                <c:pt idx="2">
                  <c:v>449.4</c:v>
                </c:pt>
                <c:pt idx="3">
                  <c:v>735.5</c:v>
                </c:pt>
                <c:pt idx="4">
                  <c:v>2069.8000000000002</c:v>
                </c:pt>
                <c:pt idx="5">
                  <c:v>5207</c:v>
                </c:pt>
              </c:numCache>
            </c:numRef>
          </c:xVal>
          <c:yVal>
            <c:numRef>
              <c:f>'2'!$T$30:$T$35</c:f>
              <c:numCache>
                <c:formatCode>General</c:formatCode>
                <c:ptCount val="6"/>
                <c:pt idx="0">
                  <c:v>9.9999999999998386E-7</c:v>
                </c:pt>
                <c:pt idx="1">
                  <c:v>0.4260008777120316</c:v>
                </c:pt>
                <c:pt idx="2">
                  <c:v>0.42654293660907466</c:v>
                </c:pt>
                <c:pt idx="3">
                  <c:v>0.42670047520721449</c:v>
                </c:pt>
                <c:pt idx="4">
                  <c:v>0.42686011829383563</c:v>
                </c:pt>
                <c:pt idx="5">
                  <c:v>0.42691316401473006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D-4027-8CF6-C6C8611EB832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('2'!$B$28:$B$30,'2'!$B$32:$B$33)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192</c:v>
                </c:pt>
                <c:pt idx="2">
                  <c:v>449.4</c:v>
                </c:pt>
                <c:pt idx="3">
                  <c:v>2069.8000000000002</c:v>
                </c:pt>
                <c:pt idx="4">
                  <c:v>5207</c:v>
                </c:pt>
              </c:numCache>
            </c:numRef>
          </c:xVal>
          <c:yVal>
            <c:numRef>
              <c:f>('2'!$C$28:$C$30,'2'!$C$32:$C$33)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0.17599999999999993</c:v>
                </c:pt>
                <c:pt idx="2">
                  <c:v>0.435</c:v>
                </c:pt>
                <c:pt idx="3">
                  <c:v>1.1929999999999972</c:v>
                </c:pt>
                <c:pt idx="4">
                  <c:v>1.7919999999999983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D-4027-8CF6-C6C8611E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Isoterma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Isoterma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'20'!$S$30:$S$35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9.9999999999999995E-7</c:v>
                </c:pt>
                <c:pt idx="2">
                  <c:v>54</c:v>
                </c:pt>
                <c:pt idx="3">
                  <c:v>885.5</c:v>
                </c:pt>
                <c:pt idx="4">
                  <c:v>1817.75</c:v>
                </c:pt>
                <c:pt idx="5">
                  <c:v>3375</c:v>
                </c:pt>
              </c:numCache>
            </c:numRef>
          </c:xVal>
          <c:yVal>
            <c:numRef>
              <c:f>'20'!$T$30:$T$35</c:f>
              <c:numCache>
                <c:formatCode>General</c:formatCode>
                <c:ptCount val="6"/>
                <c:pt idx="0">
                  <c:v>9.9999999999999953E-7</c:v>
                </c:pt>
                <c:pt idx="1">
                  <c:v>9.9999999999999953E-7</c:v>
                </c:pt>
                <c:pt idx="2">
                  <c:v>4.4735610276025568</c:v>
                </c:pt>
                <c:pt idx="3">
                  <c:v>4.8509224848562553</c:v>
                </c:pt>
                <c:pt idx="4">
                  <c:v>4.8645897032822036</c:v>
                </c:pt>
                <c:pt idx="5">
                  <c:v>4.8706039238362138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084-BDC7-5FF00312B761}"/>
            </c:ext>
          </c:extLst>
        </c:ser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('20'!$B$28,'20'!$B$30:$B$31,'20'!$B$33)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54</c:v>
                </c:pt>
                <c:pt idx="2">
                  <c:v>885.5</c:v>
                </c:pt>
                <c:pt idx="3">
                  <c:v>3375</c:v>
                </c:pt>
              </c:numCache>
            </c:numRef>
          </c:xVal>
          <c:yVal>
            <c:numRef>
              <c:f>('20'!$C$28,'20'!$C$30:$C$31,'20'!$C$33)</c:f>
              <c:numCache>
                <c:formatCode>General</c:formatCode>
                <c:ptCount val="4"/>
                <c:pt idx="0">
                  <c:v>9.9999999999999995E-7</c:v>
                </c:pt>
                <c:pt idx="1">
                  <c:v>4.032</c:v>
                </c:pt>
                <c:pt idx="2">
                  <c:v>3.0129999999999995</c:v>
                </c:pt>
                <c:pt idx="3">
                  <c:v>18.153999999999996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B-4084-BDC7-5FF00312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3215"/>
        <c:axId val="1908013519"/>
      </c:scatterChart>
      <c:valAx>
        <c:axId val="18491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</a:t>
                </a:r>
                <a:r>
                  <a:rPr lang="es-CO" baseline="0"/>
                  <a:t> [ppm]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013519"/>
        <c:crosses val="autoZero"/>
        <c:crossBetween val="midCat"/>
      </c:valAx>
      <c:valAx>
        <c:axId val="19080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r>
                  <a:rPr lang="es-CO"/>
                  <a:t> [mg/g]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1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de 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'3'!$E$4:$E$8</c:f>
              <c:numCache>
                <c:formatCode>General</c:formatCode>
                <c:ptCount val="5"/>
                <c:pt idx="0">
                  <c:v>1.7543859649122806E-2</c:v>
                </c:pt>
                <c:pt idx="1">
                  <c:v>2.269117313365101E-3</c:v>
                </c:pt>
                <c:pt idx="2">
                  <c:v>1.4021312394840156E-3</c:v>
                </c:pt>
                <c:pt idx="3">
                  <c:v>4.9932591002147106E-4</c:v>
                </c:pt>
                <c:pt idx="4">
                  <c:v>1.96513844400338E-4</c:v>
                </c:pt>
              </c:numCache>
            </c:numRef>
          </c:xVal>
          <c:yVal>
            <c:numRef>
              <c:f>'3'!$F$4:$F$8</c:f>
              <c:numCache>
                <c:formatCode>General</c:formatCode>
                <c:ptCount val="5"/>
                <c:pt idx="0">
                  <c:v>0.59594755661501786</c:v>
                </c:pt>
                <c:pt idx="1">
                  <c:v>1.1709601873536295</c:v>
                </c:pt>
                <c:pt idx="2">
                  <c:v>0.22930520522815873</c:v>
                </c:pt>
                <c:pt idx="3">
                  <c:v>0.6211180124223612</c:v>
                </c:pt>
                <c:pt idx="4">
                  <c:v>0.3632401017072282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3-4E79-9CAF-A5DAAA1480A7}"/>
            </c:ext>
          </c:extLst>
        </c:ser>
        <c:ser>
          <c:idx val="1"/>
          <c:order val="1"/>
          <c:tx>
            <c:v>Regresión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'3'!$H$18:$H$22</c:f>
              <c:numCache>
                <c:formatCode>General</c:formatCode>
                <c:ptCount val="5"/>
                <c:pt idx="0">
                  <c:v>1.7543859649122806E-2</c:v>
                </c:pt>
                <c:pt idx="1">
                  <c:v>2.269117313365101E-3</c:v>
                </c:pt>
                <c:pt idx="2">
                  <c:v>1.4021312394840156E-3</c:v>
                </c:pt>
                <c:pt idx="3">
                  <c:v>4.9932591002147106E-4</c:v>
                </c:pt>
                <c:pt idx="4">
                  <c:v>1.96513844400338E-4</c:v>
                </c:pt>
              </c:numCache>
            </c:numRef>
          </c:xVal>
          <c:yVal>
            <c:numRef>
              <c:f>'3'!$I$18:$I$22</c:f>
              <c:numCache>
                <c:formatCode>General</c:formatCode>
                <c:ptCount val="5"/>
                <c:pt idx="0">
                  <c:v>0.6413858863390709</c:v>
                </c:pt>
                <c:pt idx="1">
                  <c:v>0.58884596188901606</c:v>
                </c:pt>
                <c:pt idx="2">
                  <c:v>0.58586382433018291</c:v>
                </c:pt>
                <c:pt idx="3">
                  <c:v>0.58275848070078307</c:v>
                </c:pt>
                <c:pt idx="4">
                  <c:v>0.58171691006734227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3-4E79-9CAF-A5DAAA14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24655"/>
        <c:axId val="1861443807"/>
      </c:scatterChart>
      <c:valAx>
        <c:axId val="17430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43807"/>
        <c:crosses val="autoZero"/>
        <c:crossBetween val="midCat"/>
      </c:valAx>
      <c:valAx>
        <c:axId val="18614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1/Adsorción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C9F15D-018D-464B-BBE5-01C1D2E25F42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C9F15D-018D-464B-BBE5-01C1D2E25F42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489C5D-6F57-4CAD-9FF1-0B3826A1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B160352-18AA-4426-BD59-A4E50DFF00FF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B160352-18AA-4426-BD59-A4E50DFF00FF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B9C357-9638-46BB-9D95-BE8EC874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DF22DCE-A06E-49A9-86B6-412FA99AAA0F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DF22DCE-A06E-49A9-86B6-412FA99AAA0F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0C9A7F-F550-4A44-B0DD-957D21D2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A0BE3F2-A9F4-4C29-8BAC-D8341F0ABA67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A0BE3F2-A9F4-4C29-8BAC-D8341F0ABA67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FF7244-8832-497F-93B1-B12994C81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70CC1FC-CFA0-44A7-BA10-BC58EF9C0FEC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70CC1FC-CFA0-44A7-BA10-BC58EF9C0FEC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538D2D-71C4-4C73-9E06-7FA93E3B6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B0A2CCF-D81D-4D5F-AB5B-D30930744FA7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B0A2CCF-D81D-4D5F-AB5B-D30930744FA7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D82479-E83B-41AC-BC06-85597F027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849DA46-5E66-4B8D-BFB6-A74E6339C750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849DA46-5E66-4B8D-BFB6-A74E6339C750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87EECE-B4E3-434C-B020-92A8841C6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FC24F42-5F43-44F2-B59C-2E05E8A72307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FC24F42-5F43-44F2-B59C-2E05E8A72307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212CF0-2EED-43C8-A30E-9D4CB79AC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233C594-C765-43B8-8317-7E68A712312D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233C594-C765-43B8-8317-7E68A712312D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6F68F0-02DB-4B60-AE3B-896046783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CDA6F9A-BCEA-4795-B127-7C31C4BE41CD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CDA6F9A-BCEA-4795-B127-7C31C4BE41CD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33E539-8104-45E9-B7E2-FDE324369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7B436A1-6F35-4F9B-B18B-C8112089FE73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7B436A1-6F35-4F9B-B18B-C8112089FE73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CC4B48-F177-4DDB-8392-886F2180D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B4D6441-CF68-40DD-8688-0806B27DB706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B4D6441-CF68-40DD-8688-0806B27DB706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33B05C2-C19A-45BF-ADED-736CDDDD2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C644129-E325-4562-990B-0E7E94F1F112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C644129-E325-4562-990B-0E7E94F1F112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69DA0B-70E5-41B0-A5FE-8B4B674B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1D6E66-3D18-441F-8C0F-4D3DFC6E04CB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71D6E66-3D18-441F-8C0F-4D3DFC6E04CB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19A2C4-A634-479F-868C-B7B8F8B7B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74DB93E-0D1C-4737-AB2F-E594CE900828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74DB93E-0D1C-4737-AB2F-E594CE900828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6EB8AB-E915-4034-B609-274A27D32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A3FADF-3B88-435E-8290-F33AAA9EDF7D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A3FADF-3B88-435E-8290-F33AAA9EDF7D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A45E5E7-EF97-46C9-9C0A-D3A69D96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87C860-4BA6-49EB-8A95-6F0484BA315D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87C860-4BA6-49EB-8A95-6F0484BA315D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AF99CD-8B82-413A-A6E5-2D0634C21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471FA94-38B8-4853-B3D7-F5DB6FFF3F44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471FA94-38B8-4853-B3D7-F5DB6FFF3F44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625A9D-447C-426A-BDFF-3FA699CDC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7C141BE-F738-45DE-9152-0A8A6FCD0992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7C141BE-F738-45DE-9152-0A8A6FCD0992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053C4DC-272F-4977-A6FB-E024BA534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D7C8DC3-F36C-4210-BE4A-C1D70E0FD210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D7C8DC3-F36C-4210-BE4A-C1D70E0FD210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0BDCB4C-FF93-489D-BFC9-937F0AA29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C7FFC8F-534D-4BF5-9F5B-09ACB04A723F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C7FFC8F-534D-4BF5-9F5B-09ACB04A723F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E35821-4680-4DEC-BF1A-F351FD177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BADFADD-F556-469B-B6ED-EFABCE88DCB2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BADFADD-F556-469B-B6ED-EFABCE88DCB2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4C96B0-96E5-4EB5-A062-CB869D118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B978F4F-6C06-4364-B422-66DBEF19684A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B978F4F-6C06-4364-B422-66DBEF19684A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217539-FFE6-4E43-BD31-5DA97725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62C8324-C6C6-48C6-A562-05F9354059D8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62C8324-C6C6-48C6-A562-05F9354059D8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325854-695A-4E3C-9A19-92134F43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A4ED1D8-3607-4D18-A476-2FFE24FE0F0E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A4ED1D8-3607-4D18-A476-2FFE24FE0F0E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55CBCE-0EBC-41EC-99C8-6F9893F0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35D2EBE-F2B4-4C63-B7D3-67E31267F8DD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35D2EBE-F2B4-4C63-B7D3-67E31267F8DD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ED847C-D973-4DFC-973B-E18AE9EA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DDCBC40-D453-4F02-99B2-10083A4FB81C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DDCBC40-D453-4F02-99B2-10083A4FB81C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0E1558F-9D3E-498F-9E3D-8FD290F5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54A9C4A-7537-4B15-8AD3-175F532B820C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54A9C4A-7537-4B15-8AD3-175F532B820C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1C8822C-5746-4B3D-887E-49F1B4C3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AE69BED-C65B-49A2-B076-56CE7BF0D098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AE69BED-C65B-49A2-B076-56CE7BF0D098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F7B2E1-1DCD-4561-9B0F-61319EE7E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0DBAC69-D10E-4CAD-A3A9-D18317881ADA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0DBAC69-D10E-4CAD-A3A9-D18317881ADA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9D9CFE-B769-4C16-A2C5-AF4532382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A1F98A1-0E88-4605-8262-D73691D18974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A1F98A1-0E88-4605-8262-D73691D18974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88E666-EF43-413A-BDD6-CBC2C753E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2FFD8C7-C51D-46D0-8095-6B9D97BA012B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2FFD8C7-C51D-46D0-8095-6B9D97BA012B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07CC145-56E8-43AB-B07B-979D66CCA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E988D10-1DE0-4CC8-AE8D-A0C3584E9E95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E988D10-1DE0-4CC8-AE8D-A0C3584E9E95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100B36-F591-4EA6-94F5-19DEC9E9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99B5572-5DD6-40F5-A9F1-13EE1C7ACDE0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99B5572-5DD6-40F5-A9F1-13EE1C7ACDE0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02509B-DCB1-4120-A2DA-233529F71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AA47AD-1E46-4B67-A35A-663EB9A8C41D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AA47AD-1E46-4B67-A35A-663EB9A8C41D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0DB894-3A9B-4F63-9294-EF5B396CD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9F72320-5F85-4FFE-A745-57D831C8403F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9F72320-5F85-4FFE-A745-57D831C8403F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82BD24E-E636-4D6E-A9B1-E12902701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5795ACC-C185-47D3-84F9-927794FC39BA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5795ACC-C185-47D3-84F9-927794FC39BA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17BA05-F86E-416E-9975-88D6B4B68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4957CD8-3CA7-443A-A576-E83E93D7CF6F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4957CD8-3CA7-443A-A576-E83E93D7CF6F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451C40-37CC-4BB7-B9F3-069C27798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6B00988-BF97-48D5-86E5-72BE2DD006F5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6B00988-BF97-48D5-86E5-72BE2DD006F5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7248EA-24C3-4263-BCBD-BC75EBAF9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B10665C-A66F-423E-B7BC-0571776320CC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B10665C-A66F-423E-B7BC-0571776320CC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BAC9D6-4BEA-4DB5-BD85-89EA9A534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19DFE5E-19AB-4A97-B292-A2ECE7FF2675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19DFE5E-19AB-4A97-B292-A2ECE7FF2675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4D44AD-B649-45C3-96AD-E931BB80D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8A0B915-599C-4C3C-9B05-B87B9D6D6824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8A0B915-599C-4C3C-9B05-B87B9D6D6824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605BCE-A605-463E-8421-9352F88B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8EB760C-FD2C-4EA5-8830-BBE80D272D30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8EB760C-FD2C-4EA5-8830-BBE80D272D30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B1F3BF-4D0A-43A6-BD07-B9BCDB8A7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A92564-0DF3-4CC6-A11D-D9BB46003A6D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A92564-0DF3-4CC6-A11D-D9BB46003A6D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1A2FCD-800A-4360-9087-24463934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6410325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86DD877-8AFE-41CC-A8B8-55C706A126AF}"/>
                </a:ext>
              </a:extLst>
            </xdr:cNvPr>
            <xdr:cNvSpPr txBox="1"/>
          </xdr:nvSpPr>
          <xdr:spPr>
            <a:xfrm>
              <a:off x="6410325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11613481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9734BFD-5407-426D-925C-636C31E2BD0F}"/>
                </a:ext>
              </a:extLst>
            </xdr:cNvPr>
            <xdr:cNvSpPr txBox="1"/>
          </xdr:nvSpPr>
          <xdr:spPr>
            <a:xfrm>
              <a:off x="11613481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6410325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92B6C15-DA75-448F-9367-05FFDD7DE772}"/>
                </a:ext>
              </a:extLst>
            </xdr:cNvPr>
            <xdr:cNvSpPr txBox="1"/>
          </xdr:nvSpPr>
          <xdr:spPr>
            <a:xfrm>
              <a:off x="6410325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_𝑥^2 )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613481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EEDDE1E-8950-4330-A001-35E42CB34B60}"/>
                </a:ext>
              </a:extLst>
            </xdr:cNvPr>
            <xdr:cNvSpPr txBox="1"/>
          </xdr:nvSpPr>
          <xdr:spPr>
            <a:xfrm>
              <a:off x="11613481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𝐾_𝐿 𝐶_𝑒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54D955B-7F50-4679-AD2D-484710EEFC57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54D955B-7F50-4679-AD2D-484710EEFC57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309739-0051-46CA-9721-72F9D0EF7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DFBB0A7-75AA-4AC2-BEF2-FD33B67AC400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DFBB0A7-75AA-4AC2-BEF2-FD33B67AC400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195FEC-BE22-4AAD-90EA-ACC655D20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06090D0-8F04-44D5-A4A1-70C3405D4F44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06090D0-8F04-44D5-A4A1-70C3405D4F44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23664F-56AC-4AC1-B4BD-BD9E6831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5003BE1-7816-4549-B24A-7A39A7C3CD96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5003BE1-7816-4549-B24A-7A39A7C3CD96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A1E7115-C5F4-468A-9AE8-B4B364E35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89DEAF7-6B19-4956-8E19-8C728399695E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89DEAF7-6B19-4956-8E19-8C728399695E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A52F33-E90A-4687-A136-F40778CF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EFF0B2E-FADD-437C-A6CE-2F7C0F75F285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EFF0B2E-FADD-437C-A6CE-2F7C0F75F285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E0FF5F-5DDA-472F-92C5-182AF8AA6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57DD316-B7C7-4FB6-9BB3-66E2C9067749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57DD316-B7C7-4FB6-9BB3-66E2C9067749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99543BD-DD14-4544-B26E-A59DDE01A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F1D749C-6190-4090-80C0-D35921C7D641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F1D749C-6190-4090-80C0-D35921C7D641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A221E42-57BD-4F48-8AC4-DCAFDDE31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A554ADE-AB95-4D2F-80E2-D1CC83C80BC2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A554ADE-AB95-4D2F-80E2-D1CC83C80BC2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BE8257-0A8C-424E-8AD8-0221A229C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664AB2A-25F3-480B-825C-46A08751DD5B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664AB2A-25F3-480B-825C-46A08751DD5B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8B5E61-2CC4-4638-8013-CD8287241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D1E5158-BA4E-442C-8E5B-C37F6C5F32E0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D1E5158-BA4E-442C-8E5B-C37F6C5F32E0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B9C3C6-C98D-4D61-B0EF-899DC5AA8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E6E2FD3-11B3-4792-AA83-52D73F34EA3B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E6E2FD3-11B3-4792-AA83-52D73F34EA3B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7AD27A-8290-41AC-AF2A-AF93FD86B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AB5F75C-2265-412A-B483-811ED62E2C1B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AB5F75C-2265-412A-B483-811ED62E2C1B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57E75-EAC2-46E8-9CC3-E5870D54E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BBB7A93-C33D-46C7-999D-6908EB035D2B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BBB7A93-C33D-46C7-999D-6908EB035D2B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1265FE-F892-4E46-8613-0D78F12B5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05FAA6-9462-4399-AAD3-4442B4C87EC0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05FAA6-9462-4399-AAD3-4442B4C87EC0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9EA53D-0BD6-4D41-BFD4-974C86A5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A663248-985F-4F60-AE59-AC507BAF9DD4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A663248-985F-4F60-AE59-AC507BAF9DD4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789EF7C-A722-4B58-9DAA-FFA4FE136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32F94B4-9A22-4B3D-9D14-8A2B9158B3D8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32F94B4-9A22-4B3D-9D14-8A2B9158B3D8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F1A5EE-0A3B-4B3D-9438-067792C1D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77BC15F-1474-44A9-86B6-5EFD65650BA3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77BC15F-1474-44A9-86B6-5EFD65650BA3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14371A-8838-42AC-94E5-5A539BE30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4473665-4C3F-46BE-A8D1-0B0082083F72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4473665-4C3F-46BE-A8D1-0B0082083F72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EB8C36-03E5-4D6F-91AB-B52B59BCD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B055F2D-5F3D-4275-9DFA-C2B90ABC196A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B055F2D-5F3D-4275-9DFA-C2B90ABC196A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CE2D97-6B28-4F41-B85E-9D692E099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C8F88E1-A9EE-47DF-9231-40311D1E5D88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C8F88E1-A9EE-47DF-9231-40311D1E5D88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D1F958-7139-4236-9F6E-126AB5C3C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CACEA24-9428-4B67-98A4-5F06D2CACA61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CACEA24-9428-4B67-98A4-5F06D2CACA61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E931B1-9325-47DC-B486-A96906D4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D8872B4-9CB8-4550-956F-02EAE3CDEBC4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D8872B4-9CB8-4550-956F-02EAE3CDEBC4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E0EE50F-1904-426D-97C6-CA07A4C89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47A90C2-B985-4BBC-81DA-09638113CA15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47A90C2-B985-4BBC-81DA-09638113CA15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6E8671-3919-4655-803C-AB7A0970B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60174B-2AB9-4EAF-BEF7-FCB2F24C59AD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660174B-2AB9-4EAF-BEF7-FCB2F24C59AD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08AB1E-567C-4898-997E-C73B5D13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F21797F-04E1-4D7C-BEE3-CE2022DD3BE2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F21797F-04E1-4D7C-BEE3-CE2022DD3BE2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16150E-5CB2-4001-8D4F-32869DA1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E8611A3-8231-4F2F-809D-956EB9C961B8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E8611A3-8231-4F2F-809D-956EB9C961B8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D7B643-7E51-42A1-873D-6C6495ECF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6FE2B11-2CBD-43F6-9BA6-6E0B06061A0D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6FE2B11-2CBD-43F6-9BA6-6E0B06061A0D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48B80D-A7D4-4F21-A0EF-DF6BCD93F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0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5C81DD1-35D3-4B38-B7F6-3C55EFA5A4A3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5C81DD1-35D3-4B38-B7F6-3C55EFA5A4A3}"/>
                </a:ext>
              </a:extLst>
            </xdr:cNvPr>
            <xdr:cNvSpPr txBox="1"/>
          </xdr:nvSpPr>
          <xdr:spPr>
            <a:xfrm>
              <a:off x="6572250" y="1809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3</xdr:row>
      <xdr:rowOff>57151</xdr:rowOff>
    </xdr:from>
    <xdr:to>
      <xdr:col>17</xdr:col>
      <xdr:colOff>2881</xdr:colOff>
      <xdr:row>16</xdr:row>
      <xdr:rowOff>142877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381990-DE53-47EF-AC98-26B64B6B8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593056</xdr:colOff>
      <xdr:row>0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B3371AE-813C-4015-A964-1224D3BAE310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B3371AE-813C-4015-A964-1224D3BAE310}"/>
                </a:ext>
              </a:extLst>
            </xdr:cNvPr>
            <xdr:cNvSpPr txBox="1"/>
          </xdr:nvSpPr>
          <xdr:spPr>
            <a:xfrm>
              <a:off x="11775406" y="677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4</xdr:row>
      <xdr:rowOff>81960</xdr:rowOff>
    </xdr:from>
    <xdr:to>
      <xdr:col>28</xdr:col>
      <xdr:colOff>128918</xdr:colOff>
      <xdr:row>17</xdr:row>
      <xdr:rowOff>42087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1C2A7E-6A4C-4E67-8842-9CAD9B680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266700</xdr:colOff>
      <xdr:row>25</xdr:row>
      <xdr:rowOff>180975</xdr:rowOff>
    </xdr:from>
    <xdr:ext cx="1853392" cy="416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873D8C6-DF7B-4179-AC9D-1A46C1AEF4C8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CO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+(</m:t>
                    </m:r>
                    <m:acc>
                      <m:accPr>
                        <m:chr m:val="̅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m:rPr>
                                <m:nor/>
                              </m:rPr>
                              <a:rPr lang="el-GR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σ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acc>
                      <m:accPr>
                        <m:chr m:val="̅"/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873D8C6-DF7B-4179-AC9D-1A46C1AEF4C8}"/>
                </a:ext>
              </a:extLst>
            </xdr:cNvPr>
            <xdr:cNvSpPr txBox="1"/>
          </xdr:nvSpPr>
          <xdr:spPr>
            <a:xfrm>
              <a:off x="6572250" y="5438775"/>
              <a:ext cx="1853392" cy="416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𝑦=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𝑥^2 ) 𝑥+(𝑦 ̅−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_𝑥𝑦/(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_𝑥^2 ) 𝑥 ̅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9</xdr:col>
      <xdr:colOff>307681</xdr:colOff>
      <xdr:row>28</xdr:row>
      <xdr:rowOff>57151</xdr:rowOff>
    </xdr:from>
    <xdr:to>
      <xdr:col>17</xdr:col>
      <xdr:colOff>2881</xdr:colOff>
      <xdr:row>41</xdr:row>
      <xdr:rowOff>142877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5CD772-2840-4811-B1B2-5B704348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593056</xdr:colOff>
      <xdr:row>25</xdr:row>
      <xdr:rowOff>67706</xdr:rowOff>
    </xdr:from>
    <xdr:ext cx="1112997" cy="44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1052A3F-042D-443B-BDF7-9168589B88BF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400" i="1">
                        <a:latin typeface="Cambria Math" panose="02040503050406030204" pitchFamily="18" charset="0"/>
                      </a:rPr>
                      <m:t>Γ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sub>
                        </m:sSub>
                        <m:sSub>
                          <m:sSub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1052A3F-042D-443B-BDF7-9168589B88BF}"/>
                </a:ext>
              </a:extLst>
            </xdr:cNvPr>
            <xdr:cNvSpPr txBox="1"/>
          </xdr:nvSpPr>
          <xdr:spPr>
            <a:xfrm>
              <a:off x="11775406" y="5325506"/>
              <a:ext cx="1112997" cy="44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400" i="0">
                  <a:latin typeface="Cambria Math" panose="02040503050406030204" pitchFamily="18" charset="0"/>
                </a:rPr>
                <a:t>Γ</a:t>
              </a:r>
              <a:r>
                <a:rPr lang="es-CO" sz="1400" b="0" i="0">
                  <a:latin typeface="Cambria Math" panose="02040503050406030204" pitchFamily="18" charset="0"/>
                </a:rPr>
                <a:t>=(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400" b="0" i="0">
                  <a:latin typeface="Cambria Math" panose="02040503050406030204" pitchFamily="18" charset="0"/>
                </a:rPr>
                <a:t>𝑚𝑎𝑥 𝐾_𝐿 𝐶_𝑒)/(1+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𝐾_𝐿 𝐶_𝑒 )</a:t>
              </a:r>
              <a:endParaRPr lang="es-CO" sz="1400"/>
            </a:p>
          </xdr:txBody>
        </xdr:sp>
      </mc:Fallback>
    </mc:AlternateContent>
    <xdr:clientData/>
  </xdr:oneCellAnchor>
  <xdr:twoCellAnchor>
    <xdr:from>
      <xdr:col>20</xdr:col>
      <xdr:colOff>430174</xdr:colOff>
      <xdr:row>29</xdr:row>
      <xdr:rowOff>81960</xdr:rowOff>
    </xdr:from>
    <xdr:to>
      <xdr:col>28</xdr:col>
      <xdr:colOff>128918</xdr:colOff>
      <xdr:row>42</xdr:row>
      <xdr:rowOff>42087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A8CBA5-019B-40DC-BE26-215BCBEC2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L103"/>
  <sheetViews>
    <sheetView topLeftCell="U1" zoomScale="55" zoomScaleNormal="55" workbookViewId="0">
      <selection activeCell="AH35" sqref="AH35"/>
    </sheetView>
  </sheetViews>
  <sheetFormatPr baseColWidth="10" defaultRowHeight="14.4" x14ac:dyDescent="0.3"/>
  <cols>
    <col min="1" max="1" width="2.109375" customWidth="1"/>
    <col min="2" max="2" width="5.109375" customWidth="1"/>
    <col min="3" max="3" width="15.33203125" customWidth="1"/>
    <col min="4" max="4" width="13.88671875" customWidth="1"/>
    <col min="5" max="5" width="14.88671875" customWidth="1"/>
    <col min="6" max="6" width="15.33203125" customWidth="1"/>
    <col min="7" max="7" width="13.109375" customWidth="1"/>
    <col min="8" max="8" width="12.33203125" customWidth="1"/>
    <col min="9" max="10" width="9.5546875" customWidth="1"/>
    <col min="11" max="11" width="7.33203125" customWidth="1"/>
    <col min="12" max="12" width="7.109375" customWidth="1"/>
    <col min="13" max="13" width="1.109375" hidden="1" customWidth="1"/>
    <col min="14" max="14" width="0.33203125" customWidth="1"/>
    <col min="15" max="15" width="13.6640625" customWidth="1"/>
    <col min="16" max="16" width="20.5546875" customWidth="1"/>
    <col min="17" max="17" width="26.33203125" customWidth="1"/>
    <col min="20" max="21" width="22.6640625" customWidth="1"/>
    <col min="22" max="23" width="26" customWidth="1"/>
    <col min="24" max="24" width="48.5546875" customWidth="1"/>
    <col min="25" max="26" width="14.88671875" customWidth="1"/>
    <col min="27" max="27" width="40.88671875" customWidth="1"/>
  </cols>
  <sheetData>
    <row r="1" spans="1:38" ht="15" thickBot="1" x14ac:dyDescent="0.35">
      <c r="C1" s="1"/>
      <c r="D1" s="1"/>
      <c r="E1" s="1"/>
      <c r="F1" s="1">
        <v>25</v>
      </c>
      <c r="G1" s="1" t="s">
        <v>0</v>
      </c>
      <c r="H1" s="1"/>
      <c r="I1" s="1"/>
      <c r="J1" s="1"/>
      <c r="K1" s="1"/>
      <c r="L1" s="1"/>
      <c r="O1" s="2" t="s">
        <v>1</v>
      </c>
      <c r="P1" s="69" t="s">
        <v>2</v>
      </c>
      <c r="Q1" s="69"/>
      <c r="R1" s="69"/>
      <c r="S1" s="70"/>
      <c r="T1" s="71" t="s">
        <v>3</v>
      </c>
      <c r="U1" s="69"/>
      <c r="V1" s="69"/>
      <c r="W1" s="69"/>
      <c r="X1" s="69"/>
      <c r="Y1" s="70"/>
      <c r="Z1" s="3"/>
      <c r="AA1" s="4"/>
      <c r="AL1" s="5"/>
    </row>
    <row r="2" spans="1:38" ht="18" x14ac:dyDescent="0.35">
      <c r="C2" s="6" t="s">
        <v>4</v>
      </c>
      <c r="D2" s="6" t="s">
        <v>5</v>
      </c>
      <c r="E2" s="7" t="s">
        <v>6</v>
      </c>
      <c r="F2" s="6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12</v>
      </c>
      <c r="M2" s="9"/>
      <c r="N2" s="9"/>
      <c r="O2" s="10" t="s">
        <v>13</v>
      </c>
      <c r="P2" s="11" t="s">
        <v>14</v>
      </c>
      <c r="Q2" s="12" t="s">
        <v>15</v>
      </c>
      <c r="R2" s="12" t="s">
        <v>16</v>
      </c>
      <c r="S2" s="13" t="s">
        <v>17</v>
      </c>
      <c r="T2" s="14" t="s">
        <v>18</v>
      </c>
      <c r="U2" s="14" t="s">
        <v>18</v>
      </c>
      <c r="V2" s="12" t="s">
        <v>15</v>
      </c>
      <c r="W2" s="12" t="s">
        <v>15</v>
      </c>
      <c r="X2" s="15" t="s">
        <v>19</v>
      </c>
      <c r="Y2" s="16" t="s">
        <v>17</v>
      </c>
      <c r="Z2" s="17" t="s">
        <v>20</v>
      </c>
      <c r="AA2" s="18" t="s">
        <v>21</v>
      </c>
    </row>
    <row r="3" spans="1:38" s="19" customFormat="1" ht="15" customHeight="1" x14ac:dyDescent="0.35">
      <c r="B3">
        <v>1</v>
      </c>
      <c r="C3" s="20">
        <v>0.2</v>
      </c>
      <c r="D3" s="20">
        <v>0</v>
      </c>
      <c r="E3" s="21">
        <f t="shared" ref="E3:E66" si="0">D3/100*C3*10000</f>
        <v>0</v>
      </c>
      <c r="F3" s="22">
        <v>200</v>
      </c>
      <c r="G3" s="23">
        <f>C3/10*F$1</f>
        <v>0.5</v>
      </c>
      <c r="H3" s="24">
        <f>(E3*111/40)/10000*F$1</f>
        <v>0</v>
      </c>
      <c r="I3" s="24">
        <f t="shared" ref="I3:I66" si="1">F$1-G3-H3-J3</f>
        <v>24.4</v>
      </c>
      <c r="J3" s="23">
        <f t="shared" ref="J3:J66" si="2">F3/50000*F$1</f>
        <v>0.1</v>
      </c>
      <c r="K3" s="23">
        <v>0.44</v>
      </c>
      <c r="L3" s="23">
        <v>0.41</v>
      </c>
      <c r="M3" s="23"/>
      <c r="N3" s="23"/>
      <c r="O3" s="23">
        <f>AVERAGE(K3:N3)</f>
        <v>0.42499999999999999</v>
      </c>
      <c r="P3" s="23">
        <v>215</v>
      </c>
      <c r="Q3" s="25"/>
      <c r="R3" s="25">
        <f t="shared" ref="R3:R66" si="3">ABS((F3-P3)/F3)*100</f>
        <v>7.5</v>
      </c>
      <c r="S3" s="26">
        <v>7.05</v>
      </c>
      <c r="T3" s="21"/>
      <c r="U3" s="21"/>
      <c r="V3" s="21">
        <f>0.59*100</f>
        <v>59</v>
      </c>
      <c r="W3" s="21"/>
      <c r="X3" s="21">
        <v>177</v>
      </c>
      <c r="Y3" s="27">
        <v>5.85</v>
      </c>
      <c r="Z3" s="27">
        <f>Y3-S3</f>
        <v>-1.2000000000000002</v>
      </c>
      <c r="AA3" s="22">
        <f>(10*(P3-X3))/1000</f>
        <v>0.38</v>
      </c>
    </row>
    <row r="4" spans="1:38" ht="15" customHeight="1" x14ac:dyDescent="0.35">
      <c r="B4">
        <v>2</v>
      </c>
      <c r="C4" s="28">
        <v>0.2</v>
      </c>
      <c r="D4" s="28">
        <v>0</v>
      </c>
      <c r="E4" s="27">
        <f t="shared" si="0"/>
        <v>0</v>
      </c>
      <c r="F4" s="29">
        <v>500</v>
      </c>
      <c r="G4" s="5">
        <f>C4/10*F$1</f>
        <v>0.5</v>
      </c>
      <c r="H4" s="30">
        <f>(E4*111/40)/10000*F$1</f>
        <v>0</v>
      </c>
      <c r="I4" s="30">
        <f t="shared" si="1"/>
        <v>24.25</v>
      </c>
      <c r="J4" s="5">
        <f t="shared" si="2"/>
        <v>0.25</v>
      </c>
      <c r="K4" s="5">
        <v>0.49</v>
      </c>
      <c r="L4" s="5">
        <v>0.48</v>
      </c>
      <c r="M4" s="5"/>
      <c r="N4" s="5"/>
      <c r="O4" s="5">
        <f t="shared" ref="O4:O67" si="4">AVERAGE(K4:N4)</f>
        <v>0.48499999999999999</v>
      </c>
      <c r="P4" s="5">
        <v>416.7</v>
      </c>
      <c r="Q4" s="26"/>
      <c r="R4" s="26">
        <f t="shared" si="3"/>
        <v>16.660000000000004</v>
      </c>
      <c r="S4" s="26">
        <v>8.06</v>
      </c>
      <c r="T4" s="5">
        <v>390.2</v>
      </c>
      <c r="U4" s="5"/>
      <c r="V4" s="5">
        <f>1.07*250</f>
        <v>267.5</v>
      </c>
      <c r="W4" s="5"/>
      <c r="X4" s="5">
        <v>328.85</v>
      </c>
      <c r="Y4" s="5">
        <v>4.47</v>
      </c>
      <c r="Z4" s="27">
        <f t="shared" ref="Z4:Z67" si="5">Y4-S4</f>
        <v>-3.5900000000000007</v>
      </c>
      <c r="AA4" s="22">
        <f t="shared" ref="AA4:AA67" si="6">(10*(P4-X4))/1000</f>
        <v>0.87849999999999961</v>
      </c>
      <c r="AB4" s="19"/>
    </row>
    <row r="5" spans="1:38" ht="15" customHeight="1" x14ac:dyDescent="0.35">
      <c r="B5">
        <v>3</v>
      </c>
      <c r="C5" s="28">
        <v>0.2</v>
      </c>
      <c r="D5" s="28">
        <v>0</v>
      </c>
      <c r="E5" s="27">
        <f t="shared" si="0"/>
        <v>0</v>
      </c>
      <c r="F5" s="29">
        <v>1000</v>
      </c>
      <c r="G5" s="5">
        <f>C5/10*F$1</f>
        <v>0.5</v>
      </c>
      <c r="H5" s="30">
        <f>(E5*111/40)/10000*F$1</f>
        <v>0</v>
      </c>
      <c r="I5" s="30">
        <f t="shared" si="1"/>
        <v>24</v>
      </c>
      <c r="J5" s="5">
        <f t="shared" si="2"/>
        <v>0.5</v>
      </c>
      <c r="K5" s="5">
        <v>0.38</v>
      </c>
      <c r="L5" s="5">
        <v>0.43</v>
      </c>
      <c r="M5" s="5"/>
      <c r="N5" s="5"/>
      <c r="O5" s="5">
        <f t="shared" si="4"/>
        <v>0.40500000000000003</v>
      </c>
      <c r="P5" s="5">
        <v>980.5</v>
      </c>
      <c r="Q5" s="26"/>
      <c r="R5" s="26">
        <f t="shared" si="3"/>
        <v>1.95</v>
      </c>
      <c r="S5" s="26">
        <v>6.95</v>
      </c>
      <c r="T5" s="5">
        <v>842.7</v>
      </c>
      <c r="U5" s="5"/>
      <c r="V5" s="5"/>
      <c r="W5" s="5"/>
      <c r="X5" s="5">
        <v>842.7</v>
      </c>
      <c r="Y5" s="5">
        <v>6.29</v>
      </c>
      <c r="Z5" s="27">
        <f t="shared" si="5"/>
        <v>-0.66000000000000014</v>
      </c>
      <c r="AA5" s="22">
        <f t="shared" si="6"/>
        <v>1.3779999999999994</v>
      </c>
      <c r="AB5" s="19"/>
    </row>
    <row r="6" spans="1:38" ht="15" customHeight="1" x14ac:dyDescent="0.35">
      <c r="B6">
        <v>4</v>
      </c>
      <c r="C6" s="28">
        <v>0.2</v>
      </c>
      <c r="D6" s="28">
        <v>0</v>
      </c>
      <c r="E6" s="27">
        <f t="shared" si="0"/>
        <v>0</v>
      </c>
      <c r="F6" s="29">
        <v>2000</v>
      </c>
      <c r="G6" s="5">
        <f>C6/10*F$1</f>
        <v>0.5</v>
      </c>
      <c r="H6" s="30">
        <f>(E6*111/40)/10000*F$1</f>
        <v>0</v>
      </c>
      <c r="I6" s="30">
        <f t="shared" si="1"/>
        <v>23.5</v>
      </c>
      <c r="J6" s="5">
        <f t="shared" si="2"/>
        <v>1</v>
      </c>
      <c r="K6" s="5">
        <v>0.54</v>
      </c>
      <c r="L6" s="5">
        <v>0.66</v>
      </c>
      <c r="M6" s="5"/>
      <c r="N6" s="5"/>
      <c r="O6" s="5">
        <f t="shared" si="4"/>
        <v>0.60000000000000009</v>
      </c>
      <c r="P6" s="5">
        <v>2002.9</v>
      </c>
      <c r="Q6" s="26"/>
      <c r="R6" s="26">
        <f t="shared" si="3"/>
        <v>0.14500000000000454</v>
      </c>
      <c r="S6" s="26">
        <v>6.93</v>
      </c>
      <c r="T6" s="5">
        <v>1910.9</v>
      </c>
      <c r="U6" s="5"/>
      <c r="V6" s="5"/>
      <c r="W6" s="5"/>
      <c r="X6" s="5">
        <v>1910.9</v>
      </c>
      <c r="Y6" s="5">
        <v>5.65</v>
      </c>
      <c r="Z6" s="27">
        <f t="shared" si="5"/>
        <v>-1.2799999999999994</v>
      </c>
      <c r="AA6" s="22">
        <f t="shared" si="6"/>
        <v>0.92</v>
      </c>
      <c r="AB6" s="19"/>
    </row>
    <row r="7" spans="1:38" ht="15" customHeight="1" x14ac:dyDescent="0.35">
      <c r="B7">
        <v>5</v>
      </c>
      <c r="C7" s="28">
        <v>0.2</v>
      </c>
      <c r="D7" s="28">
        <v>0</v>
      </c>
      <c r="E7" s="27">
        <f t="shared" si="0"/>
        <v>0</v>
      </c>
      <c r="F7" s="29">
        <v>5000</v>
      </c>
      <c r="G7" s="5">
        <f>C7/10*F$1</f>
        <v>0.5</v>
      </c>
      <c r="H7" s="30">
        <f>(E7*111/40)/10000*F$1</f>
        <v>0</v>
      </c>
      <c r="I7" s="30">
        <f t="shared" si="1"/>
        <v>22</v>
      </c>
      <c r="J7" s="5">
        <f t="shared" si="2"/>
        <v>2.5</v>
      </c>
      <c r="K7" s="5">
        <v>0.82</v>
      </c>
      <c r="L7" s="5">
        <v>0.93</v>
      </c>
      <c r="M7" s="5"/>
      <c r="N7" s="5"/>
      <c r="O7" s="5">
        <f t="shared" si="4"/>
        <v>0.875</v>
      </c>
      <c r="P7" s="5">
        <v>5216</v>
      </c>
      <c r="Q7" s="26"/>
      <c r="R7" s="26">
        <f t="shared" si="3"/>
        <v>4.32</v>
      </c>
      <c r="S7" s="26">
        <v>7.21</v>
      </c>
      <c r="T7" s="5">
        <v>4895.5</v>
      </c>
      <c r="U7" s="5"/>
      <c r="V7" s="5"/>
      <c r="W7" s="5"/>
      <c r="X7" s="5">
        <v>4895.5</v>
      </c>
      <c r="Y7" s="5">
        <v>7.01</v>
      </c>
      <c r="Z7" s="27">
        <f t="shared" si="5"/>
        <v>-0.20000000000000018</v>
      </c>
      <c r="AA7" s="22">
        <f t="shared" si="6"/>
        <v>3.2050000000000001</v>
      </c>
      <c r="AB7" s="19"/>
    </row>
    <row r="8" spans="1:38" ht="15" customHeight="1" x14ac:dyDescent="0.35">
      <c r="B8">
        <v>6</v>
      </c>
      <c r="C8" s="28">
        <v>0.2</v>
      </c>
      <c r="D8" s="28">
        <v>2</v>
      </c>
      <c r="E8" s="27">
        <f t="shared" si="0"/>
        <v>40</v>
      </c>
      <c r="F8" s="29">
        <v>200</v>
      </c>
      <c r="G8" s="30">
        <f t="shared" ref="G8:G22" si="7">C8/10*F$1-H8</f>
        <v>0.47225</v>
      </c>
      <c r="H8" s="31">
        <f t="shared" ref="H8:H42" si="8">(E8*111/40)/100000*F$1</f>
        <v>2.7750000000000004E-2</v>
      </c>
      <c r="I8" s="30">
        <f t="shared" si="1"/>
        <v>24.4</v>
      </c>
      <c r="J8" s="5">
        <f t="shared" si="2"/>
        <v>0.1</v>
      </c>
      <c r="K8" s="5">
        <v>0.5</v>
      </c>
      <c r="L8" s="5">
        <v>0.37</v>
      </c>
      <c r="M8" s="5"/>
      <c r="N8" s="5"/>
      <c r="O8" s="5">
        <f t="shared" si="4"/>
        <v>0.435</v>
      </c>
      <c r="P8" s="5">
        <v>209.6</v>
      </c>
      <c r="Q8" s="26"/>
      <c r="R8" s="26">
        <f t="shared" si="3"/>
        <v>4.7999999999999972</v>
      </c>
      <c r="S8" s="26">
        <v>7</v>
      </c>
      <c r="T8" s="5"/>
      <c r="U8" s="5"/>
      <c r="V8" s="5">
        <f>0.64*100</f>
        <v>64</v>
      </c>
      <c r="W8" s="5"/>
      <c r="X8" s="5">
        <v>192</v>
      </c>
      <c r="Y8" s="5">
        <v>7.13</v>
      </c>
      <c r="Z8" s="27">
        <f t="shared" si="5"/>
        <v>0.12999999999999989</v>
      </c>
      <c r="AA8" s="22">
        <f t="shared" si="6"/>
        <v>0.17599999999999993</v>
      </c>
      <c r="AB8" s="19"/>
    </row>
    <row r="9" spans="1:38" ht="15" customHeight="1" x14ac:dyDescent="0.35">
      <c r="B9">
        <v>7</v>
      </c>
      <c r="C9" s="28">
        <v>0.2</v>
      </c>
      <c r="D9" s="28">
        <v>2</v>
      </c>
      <c r="E9" s="27">
        <f t="shared" si="0"/>
        <v>40</v>
      </c>
      <c r="F9" s="29">
        <v>500</v>
      </c>
      <c r="G9" s="30">
        <f t="shared" si="7"/>
        <v>0.47225</v>
      </c>
      <c r="H9" s="31">
        <f t="shared" si="8"/>
        <v>2.7750000000000004E-2</v>
      </c>
      <c r="I9" s="30">
        <f t="shared" si="1"/>
        <v>24.25</v>
      </c>
      <c r="J9" s="5">
        <f t="shared" si="2"/>
        <v>0.25</v>
      </c>
      <c r="K9" s="5">
        <v>0.39</v>
      </c>
      <c r="L9" s="5">
        <v>0.61</v>
      </c>
      <c r="M9" s="5"/>
      <c r="N9" s="5"/>
      <c r="O9" s="5">
        <f>AVERAGE(K9:N9)</f>
        <v>0.5</v>
      </c>
      <c r="P9" s="5">
        <v>492.9</v>
      </c>
      <c r="Q9" s="26"/>
      <c r="R9" s="26">
        <f t="shared" si="3"/>
        <v>1.4200000000000046</v>
      </c>
      <c r="S9" s="26">
        <v>7.26</v>
      </c>
      <c r="T9" s="5">
        <v>449.4</v>
      </c>
      <c r="U9" s="5"/>
      <c r="V9" s="5">
        <f>0.43*250</f>
        <v>107.5</v>
      </c>
      <c r="W9" s="5"/>
      <c r="X9" s="5">
        <v>449.4</v>
      </c>
      <c r="Y9" s="5">
        <v>6.27</v>
      </c>
      <c r="Z9" s="27">
        <f t="shared" si="5"/>
        <v>-0.99000000000000021</v>
      </c>
      <c r="AA9" s="22">
        <f t="shared" si="6"/>
        <v>0.435</v>
      </c>
      <c r="AB9" s="19"/>
    </row>
    <row r="10" spans="1:38" ht="15" customHeight="1" x14ac:dyDescent="0.35">
      <c r="B10">
        <v>8</v>
      </c>
      <c r="C10" s="28">
        <v>0.2</v>
      </c>
      <c r="D10" s="28">
        <v>2</v>
      </c>
      <c r="E10" s="27">
        <f t="shared" si="0"/>
        <v>40</v>
      </c>
      <c r="F10" s="29">
        <v>1000</v>
      </c>
      <c r="G10" s="30">
        <f t="shared" si="7"/>
        <v>0.47225</v>
      </c>
      <c r="H10" s="31">
        <f t="shared" si="8"/>
        <v>2.7750000000000004E-2</v>
      </c>
      <c r="I10" s="30">
        <f t="shared" si="1"/>
        <v>24</v>
      </c>
      <c r="J10" s="5">
        <f t="shared" si="2"/>
        <v>0.5</v>
      </c>
      <c r="K10" s="5">
        <v>0.44</v>
      </c>
      <c r="L10" s="5">
        <v>0.66</v>
      </c>
      <c r="M10" s="5"/>
      <c r="N10" s="5"/>
      <c r="O10" s="5">
        <f t="shared" si="4"/>
        <v>0.55000000000000004</v>
      </c>
      <c r="P10" s="5">
        <v>1048.5</v>
      </c>
      <c r="Q10" s="26"/>
      <c r="R10" s="26">
        <f t="shared" si="3"/>
        <v>4.8500000000000005</v>
      </c>
      <c r="S10" s="26">
        <v>6.3</v>
      </c>
      <c r="T10" s="27">
        <v>735.5</v>
      </c>
      <c r="U10" s="27"/>
      <c r="V10" s="5"/>
      <c r="W10" s="5"/>
      <c r="X10" s="5">
        <v>735.5</v>
      </c>
      <c r="Y10" s="5">
        <v>4.0199999999999996</v>
      </c>
      <c r="Z10" s="27">
        <f t="shared" si="5"/>
        <v>-2.2800000000000002</v>
      </c>
      <c r="AA10" s="22">
        <f t="shared" si="6"/>
        <v>3.13</v>
      </c>
      <c r="AB10" s="19"/>
    </row>
    <row r="11" spans="1:38" ht="15" customHeight="1" x14ac:dyDescent="0.35">
      <c r="B11">
        <v>9</v>
      </c>
      <c r="C11" s="28">
        <v>0.2</v>
      </c>
      <c r="D11" s="28">
        <v>2</v>
      </c>
      <c r="E11" s="27">
        <f t="shared" si="0"/>
        <v>40</v>
      </c>
      <c r="F11" s="29">
        <v>2000</v>
      </c>
      <c r="G11" s="30">
        <f t="shared" si="7"/>
        <v>0.47225</v>
      </c>
      <c r="H11" s="31">
        <f t="shared" si="8"/>
        <v>2.7750000000000004E-2</v>
      </c>
      <c r="I11" s="30">
        <f t="shared" si="1"/>
        <v>23.5</v>
      </c>
      <c r="J11" s="5">
        <f t="shared" si="2"/>
        <v>1</v>
      </c>
      <c r="K11" s="5">
        <v>0.55000000000000004</v>
      </c>
      <c r="L11" s="5">
        <v>0.84</v>
      </c>
      <c r="M11" s="5"/>
      <c r="N11" s="5"/>
      <c r="O11" s="5">
        <f>AVERAGE(K11:L11)</f>
        <v>0.69500000000000006</v>
      </c>
      <c r="P11" s="5">
        <v>2189.1</v>
      </c>
      <c r="Q11" s="26"/>
      <c r="R11" s="26">
        <f t="shared" si="3"/>
        <v>9.4549999999999947</v>
      </c>
      <c r="S11" s="26">
        <v>6.92</v>
      </c>
      <c r="T11" s="5">
        <v>2069.8000000000002</v>
      </c>
      <c r="U11" s="5"/>
      <c r="V11" s="5"/>
      <c r="W11" s="5"/>
      <c r="X11" s="5">
        <v>2069.8000000000002</v>
      </c>
      <c r="Y11" s="5">
        <v>6.07</v>
      </c>
      <c r="Z11" s="27">
        <f t="shared" si="5"/>
        <v>-0.84999999999999964</v>
      </c>
      <c r="AA11" s="22">
        <f t="shared" si="6"/>
        <v>1.1929999999999972</v>
      </c>
      <c r="AB11" s="19"/>
    </row>
    <row r="12" spans="1:38" ht="15" customHeight="1" x14ac:dyDescent="0.35">
      <c r="B12">
        <v>10</v>
      </c>
      <c r="C12" s="28">
        <v>0.2</v>
      </c>
      <c r="D12" s="28">
        <v>2</v>
      </c>
      <c r="E12" s="27">
        <f t="shared" si="0"/>
        <v>40</v>
      </c>
      <c r="F12" s="29">
        <v>5000</v>
      </c>
      <c r="G12" s="30">
        <f t="shared" si="7"/>
        <v>0.47225</v>
      </c>
      <c r="H12" s="31">
        <f t="shared" si="8"/>
        <v>2.7750000000000004E-2</v>
      </c>
      <c r="I12" s="30">
        <f t="shared" si="1"/>
        <v>22</v>
      </c>
      <c r="J12" s="5">
        <f t="shared" si="2"/>
        <v>2.5</v>
      </c>
      <c r="K12" s="5">
        <v>0.92</v>
      </c>
      <c r="L12" s="5">
        <v>0.96</v>
      </c>
      <c r="M12" s="5"/>
      <c r="N12" s="5"/>
      <c r="O12" s="5">
        <f t="shared" si="4"/>
        <v>0.94</v>
      </c>
      <c r="P12" s="5">
        <v>5386.2</v>
      </c>
      <c r="Q12" s="26"/>
      <c r="R12" s="26">
        <f t="shared" si="3"/>
        <v>7.7239999999999958</v>
      </c>
      <c r="S12" s="26">
        <v>6.33</v>
      </c>
      <c r="T12" s="5">
        <v>5207</v>
      </c>
      <c r="U12" s="5"/>
      <c r="V12" s="5"/>
      <c r="W12" s="5"/>
      <c r="X12" s="5">
        <v>5207</v>
      </c>
      <c r="Y12" s="5">
        <v>5.78</v>
      </c>
      <c r="Z12" s="27">
        <f t="shared" si="5"/>
        <v>-0.54999999999999982</v>
      </c>
      <c r="AA12" s="22">
        <f t="shared" si="6"/>
        <v>1.7919999999999983</v>
      </c>
      <c r="AB12" s="19"/>
    </row>
    <row r="13" spans="1:38" ht="18.75" customHeight="1" x14ac:dyDescent="0.35">
      <c r="A13" s="19"/>
      <c r="B13" s="19">
        <v>11</v>
      </c>
      <c r="C13" s="28">
        <v>0.2</v>
      </c>
      <c r="D13" s="28">
        <v>5</v>
      </c>
      <c r="E13" s="27">
        <f t="shared" si="0"/>
        <v>100.00000000000001</v>
      </c>
      <c r="F13" s="29">
        <v>200</v>
      </c>
      <c r="G13" s="32">
        <f t="shared" si="7"/>
        <v>0.43062499999999998</v>
      </c>
      <c r="H13" s="33">
        <f t="shared" si="8"/>
        <v>6.937500000000002E-2</v>
      </c>
      <c r="I13" s="32">
        <f t="shared" si="1"/>
        <v>24.4</v>
      </c>
      <c r="J13" s="27">
        <f t="shared" si="2"/>
        <v>0.1</v>
      </c>
      <c r="K13" s="27">
        <v>0.38</v>
      </c>
      <c r="L13" s="27">
        <v>0.38</v>
      </c>
      <c r="M13" s="27"/>
      <c r="N13" s="27"/>
      <c r="O13" s="27">
        <f t="shared" si="4"/>
        <v>0.38</v>
      </c>
      <c r="P13" s="27">
        <v>224.8</v>
      </c>
      <c r="Q13" s="26"/>
      <c r="R13" s="26">
        <f t="shared" si="3"/>
        <v>12.400000000000006</v>
      </c>
      <c r="S13" s="26">
        <v>6</v>
      </c>
      <c r="T13" s="5"/>
      <c r="U13" s="5"/>
      <c r="V13" s="5">
        <f>0.19*100</f>
        <v>19</v>
      </c>
      <c r="W13" s="5"/>
      <c r="X13" s="5">
        <v>57</v>
      </c>
      <c r="Y13" s="5">
        <v>5.76</v>
      </c>
      <c r="Z13" s="27">
        <f t="shared" si="5"/>
        <v>-0.24000000000000021</v>
      </c>
      <c r="AA13" s="22">
        <f t="shared" si="6"/>
        <v>1.6779999999999999</v>
      </c>
      <c r="AB13" s="19"/>
    </row>
    <row r="14" spans="1:38" ht="18.75" customHeight="1" x14ac:dyDescent="0.35">
      <c r="B14">
        <v>12</v>
      </c>
      <c r="C14" s="28">
        <v>0.2</v>
      </c>
      <c r="D14" s="28">
        <v>5</v>
      </c>
      <c r="E14" s="27">
        <f t="shared" si="0"/>
        <v>100.00000000000001</v>
      </c>
      <c r="F14" s="29">
        <v>500</v>
      </c>
      <c r="G14" s="30">
        <f t="shared" si="7"/>
        <v>0.43062499999999998</v>
      </c>
      <c r="H14" s="31">
        <f t="shared" si="8"/>
        <v>6.937500000000002E-2</v>
      </c>
      <c r="I14" s="30">
        <f t="shared" si="1"/>
        <v>24.25</v>
      </c>
      <c r="J14" s="5">
        <f t="shared" si="2"/>
        <v>0.25</v>
      </c>
      <c r="K14" s="5">
        <v>0.38</v>
      </c>
      <c r="L14" s="5">
        <v>0.36</v>
      </c>
      <c r="M14" s="5"/>
      <c r="N14" s="5"/>
      <c r="O14" s="5">
        <f t="shared" si="4"/>
        <v>0.37</v>
      </c>
      <c r="P14" s="5">
        <v>526.1</v>
      </c>
      <c r="Q14" s="26"/>
      <c r="R14" s="26">
        <f t="shared" si="3"/>
        <v>5.2200000000000042</v>
      </c>
      <c r="S14" s="26">
        <v>7.15</v>
      </c>
      <c r="T14" s="5">
        <v>440.7</v>
      </c>
      <c r="U14" s="5"/>
      <c r="V14" s="5">
        <f>0.77*250</f>
        <v>192.5</v>
      </c>
      <c r="W14" s="5"/>
      <c r="X14" s="5">
        <v>440.7</v>
      </c>
      <c r="Y14" s="5">
        <v>4.8</v>
      </c>
      <c r="Z14" s="27">
        <f t="shared" si="5"/>
        <v>-2.3500000000000005</v>
      </c>
      <c r="AA14" s="22">
        <f t="shared" si="6"/>
        <v>0.85400000000000031</v>
      </c>
      <c r="AB14" s="19"/>
    </row>
    <row r="15" spans="1:38" ht="18.75" customHeight="1" x14ac:dyDescent="0.35">
      <c r="B15">
        <v>13</v>
      </c>
      <c r="C15" s="28">
        <v>0.2</v>
      </c>
      <c r="D15" s="28">
        <v>5</v>
      </c>
      <c r="E15" s="27">
        <f t="shared" si="0"/>
        <v>100.00000000000001</v>
      </c>
      <c r="F15" s="29">
        <v>1000</v>
      </c>
      <c r="G15" s="30">
        <f t="shared" si="7"/>
        <v>0.43062499999999998</v>
      </c>
      <c r="H15" s="31">
        <f t="shared" si="8"/>
        <v>6.937500000000002E-2</v>
      </c>
      <c r="I15" s="30">
        <f t="shared" si="1"/>
        <v>24</v>
      </c>
      <c r="J15" s="5">
        <f t="shared" si="2"/>
        <v>0.5</v>
      </c>
      <c r="K15" s="5">
        <v>0.47</v>
      </c>
      <c r="L15" s="5">
        <v>0.57999999999999996</v>
      </c>
      <c r="M15" s="5"/>
      <c r="N15" s="5"/>
      <c r="O15" s="5">
        <f t="shared" si="4"/>
        <v>0.52499999999999991</v>
      </c>
      <c r="P15" s="5">
        <v>1149.3</v>
      </c>
      <c r="Q15" s="26"/>
      <c r="R15" s="26">
        <f t="shared" si="3"/>
        <v>14.929999999999996</v>
      </c>
      <c r="S15" s="26">
        <v>6.7</v>
      </c>
      <c r="T15" s="5">
        <v>713.2</v>
      </c>
      <c r="U15" s="5"/>
      <c r="V15" s="5"/>
      <c r="W15" s="5"/>
      <c r="X15" s="5">
        <v>713.2</v>
      </c>
      <c r="Y15" s="5">
        <v>5.26</v>
      </c>
      <c r="Z15" s="27">
        <f t="shared" si="5"/>
        <v>-1.4400000000000004</v>
      </c>
      <c r="AA15" s="22">
        <f t="shared" si="6"/>
        <v>4.3609999999999989</v>
      </c>
      <c r="AB15" s="19"/>
    </row>
    <row r="16" spans="1:38" ht="18.75" customHeight="1" x14ac:dyDescent="0.35">
      <c r="B16">
        <v>14</v>
      </c>
      <c r="C16" s="28">
        <v>0.2</v>
      </c>
      <c r="D16" s="28">
        <v>5</v>
      </c>
      <c r="E16" s="27">
        <f t="shared" si="0"/>
        <v>100.00000000000001</v>
      </c>
      <c r="F16" s="29">
        <v>2000</v>
      </c>
      <c r="G16" s="30">
        <f t="shared" si="7"/>
        <v>0.43062499999999998</v>
      </c>
      <c r="H16" s="31">
        <f t="shared" si="8"/>
        <v>6.937500000000002E-2</v>
      </c>
      <c r="I16" s="30">
        <f t="shared" si="1"/>
        <v>23.5</v>
      </c>
      <c r="J16" s="5">
        <f t="shared" si="2"/>
        <v>1</v>
      </c>
      <c r="K16" s="5">
        <v>1.05</v>
      </c>
      <c r="L16" s="5">
        <v>0.74</v>
      </c>
      <c r="M16" s="5"/>
      <c r="N16" s="5"/>
      <c r="O16" s="5">
        <f t="shared" si="4"/>
        <v>0.89500000000000002</v>
      </c>
      <c r="P16" s="5">
        <v>2163.6999999999998</v>
      </c>
      <c r="Q16" s="26"/>
      <c r="R16" s="26">
        <f t="shared" si="3"/>
        <v>8.1849999999999916</v>
      </c>
      <c r="S16" s="26">
        <v>6.74</v>
      </c>
      <c r="T16" s="5">
        <v>2002.7</v>
      </c>
      <c r="U16" s="5"/>
      <c r="V16" s="5"/>
      <c r="W16" s="5"/>
      <c r="X16" s="5">
        <v>2002.7</v>
      </c>
      <c r="Y16" s="5">
        <v>5.78</v>
      </c>
      <c r="Z16" s="27">
        <f t="shared" si="5"/>
        <v>-0.96</v>
      </c>
      <c r="AA16" s="22">
        <f t="shared" si="6"/>
        <v>1.6099999999999977</v>
      </c>
      <c r="AB16" s="19"/>
    </row>
    <row r="17" spans="2:28" ht="18.75" customHeight="1" x14ac:dyDescent="0.35">
      <c r="B17">
        <v>15</v>
      </c>
      <c r="C17" s="28">
        <v>0.2</v>
      </c>
      <c r="D17" s="28">
        <v>5</v>
      </c>
      <c r="E17" s="27">
        <f t="shared" si="0"/>
        <v>100.00000000000001</v>
      </c>
      <c r="F17" s="29">
        <v>5000</v>
      </c>
      <c r="G17" s="30">
        <f t="shared" si="7"/>
        <v>0.43062499999999998</v>
      </c>
      <c r="H17" s="31">
        <f t="shared" si="8"/>
        <v>6.937500000000002E-2</v>
      </c>
      <c r="I17" s="30">
        <f t="shared" si="1"/>
        <v>22</v>
      </c>
      <c r="J17" s="5">
        <f t="shared" si="2"/>
        <v>2.5</v>
      </c>
      <c r="K17" s="5">
        <v>1.0900000000000001</v>
      </c>
      <c r="L17" s="5">
        <v>1.17</v>
      </c>
      <c r="M17" s="5"/>
      <c r="N17" s="5"/>
      <c r="O17" s="5">
        <f t="shared" si="4"/>
        <v>1.1299999999999999</v>
      </c>
      <c r="P17" s="5">
        <v>5364</v>
      </c>
      <c r="Q17" s="26"/>
      <c r="R17" s="26">
        <f t="shared" si="3"/>
        <v>7.28</v>
      </c>
      <c r="S17" s="26">
        <v>6.98</v>
      </c>
      <c r="T17" s="5">
        <v>5088.7</v>
      </c>
      <c r="U17" s="5"/>
      <c r="V17" s="5"/>
      <c r="W17" s="5"/>
      <c r="X17" s="5">
        <v>5088.7</v>
      </c>
      <c r="Y17" s="5">
        <v>5.68</v>
      </c>
      <c r="Z17" s="27">
        <f t="shared" si="5"/>
        <v>-1.3000000000000007</v>
      </c>
      <c r="AA17" s="22">
        <f t="shared" si="6"/>
        <v>2.7530000000000019</v>
      </c>
      <c r="AB17" s="19"/>
    </row>
    <row r="18" spans="2:28" ht="15" customHeight="1" x14ac:dyDescent="0.35">
      <c r="B18">
        <v>16</v>
      </c>
      <c r="C18" s="28">
        <v>0.2</v>
      </c>
      <c r="D18" s="28">
        <v>10</v>
      </c>
      <c r="E18" s="27">
        <f t="shared" si="0"/>
        <v>200.00000000000003</v>
      </c>
      <c r="F18" s="29">
        <v>200</v>
      </c>
      <c r="G18" s="30">
        <f t="shared" si="7"/>
        <v>0.36124999999999996</v>
      </c>
      <c r="H18" s="30">
        <f t="shared" si="8"/>
        <v>0.13875000000000004</v>
      </c>
      <c r="I18" s="30">
        <f t="shared" si="1"/>
        <v>24.4</v>
      </c>
      <c r="J18" s="5">
        <f t="shared" si="2"/>
        <v>0.1</v>
      </c>
      <c r="K18" s="5">
        <v>0.36</v>
      </c>
      <c r="L18" s="5">
        <v>0.37</v>
      </c>
      <c r="M18" s="5"/>
      <c r="N18" s="5"/>
      <c r="O18" s="5">
        <f t="shared" si="4"/>
        <v>0.36499999999999999</v>
      </c>
      <c r="P18" s="5">
        <v>193.7</v>
      </c>
      <c r="Q18" s="26"/>
      <c r="R18" s="26">
        <f t="shared" si="3"/>
        <v>3.1500000000000057</v>
      </c>
      <c r="S18" s="26">
        <v>6.35</v>
      </c>
      <c r="T18" s="5"/>
      <c r="U18" s="5"/>
      <c r="V18" s="5">
        <v>2</v>
      </c>
      <c r="W18" s="5"/>
      <c r="X18" s="5">
        <v>6</v>
      </c>
      <c r="Y18" s="5">
        <v>6.88</v>
      </c>
      <c r="Z18" s="27">
        <f t="shared" si="5"/>
        <v>0.53000000000000025</v>
      </c>
      <c r="AA18" s="22">
        <f t="shared" si="6"/>
        <v>1.877</v>
      </c>
      <c r="AB18" s="19"/>
    </row>
    <row r="19" spans="2:28" ht="15" customHeight="1" x14ac:dyDescent="0.35">
      <c r="B19">
        <v>17</v>
      </c>
      <c r="C19" s="28">
        <v>0.2</v>
      </c>
      <c r="D19" s="28">
        <v>10</v>
      </c>
      <c r="E19" s="27">
        <f t="shared" si="0"/>
        <v>200.00000000000003</v>
      </c>
      <c r="F19" s="29">
        <v>500</v>
      </c>
      <c r="G19" s="30">
        <f t="shared" si="7"/>
        <v>0.36124999999999996</v>
      </c>
      <c r="H19" s="30">
        <f t="shared" si="8"/>
        <v>0.13875000000000004</v>
      </c>
      <c r="I19" s="30">
        <f t="shared" si="1"/>
        <v>24.25</v>
      </c>
      <c r="J19" s="5">
        <f t="shared" si="2"/>
        <v>0.25</v>
      </c>
      <c r="K19" s="5">
        <v>0.36</v>
      </c>
      <c r="L19" s="5">
        <v>0.33</v>
      </c>
      <c r="M19" s="5"/>
      <c r="N19" s="5"/>
      <c r="O19" s="5">
        <f t="shared" si="4"/>
        <v>0.34499999999999997</v>
      </c>
      <c r="P19" s="5">
        <v>510.5</v>
      </c>
      <c r="Q19" s="26"/>
      <c r="R19" s="26">
        <f t="shared" si="3"/>
        <v>2.1</v>
      </c>
      <c r="S19" s="26">
        <v>6.76</v>
      </c>
      <c r="T19" s="5">
        <v>355.2</v>
      </c>
      <c r="U19" s="5"/>
      <c r="V19" s="5">
        <f>0.68*250</f>
        <v>170</v>
      </c>
      <c r="W19" s="5"/>
      <c r="X19" s="5">
        <v>355.2</v>
      </c>
      <c r="Y19" s="5">
        <v>7.1</v>
      </c>
      <c r="Z19" s="27">
        <f t="shared" si="5"/>
        <v>0.33999999999999986</v>
      </c>
      <c r="AA19" s="22">
        <f t="shared" si="6"/>
        <v>1.5529999999999999</v>
      </c>
      <c r="AB19" s="19"/>
    </row>
    <row r="20" spans="2:28" ht="15" customHeight="1" x14ac:dyDescent="0.35">
      <c r="B20">
        <v>18</v>
      </c>
      <c r="C20" s="28">
        <v>0.2</v>
      </c>
      <c r="D20" s="28">
        <v>10</v>
      </c>
      <c r="E20" s="27">
        <f t="shared" si="0"/>
        <v>200.00000000000003</v>
      </c>
      <c r="F20" s="29">
        <v>1000</v>
      </c>
      <c r="G20" s="30">
        <f t="shared" si="7"/>
        <v>0.36124999999999996</v>
      </c>
      <c r="H20" s="30">
        <f t="shared" si="8"/>
        <v>0.13875000000000004</v>
      </c>
      <c r="I20" s="30">
        <f t="shared" si="1"/>
        <v>24</v>
      </c>
      <c r="J20" s="5">
        <f t="shared" si="2"/>
        <v>0.5</v>
      </c>
      <c r="K20" s="5">
        <v>0.41</v>
      </c>
      <c r="L20" s="5">
        <v>0.47</v>
      </c>
      <c r="M20" s="5"/>
      <c r="N20" s="5"/>
      <c r="O20" s="5">
        <f t="shared" si="4"/>
        <v>0.43999999999999995</v>
      </c>
      <c r="P20" s="5">
        <v>821.4</v>
      </c>
      <c r="Q20" s="26"/>
      <c r="R20" s="26">
        <f t="shared" si="3"/>
        <v>17.860000000000003</v>
      </c>
      <c r="S20" s="26">
        <v>5.96</v>
      </c>
      <c r="T20" s="5">
        <v>763.4</v>
      </c>
      <c r="U20" s="5">
        <v>761.5</v>
      </c>
      <c r="V20" s="5"/>
      <c r="W20" s="5"/>
      <c r="X20" s="5">
        <v>762.45</v>
      </c>
      <c r="Y20" s="5">
        <v>6.81</v>
      </c>
      <c r="Z20" s="27">
        <f t="shared" si="5"/>
        <v>0.84999999999999964</v>
      </c>
      <c r="AA20" s="22">
        <f t="shared" si="6"/>
        <v>0.58949999999999936</v>
      </c>
      <c r="AB20" s="19"/>
    </row>
    <row r="21" spans="2:28" ht="15" customHeight="1" x14ac:dyDescent="0.35">
      <c r="B21">
        <v>19</v>
      </c>
      <c r="C21" s="28">
        <v>0.2</v>
      </c>
      <c r="D21" s="28">
        <v>10</v>
      </c>
      <c r="E21" s="27">
        <f t="shared" si="0"/>
        <v>200.00000000000003</v>
      </c>
      <c r="F21" s="29">
        <v>2000</v>
      </c>
      <c r="G21" s="30">
        <f t="shared" si="7"/>
        <v>0.36124999999999996</v>
      </c>
      <c r="H21" s="30">
        <f t="shared" si="8"/>
        <v>0.13875000000000004</v>
      </c>
      <c r="I21" s="30">
        <f t="shared" si="1"/>
        <v>23.5</v>
      </c>
      <c r="J21" s="5">
        <f t="shared" si="2"/>
        <v>1</v>
      </c>
      <c r="K21" s="5">
        <v>0.62</v>
      </c>
      <c r="L21" s="5">
        <v>0.6</v>
      </c>
      <c r="M21" s="5"/>
      <c r="N21" s="5"/>
      <c r="O21" s="5">
        <f t="shared" si="4"/>
        <v>0.61</v>
      </c>
      <c r="P21" s="5">
        <v>1817.2</v>
      </c>
      <c r="Q21" s="26"/>
      <c r="R21" s="26">
        <f t="shared" si="3"/>
        <v>9.1399999999999988</v>
      </c>
      <c r="S21" s="26">
        <v>6.1</v>
      </c>
      <c r="T21" s="5">
        <v>1697.2</v>
      </c>
      <c r="U21" s="5"/>
      <c r="V21" s="5"/>
      <c r="W21" s="5"/>
      <c r="X21" s="5">
        <v>1697.2</v>
      </c>
      <c r="Y21" s="5">
        <v>6.7</v>
      </c>
      <c r="Z21" s="27">
        <f t="shared" si="5"/>
        <v>0.60000000000000053</v>
      </c>
      <c r="AA21" s="22">
        <f t="shared" si="6"/>
        <v>1.2</v>
      </c>
      <c r="AB21" s="19"/>
    </row>
    <row r="22" spans="2:28" ht="15" customHeight="1" x14ac:dyDescent="0.35">
      <c r="B22">
        <v>20</v>
      </c>
      <c r="C22" s="28">
        <v>0.2</v>
      </c>
      <c r="D22" s="28">
        <v>10</v>
      </c>
      <c r="E22" s="27">
        <f t="shared" si="0"/>
        <v>200.00000000000003</v>
      </c>
      <c r="F22" s="29">
        <v>5000</v>
      </c>
      <c r="G22" s="30">
        <f t="shared" si="7"/>
        <v>0.36124999999999996</v>
      </c>
      <c r="H22" s="30">
        <f t="shared" si="8"/>
        <v>0.13875000000000004</v>
      </c>
      <c r="I22" s="30">
        <f t="shared" si="1"/>
        <v>22</v>
      </c>
      <c r="J22" s="5">
        <f t="shared" si="2"/>
        <v>2.5</v>
      </c>
      <c r="K22" s="5">
        <v>1.27</v>
      </c>
      <c r="L22" s="5">
        <v>1.1000000000000001</v>
      </c>
      <c r="M22" s="5"/>
      <c r="N22" s="5"/>
      <c r="O22" s="5">
        <f t="shared" si="4"/>
        <v>1.1850000000000001</v>
      </c>
      <c r="P22" s="5">
        <v>5266.6</v>
      </c>
      <c r="Q22" s="26"/>
      <c r="R22" s="26">
        <f t="shared" si="3"/>
        <v>5.3320000000000078</v>
      </c>
      <c r="S22" s="26">
        <v>7.8</v>
      </c>
      <c r="T22" s="5">
        <v>4538</v>
      </c>
      <c r="U22" s="5"/>
      <c r="V22" s="5"/>
      <c r="W22" s="5"/>
      <c r="X22" s="5">
        <v>4538</v>
      </c>
      <c r="Y22" s="5">
        <v>7.1</v>
      </c>
      <c r="Z22" s="27">
        <f t="shared" si="5"/>
        <v>-0.70000000000000018</v>
      </c>
      <c r="AA22" s="22">
        <f t="shared" si="6"/>
        <v>7.286000000000004</v>
      </c>
      <c r="AB22" s="19"/>
    </row>
    <row r="23" spans="2:28" ht="15" customHeight="1" x14ac:dyDescent="0.35">
      <c r="B23">
        <v>21</v>
      </c>
      <c r="C23" s="28">
        <v>0.5</v>
      </c>
      <c r="D23" s="28">
        <v>0</v>
      </c>
      <c r="E23" s="27">
        <f t="shared" si="0"/>
        <v>0</v>
      </c>
      <c r="F23" s="29">
        <v>200</v>
      </c>
      <c r="G23" s="5">
        <f>C23/10*F$1</f>
        <v>1.25</v>
      </c>
      <c r="H23" s="30">
        <f t="shared" si="8"/>
        <v>0</v>
      </c>
      <c r="I23" s="30">
        <f t="shared" si="1"/>
        <v>23.65</v>
      </c>
      <c r="J23" s="5">
        <f t="shared" si="2"/>
        <v>0.1</v>
      </c>
      <c r="K23" s="5">
        <v>0.41</v>
      </c>
      <c r="L23" s="5">
        <v>0.41</v>
      </c>
      <c r="M23" s="5"/>
      <c r="N23" s="5"/>
      <c r="O23" s="5">
        <f>AVERAGE(K23:N23)</f>
        <v>0.41</v>
      </c>
      <c r="P23" s="5">
        <v>214.6</v>
      </c>
      <c r="Q23" s="26"/>
      <c r="R23" s="26">
        <f t="shared" si="3"/>
        <v>7.2999999999999972</v>
      </c>
      <c r="S23" s="26">
        <v>6.98</v>
      </c>
      <c r="T23" s="5"/>
      <c r="U23" s="5"/>
      <c r="V23" s="5">
        <f>0.37*100</f>
        <v>37</v>
      </c>
      <c r="W23" s="5"/>
      <c r="X23" s="5">
        <v>111</v>
      </c>
      <c r="Y23" s="5">
        <v>6.74</v>
      </c>
      <c r="Z23" s="27">
        <f t="shared" si="5"/>
        <v>-0.24000000000000021</v>
      </c>
      <c r="AA23" s="22">
        <f t="shared" si="6"/>
        <v>1.036</v>
      </c>
      <c r="AB23" s="19"/>
    </row>
    <row r="24" spans="2:28" ht="15" customHeight="1" x14ac:dyDescent="0.35">
      <c r="B24">
        <v>22</v>
      </c>
      <c r="C24" s="28">
        <v>0.5</v>
      </c>
      <c r="D24" s="28">
        <v>0</v>
      </c>
      <c r="E24" s="27">
        <f t="shared" si="0"/>
        <v>0</v>
      </c>
      <c r="F24" s="29">
        <v>500</v>
      </c>
      <c r="G24" s="5">
        <f>C24/10*F$1</f>
        <v>1.25</v>
      </c>
      <c r="H24" s="30">
        <f t="shared" si="8"/>
        <v>0</v>
      </c>
      <c r="I24" s="30">
        <f t="shared" si="1"/>
        <v>23.5</v>
      </c>
      <c r="J24" s="5">
        <f t="shared" si="2"/>
        <v>0.25</v>
      </c>
      <c r="K24" s="5">
        <v>0.76</v>
      </c>
      <c r="L24" s="5">
        <v>0.76</v>
      </c>
      <c r="M24" s="5"/>
      <c r="N24" s="5"/>
      <c r="O24" s="5">
        <f t="shared" si="4"/>
        <v>0.76</v>
      </c>
      <c r="P24" s="5">
        <v>523.4</v>
      </c>
      <c r="Q24" s="26"/>
      <c r="R24" s="26">
        <f t="shared" si="3"/>
        <v>4.6799999999999953</v>
      </c>
      <c r="S24" s="26">
        <v>6.1</v>
      </c>
      <c r="T24" s="5">
        <v>505.9</v>
      </c>
      <c r="U24" s="5"/>
      <c r="V24" s="5">
        <f>0.44*250</f>
        <v>110</v>
      </c>
      <c r="W24" s="5"/>
      <c r="X24" s="5">
        <v>307.95</v>
      </c>
      <c r="Y24" s="5">
        <v>5.82</v>
      </c>
      <c r="Z24" s="27">
        <f t="shared" si="5"/>
        <v>-0.27999999999999936</v>
      </c>
      <c r="AA24" s="22">
        <f t="shared" si="6"/>
        <v>2.1545000000000001</v>
      </c>
      <c r="AB24" s="19"/>
    </row>
    <row r="25" spans="2:28" ht="15" customHeight="1" x14ac:dyDescent="0.35">
      <c r="B25">
        <v>23</v>
      </c>
      <c r="C25" s="28">
        <v>0.5</v>
      </c>
      <c r="D25" s="28">
        <v>0</v>
      </c>
      <c r="E25" s="27">
        <f t="shared" si="0"/>
        <v>0</v>
      </c>
      <c r="F25" s="29">
        <v>1000</v>
      </c>
      <c r="G25" s="5">
        <f>C25/10*F$1</f>
        <v>1.25</v>
      </c>
      <c r="H25" s="30">
        <f t="shared" si="8"/>
        <v>0</v>
      </c>
      <c r="I25" s="30">
        <f t="shared" si="1"/>
        <v>23.25</v>
      </c>
      <c r="J25" s="5">
        <f t="shared" si="2"/>
        <v>0.5</v>
      </c>
      <c r="K25" s="5">
        <v>0.67</v>
      </c>
      <c r="L25" s="5">
        <v>0.67</v>
      </c>
      <c r="M25" s="5"/>
      <c r="N25" s="5"/>
      <c r="O25" s="5">
        <f t="shared" si="4"/>
        <v>0.67</v>
      </c>
      <c r="P25" s="5">
        <v>1058.5</v>
      </c>
      <c r="Q25" s="26"/>
      <c r="R25" s="26">
        <f t="shared" si="3"/>
        <v>5.8500000000000005</v>
      </c>
      <c r="S25" s="26">
        <v>6.74</v>
      </c>
      <c r="T25" s="5">
        <v>891.2</v>
      </c>
      <c r="U25" s="5"/>
      <c r="V25" s="5"/>
      <c r="W25" s="5"/>
      <c r="X25" s="5">
        <v>891.2</v>
      </c>
      <c r="Y25" s="5">
        <v>6.99</v>
      </c>
      <c r="Z25" s="27">
        <f t="shared" si="5"/>
        <v>0.25</v>
      </c>
      <c r="AA25" s="22">
        <f t="shared" si="6"/>
        <v>1.6729999999999996</v>
      </c>
      <c r="AB25" s="19"/>
    </row>
    <row r="26" spans="2:28" ht="15" customHeight="1" x14ac:dyDescent="0.35">
      <c r="B26">
        <v>24</v>
      </c>
      <c r="C26" s="28">
        <v>0.5</v>
      </c>
      <c r="D26" s="28">
        <v>0</v>
      </c>
      <c r="E26" s="27">
        <f t="shared" si="0"/>
        <v>0</v>
      </c>
      <c r="F26" s="29">
        <v>2000</v>
      </c>
      <c r="G26" s="5">
        <f>C26/10*F$1</f>
        <v>1.25</v>
      </c>
      <c r="H26" s="30">
        <f t="shared" si="8"/>
        <v>0</v>
      </c>
      <c r="I26" s="30">
        <f t="shared" si="1"/>
        <v>22.75</v>
      </c>
      <c r="J26" s="5">
        <f t="shared" si="2"/>
        <v>1</v>
      </c>
      <c r="K26" s="5">
        <v>0.77</v>
      </c>
      <c r="L26" s="5">
        <v>0.77</v>
      </c>
      <c r="M26" s="5"/>
      <c r="N26" s="5"/>
      <c r="O26" s="5">
        <f t="shared" si="4"/>
        <v>0.77</v>
      </c>
      <c r="P26" s="5">
        <v>2177.9</v>
      </c>
      <c r="Q26" s="26"/>
      <c r="R26" s="26">
        <f t="shared" si="3"/>
        <v>8.8950000000000049</v>
      </c>
      <c r="S26" s="26">
        <v>6.84</v>
      </c>
      <c r="T26" s="5">
        <v>1644.3</v>
      </c>
      <c r="U26" s="5"/>
      <c r="V26" s="5"/>
      <c r="W26" s="5"/>
      <c r="X26" s="5">
        <v>1644.3</v>
      </c>
      <c r="Y26" s="5">
        <v>6.51</v>
      </c>
      <c r="Z26" s="27">
        <f t="shared" si="5"/>
        <v>-0.33000000000000007</v>
      </c>
      <c r="AA26" s="22">
        <f t="shared" si="6"/>
        <v>5.3360000000000021</v>
      </c>
      <c r="AB26" s="19"/>
    </row>
    <row r="27" spans="2:28" ht="15" customHeight="1" x14ac:dyDescent="0.35">
      <c r="B27">
        <v>25</v>
      </c>
      <c r="C27" s="28">
        <v>0.5</v>
      </c>
      <c r="D27" s="28">
        <v>0</v>
      </c>
      <c r="E27" s="27">
        <f t="shared" si="0"/>
        <v>0</v>
      </c>
      <c r="F27" s="29">
        <v>5000</v>
      </c>
      <c r="G27" s="5">
        <f>C27/10*F$1</f>
        <v>1.25</v>
      </c>
      <c r="H27" s="30">
        <f t="shared" si="8"/>
        <v>0</v>
      </c>
      <c r="I27" s="30">
        <f t="shared" si="1"/>
        <v>21.25</v>
      </c>
      <c r="J27" s="5">
        <f t="shared" si="2"/>
        <v>2.5</v>
      </c>
      <c r="K27" s="5">
        <v>1.33</v>
      </c>
      <c r="L27" s="5">
        <v>0.95</v>
      </c>
      <c r="M27" s="5"/>
      <c r="N27" s="5"/>
      <c r="O27" s="5">
        <f t="shared" si="4"/>
        <v>1.1400000000000001</v>
      </c>
      <c r="P27" s="5">
        <v>5088.7</v>
      </c>
      <c r="Q27" s="26"/>
      <c r="R27" s="26">
        <f t="shared" si="3"/>
        <v>1.7739999999999965</v>
      </c>
      <c r="S27" s="26">
        <v>6.79</v>
      </c>
      <c r="T27" s="5">
        <v>4611.8999999999996</v>
      </c>
      <c r="U27" s="5">
        <v>4434.5</v>
      </c>
      <c r="V27" s="5"/>
      <c r="W27" s="5"/>
      <c r="X27" s="5">
        <v>4523.2</v>
      </c>
      <c r="Y27" s="5">
        <v>6.34</v>
      </c>
      <c r="Z27" s="27">
        <f t="shared" si="5"/>
        <v>-0.45000000000000018</v>
      </c>
      <c r="AA27" s="22">
        <f t="shared" si="6"/>
        <v>5.6550000000000002</v>
      </c>
      <c r="AB27" s="19"/>
    </row>
    <row r="28" spans="2:28" ht="15" customHeight="1" x14ac:dyDescent="0.35">
      <c r="B28">
        <v>26</v>
      </c>
      <c r="C28" s="28">
        <v>0.5</v>
      </c>
      <c r="D28" s="28">
        <v>2</v>
      </c>
      <c r="E28" s="27">
        <f t="shared" si="0"/>
        <v>100</v>
      </c>
      <c r="F28" s="29">
        <v>200</v>
      </c>
      <c r="G28" s="30">
        <f t="shared" ref="G28:G42" si="9">C28/10*F$1-H28</f>
        <v>1.180625</v>
      </c>
      <c r="H28" s="31">
        <f t="shared" si="8"/>
        <v>6.9375000000000006E-2</v>
      </c>
      <c r="I28" s="30">
        <f t="shared" si="1"/>
        <v>23.65</v>
      </c>
      <c r="J28" s="5">
        <f t="shared" si="2"/>
        <v>0.1</v>
      </c>
      <c r="K28" s="5">
        <v>0.32</v>
      </c>
      <c r="L28" s="5">
        <v>0.35</v>
      </c>
      <c r="M28" s="5"/>
      <c r="N28" s="5"/>
      <c r="O28" s="5">
        <f t="shared" si="4"/>
        <v>0.33499999999999996</v>
      </c>
      <c r="P28" s="5">
        <v>181.9</v>
      </c>
      <c r="Q28" s="26"/>
      <c r="R28" s="26">
        <f t="shared" si="3"/>
        <v>9.0499999999999972</v>
      </c>
      <c r="S28" s="26">
        <v>6.98</v>
      </c>
      <c r="T28" s="5"/>
      <c r="U28" s="5"/>
      <c r="V28" s="5">
        <v>200</v>
      </c>
      <c r="W28" s="5"/>
      <c r="X28" s="5">
        <v>150</v>
      </c>
      <c r="Y28" s="5">
        <v>6.7</v>
      </c>
      <c r="Z28" s="27">
        <f t="shared" si="5"/>
        <v>-0.28000000000000025</v>
      </c>
      <c r="AA28" s="22">
        <f t="shared" si="6"/>
        <v>0.31900000000000006</v>
      </c>
      <c r="AB28" s="19"/>
    </row>
    <row r="29" spans="2:28" ht="15" customHeight="1" x14ac:dyDescent="0.35">
      <c r="B29">
        <v>27</v>
      </c>
      <c r="C29" s="28">
        <v>0.5</v>
      </c>
      <c r="D29" s="28">
        <v>2</v>
      </c>
      <c r="E29" s="27">
        <f t="shared" si="0"/>
        <v>100</v>
      </c>
      <c r="F29" s="29">
        <v>500</v>
      </c>
      <c r="G29" s="30">
        <f t="shared" si="9"/>
        <v>1.180625</v>
      </c>
      <c r="H29" s="31">
        <f t="shared" si="8"/>
        <v>6.9375000000000006E-2</v>
      </c>
      <c r="I29" s="30">
        <f t="shared" si="1"/>
        <v>23.5</v>
      </c>
      <c r="J29" s="5">
        <f t="shared" si="2"/>
        <v>0.25</v>
      </c>
      <c r="K29" s="5">
        <v>0.34</v>
      </c>
      <c r="L29" s="5">
        <v>0.33</v>
      </c>
      <c r="M29" s="5"/>
      <c r="N29" s="5"/>
      <c r="O29" s="5">
        <f t="shared" si="4"/>
        <v>0.33500000000000002</v>
      </c>
      <c r="P29" s="5">
        <v>566.29999999999995</v>
      </c>
      <c r="Q29" s="26"/>
      <c r="R29" s="26">
        <f t="shared" si="3"/>
        <v>13.259999999999991</v>
      </c>
      <c r="S29" s="26">
        <v>7</v>
      </c>
      <c r="T29" s="5">
        <v>510.3</v>
      </c>
      <c r="U29" s="5"/>
      <c r="V29" s="5">
        <f>0.91*250</f>
        <v>227.5</v>
      </c>
      <c r="W29" s="5"/>
      <c r="X29" s="5">
        <v>510.3</v>
      </c>
      <c r="Y29" s="5">
        <v>7.03</v>
      </c>
      <c r="Z29" s="27">
        <f t="shared" si="5"/>
        <v>3.0000000000000249E-2</v>
      </c>
      <c r="AA29" s="22">
        <f t="shared" si="6"/>
        <v>0.55999999999999939</v>
      </c>
      <c r="AB29" s="19"/>
    </row>
    <row r="30" spans="2:28" ht="15" customHeight="1" x14ac:dyDescent="0.35">
      <c r="B30">
        <v>28</v>
      </c>
      <c r="C30" s="28">
        <v>0.5</v>
      </c>
      <c r="D30" s="28">
        <v>2</v>
      </c>
      <c r="E30" s="27">
        <f t="shared" si="0"/>
        <v>100</v>
      </c>
      <c r="F30" s="29">
        <v>1000</v>
      </c>
      <c r="G30" s="30">
        <f t="shared" si="9"/>
        <v>1.180625</v>
      </c>
      <c r="H30" s="31">
        <f t="shared" si="8"/>
        <v>6.9375000000000006E-2</v>
      </c>
      <c r="I30" s="30">
        <f t="shared" si="1"/>
        <v>23.25</v>
      </c>
      <c r="J30" s="5">
        <f t="shared" si="2"/>
        <v>0.5</v>
      </c>
      <c r="K30" s="5">
        <v>0.45</v>
      </c>
      <c r="L30" s="5">
        <v>0.41</v>
      </c>
      <c r="M30" s="5"/>
      <c r="N30" s="5"/>
      <c r="O30" s="5">
        <f t="shared" si="4"/>
        <v>0.43</v>
      </c>
      <c r="P30" s="5">
        <v>1064.2</v>
      </c>
      <c r="Q30" s="26"/>
      <c r="R30" s="26">
        <f t="shared" si="3"/>
        <v>6.4200000000000053</v>
      </c>
      <c r="S30" s="26">
        <v>7.68</v>
      </c>
      <c r="T30" s="5">
        <v>827.5</v>
      </c>
      <c r="U30" s="5"/>
      <c r="V30" s="5"/>
      <c r="W30" s="5"/>
      <c r="X30" s="5">
        <v>827.5</v>
      </c>
      <c r="Y30" s="5">
        <v>6.79</v>
      </c>
      <c r="Z30" s="27">
        <f t="shared" si="5"/>
        <v>-0.88999999999999968</v>
      </c>
      <c r="AA30" s="22">
        <f t="shared" si="6"/>
        <v>2.3670000000000004</v>
      </c>
      <c r="AB30" s="19"/>
    </row>
    <row r="31" spans="2:28" ht="15" customHeight="1" x14ac:dyDescent="0.35">
      <c r="B31">
        <v>29</v>
      </c>
      <c r="C31" s="28">
        <v>0.5</v>
      </c>
      <c r="D31" s="28">
        <v>2</v>
      </c>
      <c r="E31" s="27">
        <f t="shared" si="0"/>
        <v>100</v>
      </c>
      <c r="F31" s="29">
        <v>2000</v>
      </c>
      <c r="G31" s="30">
        <f t="shared" si="9"/>
        <v>1.180625</v>
      </c>
      <c r="H31" s="33">
        <f t="shared" si="8"/>
        <v>6.9375000000000006E-2</v>
      </c>
      <c r="I31" s="30">
        <f t="shared" si="1"/>
        <v>22.75</v>
      </c>
      <c r="J31" s="5">
        <f t="shared" si="2"/>
        <v>1</v>
      </c>
      <c r="K31" s="5">
        <v>0.63</v>
      </c>
      <c r="L31" s="5">
        <v>0.59</v>
      </c>
      <c r="M31" s="5"/>
      <c r="N31" s="5"/>
      <c r="O31" s="5">
        <f t="shared" si="4"/>
        <v>0.61</v>
      </c>
      <c r="P31" s="5">
        <v>2267.3000000000002</v>
      </c>
      <c r="Q31" s="26"/>
      <c r="R31" s="26">
        <f>ABS((F31-P51)/F31)*100</f>
        <v>12.465000000000009</v>
      </c>
      <c r="S31" s="26">
        <v>7.98</v>
      </c>
      <c r="T31" s="5">
        <v>1834.7</v>
      </c>
      <c r="U31" s="5"/>
      <c r="V31" s="5"/>
      <c r="W31" s="5"/>
      <c r="X31" s="5">
        <v>1834.7</v>
      </c>
      <c r="Y31" s="5">
        <v>6.77</v>
      </c>
      <c r="Z31" s="27">
        <f t="shared" si="5"/>
        <v>-1.2100000000000009</v>
      </c>
      <c r="AA31" s="22">
        <f t="shared" si="6"/>
        <v>4.3260000000000014</v>
      </c>
      <c r="AB31" s="19"/>
    </row>
    <row r="32" spans="2:28" ht="15" customHeight="1" x14ac:dyDescent="0.35">
      <c r="B32">
        <v>30</v>
      </c>
      <c r="C32" s="28">
        <v>0.5</v>
      </c>
      <c r="D32" s="28">
        <v>2</v>
      </c>
      <c r="E32" s="27">
        <f t="shared" si="0"/>
        <v>100</v>
      </c>
      <c r="F32" s="29">
        <v>5000</v>
      </c>
      <c r="G32" s="30">
        <f t="shared" si="9"/>
        <v>1.180625</v>
      </c>
      <c r="H32" s="33">
        <f t="shared" si="8"/>
        <v>6.9375000000000006E-2</v>
      </c>
      <c r="I32" s="30">
        <f t="shared" si="1"/>
        <v>21.25</v>
      </c>
      <c r="J32" s="5">
        <f t="shared" si="2"/>
        <v>2.5</v>
      </c>
      <c r="K32" s="5">
        <v>1.35</v>
      </c>
      <c r="L32" s="5">
        <v>1.1499999999999999</v>
      </c>
      <c r="M32" s="5"/>
      <c r="N32" s="5"/>
      <c r="O32" s="5">
        <f t="shared" si="4"/>
        <v>1.25</v>
      </c>
      <c r="P32" s="5">
        <v>6144.4</v>
      </c>
      <c r="Q32" s="26"/>
      <c r="R32" s="26">
        <f t="shared" si="3"/>
        <v>22.887999999999991</v>
      </c>
      <c r="S32" s="26">
        <v>7.87</v>
      </c>
      <c r="T32" s="5">
        <v>5018.8999999999996</v>
      </c>
      <c r="U32" s="5"/>
      <c r="V32" s="5"/>
      <c r="W32" s="5"/>
      <c r="X32" s="5">
        <v>5018.8999999999996</v>
      </c>
      <c r="Y32" s="5">
        <v>7.15</v>
      </c>
      <c r="Z32" s="27">
        <f t="shared" si="5"/>
        <v>-0.71999999999999975</v>
      </c>
      <c r="AA32" s="22">
        <f t="shared" si="6"/>
        <v>11.255000000000001</v>
      </c>
      <c r="AB32" s="19"/>
    </row>
    <row r="33" spans="2:28" ht="18.75" customHeight="1" x14ac:dyDescent="0.35">
      <c r="B33">
        <v>31</v>
      </c>
      <c r="C33" s="28">
        <v>0.5</v>
      </c>
      <c r="D33" s="28">
        <v>5</v>
      </c>
      <c r="E33" s="27">
        <f t="shared" si="0"/>
        <v>250</v>
      </c>
      <c r="F33" s="29">
        <v>200</v>
      </c>
      <c r="G33" s="30">
        <f t="shared" si="9"/>
        <v>1.0765625000000001</v>
      </c>
      <c r="H33" s="30">
        <f t="shared" si="8"/>
        <v>0.17343749999999999</v>
      </c>
      <c r="I33" s="30">
        <f t="shared" si="1"/>
        <v>23.65</v>
      </c>
      <c r="J33" s="5">
        <f t="shared" si="2"/>
        <v>0.1</v>
      </c>
      <c r="K33" s="5">
        <v>0.41</v>
      </c>
      <c r="L33" s="5">
        <v>0.38</v>
      </c>
      <c r="M33" s="5"/>
      <c r="N33" s="5"/>
      <c r="O33" s="5">
        <f t="shared" si="4"/>
        <v>0.39500000000000002</v>
      </c>
      <c r="P33" s="5">
        <v>223.3</v>
      </c>
      <c r="Q33" s="26"/>
      <c r="R33" s="26">
        <f t="shared" si="3"/>
        <v>11.650000000000006</v>
      </c>
      <c r="S33" s="26">
        <v>5.3</v>
      </c>
      <c r="T33" s="5"/>
      <c r="U33" s="5"/>
      <c r="V33" s="5">
        <v>180</v>
      </c>
      <c r="W33" s="5"/>
      <c r="X33" s="5">
        <v>150</v>
      </c>
      <c r="Y33" s="5">
        <v>6.79</v>
      </c>
      <c r="Z33" s="27">
        <f t="shared" si="5"/>
        <v>1.4900000000000002</v>
      </c>
      <c r="AA33" s="22">
        <f t="shared" si="6"/>
        <v>0.7330000000000001</v>
      </c>
      <c r="AB33" s="19"/>
    </row>
    <row r="34" spans="2:28" ht="18.75" customHeight="1" x14ac:dyDescent="0.35">
      <c r="B34">
        <v>32</v>
      </c>
      <c r="C34" s="28">
        <v>0.5</v>
      </c>
      <c r="D34" s="28">
        <v>5</v>
      </c>
      <c r="E34" s="27">
        <f t="shared" si="0"/>
        <v>250</v>
      </c>
      <c r="F34" s="29">
        <v>500</v>
      </c>
      <c r="G34" s="30">
        <f t="shared" si="9"/>
        <v>1.0765625000000001</v>
      </c>
      <c r="H34" s="30">
        <f t="shared" si="8"/>
        <v>0.17343749999999999</v>
      </c>
      <c r="I34" s="30">
        <f t="shared" si="1"/>
        <v>23.5</v>
      </c>
      <c r="J34" s="5">
        <f t="shared" si="2"/>
        <v>0.25</v>
      </c>
      <c r="K34" s="5">
        <v>0.36</v>
      </c>
      <c r="L34" s="5">
        <v>0.37</v>
      </c>
      <c r="M34" s="5"/>
      <c r="N34" s="5"/>
      <c r="O34" s="5">
        <f t="shared" si="4"/>
        <v>0.36499999999999999</v>
      </c>
      <c r="P34" s="5">
        <v>487.2</v>
      </c>
      <c r="Q34" s="26"/>
      <c r="R34" s="26">
        <f t="shared" si="3"/>
        <v>2.5600000000000023</v>
      </c>
      <c r="S34" s="26">
        <v>6.31</v>
      </c>
      <c r="T34" s="5">
        <v>415.1</v>
      </c>
      <c r="U34" s="5"/>
      <c r="V34" s="5">
        <f>0.59*250</f>
        <v>147.5</v>
      </c>
      <c r="W34" s="5"/>
      <c r="X34" s="5">
        <v>415.1</v>
      </c>
      <c r="Y34" s="5">
        <v>5.98</v>
      </c>
      <c r="Z34" s="27">
        <f t="shared" si="5"/>
        <v>-0.32999999999999918</v>
      </c>
      <c r="AA34" s="22">
        <f t="shared" si="6"/>
        <v>0.72099999999999964</v>
      </c>
      <c r="AB34" s="19"/>
    </row>
    <row r="35" spans="2:28" ht="18.75" customHeight="1" x14ac:dyDescent="0.35">
      <c r="B35">
        <v>33</v>
      </c>
      <c r="C35" s="28">
        <v>0.5</v>
      </c>
      <c r="D35" s="28">
        <v>5</v>
      </c>
      <c r="E35" s="27">
        <f t="shared" si="0"/>
        <v>250</v>
      </c>
      <c r="F35" s="29">
        <v>1000</v>
      </c>
      <c r="G35" s="30">
        <f t="shared" si="9"/>
        <v>1.0765625000000001</v>
      </c>
      <c r="H35" s="30">
        <f t="shared" si="8"/>
        <v>0.17343749999999999</v>
      </c>
      <c r="I35" s="30">
        <f t="shared" si="1"/>
        <v>23.25</v>
      </c>
      <c r="J35" s="5">
        <f t="shared" si="2"/>
        <v>0.5</v>
      </c>
      <c r="K35" s="5">
        <v>0.42</v>
      </c>
      <c r="L35" s="5">
        <v>0.44</v>
      </c>
      <c r="M35" s="5"/>
      <c r="N35" s="5"/>
      <c r="O35" s="5">
        <f t="shared" si="4"/>
        <v>0.43</v>
      </c>
      <c r="P35" s="5">
        <v>922.7</v>
      </c>
      <c r="Q35" s="26"/>
      <c r="R35" s="26">
        <f t="shared" si="3"/>
        <v>7.7299999999999951</v>
      </c>
      <c r="S35" s="26">
        <v>6.76</v>
      </c>
      <c r="T35" s="5">
        <v>780.4</v>
      </c>
      <c r="U35" s="5"/>
      <c r="V35" s="5"/>
      <c r="W35" s="5"/>
      <c r="X35" s="5">
        <v>780.4</v>
      </c>
      <c r="Y35" s="5">
        <v>6.15</v>
      </c>
      <c r="Z35" s="27">
        <f t="shared" si="5"/>
        <v>-0.60999999999999943</v>
      </c>
      <c r="AA35" s="22">
        <f t="shared" si="6"/>
        <v>1.4230000000000007</v>
      </c>
      <c r="AB35" s="19"/>
    </row>
    <row r="36" spans="2:28" ht="18.75" customHeight="1" x14ac:dyDescent="0.35">
      <c r="B36">
        <v>34</v>
      </c>
      <c r="C36" s="28">
        <v>0.5</v>
      </c>
      <c r="D36" s="28">
        <v>5</v>
      </c>
      <c r="E36" s="27">
        <f t="shared" si="0"/>
        <v>250</v>
      </c>
      <c r="F36" s="29">
        <v>2000</v>
      </c>
      <c r="G36" s="30">
        <f t="shared" si="9"/>
        <v>1.0765625000000001</v>
      </c>
      <c r="H36" s="30">
        <f t="shared" si="8"/>
        <v>0.17343749999999999</v>
      </c>
      <c r="I36" s="30">
        <f t="shared" si="1"/>
        <v>22.75</v>
      </c>
      <c r="J36" s="5">
        <f t="shared" si="2"/>
        <v>1</v>
      </c>
      <c r="K36" s="5">
        <v>0.56000000000000005</v>
      </c>
      <c r="L36" s="5">
        <v>0.54</v>
      </c>
      <c r="M36" s="5"/>
      <c r="N36" s="5"/>
      <c r="O36" s="5">
        <f t="shared" si="4"/>
        <v>0.55000000000000004</v>
      </c>
      <c r="P36" s="5">
        <v>2146.1</v>
      </c>
      <c r="Q36" s="26"/>
      <c r="R36" s="26">
        <f t="shared" si="3"/>
        <v>7.3049999999999944</v>
      </c>
      <c r="S36" s="26">
        <v>6.9</v>
      </c>
      <c r="T36" s="5">
        <v>1898.2</v>
      </c>
      <c r="U36" s="5"/>
      <c r="V36" s="5"/>
      <c r="W36" s="5"/>
      <c r="X36" s="5">
        <v>1898.2</v>
      </c>
      <c r="Y36" s="5">
        <v>6.63</v>
      </c>
      <c r="Z36" s="27">
        <f t="shared" si="5"/>
        <v>-0.27000000000000046</v>
      </c>
      <c r="AA36" s="22">
        <f t="shared" si="6"/>
        <v>2.4789999999999988</v>
      </c>
      <c r="AB36" s="19"/>
    </row>
    <row r="37" spans="2:28" ht="18.75" customHeight="1" x14ac:dyDescent="0.35">
      <c r="B37">
        <v>35</v>
      </c>
      <c r="C37" s="28">
        <v>0.5</v>
      </c>
      <c r="D37" s="28">
        <v>5</v>
      </c>
      <c r="E37" s="27">
        <f t="shared" si="0"/>
        <v>250</v>
      </c>
      <c r="F37" s="29">
        <v>5000</v>
      </c>
      <c r="G37" s="30">
        <f t="shared" si="9"/>
        <v>1.0765625000000001</v>
      </c>
      <c r="H37" s="30">
        <f t="shared" si="8"/>
        <v>0.17343749999999999</v>
      </c>
      <c r="I37" s="30">
        <f t="shared" si="1"/>
        <v>21.25</v>
      </c>
      <c r="J37" s="5">
        <f t="shared" si="2"/>
        <v>2.5</v>
      </c>
      <c r="K37" s="5">
        <v>1.21</v>
      </c>
      <c r="L37" s="5">
        <v>1.1599999999999999</v>
      </c>
      <c r="M37" s="5"/>
      <c r="N37" s="5"/>
      <c r="O37" s="5">
        <f t="shared" si="4"/>
        <v>1.1850000000000001</v>
      </c>
      <c r="P37" s="5">
        <v>4778.3999999999996</v>
      </c>
      <c r="Q37" s="26"/>
      <c r="R37" s="26">
        <f t="shared" si="3"/>
        <v>4.4320000000000075</v>
      </c>
      <c r="S37" s="26">
        <v>8.3699999999999992</v>
      </c>
      <c r="T37" s="5">
        <v>4457.2</v>
      </c>
      <c r="U37" s="5"/>
      <c r="V37" s="5"/>
      <c r="W37" s="5"/>
      <c r="X37" s="5">
        <v>4457.2</v>
      </c>
      <c r="Y37" s="5">
        <v>6.58</v>
      </c>
      <c r="Z37" s="27">
        <f t="shared" si="5"/>
        <v>-1.7899999999999991</v>
      </c>
      <c r="AA37" s="22">
        <f t="shared" si="6"/>
        <v>3.211999999999998</v>
      </c>
      <c r="AB37" s="19"/>
    </row>
    <row r="38" spans="2:28" ht="15" customHeight="1" x14ac:dyDescent="0.35">
      <c r="B38">
        <v>36</v>
      </c>
      <c r="C38" s="28">
        <v>0.5</v>
      </c>
      <c r="D38" s="28">
        <v>10</v>
      </c>
      <c r="E38" s="27">
        <f t="shared" si="0"/>
        <v>500</v>
      </c>
      <c r="F38" s="29">
        <v>200</v>
      </c>
      <c r="G38" s="30">
        <f t="shared" si="9"/>
        <v>0.90312499999999996</v>
      </c>
      <c r="H38" s="30">
        <f t="shared" si="8"/>
        <v>0.34687499999999999</v>
      </c>
      <c r="I38" s="30">
        <f t="shared" si="1"/>
        <v>23.65</v>
      </c>
      <c r="J38" s="5">
        <f t="shared" si="2"/>
        <v>0.1</v>
      </c>
      <c r="K38" s="5">
        <v>0.38</v>
      </c>
      <c r="L38" s="5">
        <v>0.34</v>
      </c>
      <c r="M38" s="5"/>
      <c r="N38" s="5"/>
      <c r="O38" s="5">
        <f>AVERAGE(K38:N38)</f>
        <v>0.36</v>
      </c>
      <c r="P38" s="5">
        <v>208.9</v>
      </c>
      <c r="Q38" s="26"/>
      <c r="R38" s="26">
        <f t="shared" si="3"/>
        <v>4.4500000000000028</v>
      </c>
      <c r="S38" s="26">
        <v>5.93</v>
      </c>
      <c r="T38" s="5"/>
      <c r="U38" s="5"/>
      <c r="V38" s="5">
        <v>0</v>
      </c>
      <c r="W38" s="5"/>
      <c r="X38" s="5">
        <v>24</v>
      </c>
      <c r="Y38" s="5">
        <v>5.88</v>
      </c>
      <c r="Z38" s="27">
        <f t="shared" si="5"/>
        <v>-4.9999999999999822E-2</v>
      </c>
      <c r="AA38" s="22">
        <f t="shared" si="6"/>
        <v>1.849</v>
      </c>
      <c r="AB38" s="19"/>
    </row>
    <row r="39" spans="2:28" ht="15" customHeight="1" x14ac:dyDescent="0.35">
      <c r="B39">
        <v>37</v>
      </c>
      <c r="C39" s="28">
        <v>0.5</v>
      </c>
      <c r="D39" s="28">
        <v>10</v>
      </c>
      <c r="E39" s="27">
        <f t="shared" si="0"/>
        <v>500</v>
      </c>
      <c r="F39" s="29">
        <v>500</v>
      </c>
      <c r="G39" s="30">
        <f t="shared" si="9"/>
        <v>0.90312499999999996</v>
      </c>
      <c r="H39" s="30">
        <f t="shared" si="8"/>
        <v>0.34687499999999999</v>
      </c>
      <c r="I39" s="30">
        <f t="shared" si="1"/>
        <v>23.5</v>
      </c>
      <c r="J39" s="5">
        <f t="shared" si="2"/>
        <v>0.25</v>
      </c>
      <c r="K39" s="5">
        <v>0.44</v>
      </c>
      <c r="L39" s="5">
        <v>0.4</v>
      </c>
      <c r="M39" s="5"/>
      <c r="N39" s="5"/>
      <c r="O39" s="5">
        <f t="shared" si="4"/>
        <v>0.42000000000000004</v>
      </c>
      <c r="P39" s="5">
        <v>477.8</v>
      </c>
      <c r="Q39" s="26"/>
      <c r="R39" s="26">
        <f t="shared" si="3"/>
        <v>4.4399999999999977</v>
      </c>
      <c r="S39" s="26">
        <v>6.71</v>
      </c>
      <c r="T39" s="5">
        <v>477.8</v>
      </c>
      <c r="U39" s="5"/>
      <c r="V39" s="5">
        <f>0.96*250</f>
        <v>240</v>
      </c>
      <c r="W39" s="5"/>
      <c r="X39" s="5">
        <v>358.9</v>
      </c>
      <c r="Y39" s="5">
        <v>5.98</v>
      </c>
      <c r="Z39" s="27">
        <f t="shared" si="5"/>
        <v>-0.72999999999999954</v>
      </c>
      <c r="AA39" s="22">
        <f t="shared" si="6"/>
        <v>1.1890000000000005</v>
      </c>
      <c r="AB39" s="19"/>
    </row>
    <row r="40" spans="2:28" ht="15" customHeight="1" x14ac:dyDescent="0.35">
      <c r="B40">
        <v>38</v>
      </c>
      <c r="C40" s="28">
        <v>0.5</v>
      </c>
      <c r="D40" s="28">
        <v>10</v>
      </c>
      <c r="E40" s="27">
        <f t="shared" si="0"/>
        <v>500</v>
      </c>
      <c r="F40" s="29">
        <v>1000</v>
      </c>
      <c r="G40" s="30">
        <f t="shared" si="9"/>
        <v>0.90312499999999996</v>
      </c>
      <c r="H40" s="30">
        <f t="shared" si="8"/>
        <v>0.34687499999999999</v>
      </c>
      <c r="I40" s="30">
        <f t="shared" si="1"/>
        <v>23.25</v>
      </c>
      <c r="J40" s="5">
        <f t="shared" si="2"/>
        <v>0.5</v>
      </c>
      <c r="K40" s="5">
        <v>0.52</v>
      </c>
      <c r="L40" s="5">
        <v>0.55000000000000004</v>
      </c>
      <c r="M40" s="5"/>
      <c r="N40" s="5"/>
      <c r="O40" s="5">
        <f t="shared" si="4"/>
        <v>0.53500000000000003</v>
      </c>
      <c r="P40" s="5">
        <v>904.6</v>
      </c>
      <c r="Q40" s="26"/>
      <c r="R40" s="26">
        <f t="shared" si="3"/>
        <v>9.5399999999999974</v>
      </c>
      <c r="S40" s="26">
        <v>6</v>
      </c>
      <c r="T40" s="5">
        <v>839.7</v>
      </c>
      <c r="U40" s="5"/>
      <c r="V40" s="5"/>
      <c r="W40" s="5"/>
      <c r="X40" s="5">
        <v>839.7</v>
      </c>
      <c r="Y40" s="5">
        <v>6.31</v>
      </c>
      <c r="Z40" s="27">
        <f t="shared" si="5"/>
        <v>0.30999999999999961</v>
      </c>
      <c r="AA40" s="22">
        <f t="shared" si="6"/>
        <v>0.6489999999999998</v>
      </c>
      <c r="AB40" s="19"/>
    </row>
    <row r="41" spans="2:28" ht="15" customHeight="1" x14ac:dyDescent="0.35">
      <c r="B41">
        <v>39</v>
      </c>
      <c r="C41" s="28">
        <v>0.5</v>
      </c>
      <c r="D41" s="28">
        <v>10</v>
      </c>
      <c r="E41" s="27">
        <f t="shared" si="0"/>
        <v>500</v>
      </c>
      <c r="F41" s="29">
        <v>2000</v>
      </c>
      <c r="G41" s="30">
        <f t="shared" si="9"/>
        <v>0.90312499999999996</v>
      </c>
      <c r="H41" s="30">
        <f t="shared" si="8"/>
        <v>0.34687499999999999</v>
      </c>
      <c r="I41" s="30">
        <f t="shared" si="1"/>
        <v>22.75</v>
      </c>
      <c r="J41" s="5">
        <f t="shared" si="2"/>
        <v>1</v>
      </c>
      <c r="K41" s="5">
        <v>0.99</v>
      </c>
      <c r="L41" s="5">
        <v>0.94</v>
      </c>
      <c r="M41" s="5"/>
      <c r="N41" s="5"/>
      <c r="O41" s="5">
        <f t="shared" si="4"/>
        <v>0.96499999999999997</v>
      </c>
      <c r="P41" s="5">
        <v>2062.9</v>
      </c>
      <c r="Q41" s="26"/>
      <c r="R41" s="26">
        <f t="shared" si="3"/>
        <v>3.1450000000000049</v>
      </c>
      <c r="S41" s="26">
        <v>6.36</v>
      </c>
      <c r="T41" s="5">
        <v>1760</v>
      </c>
      <c r="U41" s="5"/>
      <c r="V41" s="5"/>
      <c r="W41" s="5"/>
      <c r="X41" s="5">
        <v>1760</v>
      </c>
      <c r="Y41" s="5">
        <v>6.42</v>
      </c>
      <c r="Z41" s="27">
        <f t="shared" si="5"/>
        <v>5.9999999999999609E-2</v>
      </c>
      <c r="AA41" s="22">
        <f t="shared" si="6"/>
        <v>3.0290000000000008</v>
      </c>
      <c r="AB41" s="19"/>
    </row>
    <row r="42" spans="2:28" ht="15" customHeight="1" x14ac:dyDescent="0.35">
      <c r="B42">
        <v>40</v>
      </c>
      <c r="C42" s="28">
        <v>0.5</v>
      </c>
      <c r="D42" s="28">
        <v>10</v>
      </c>
      <c r="E42" s="27">
        <f t="shared" si="0"/>
        <v>500</v>
      </c>
      <c r="F42" s="29">
        <v>5000</v>
      </c>
      <c r="G42" s="30">
        <f t="shared" si="9"/>
        <v>0.90312499999999996</v>
      </c>
      <c r="H42" s="30">
        <f t="shared" si="8"/>
        <v>0.34687499999999999</v>
      </c>
      <c r="I42" s="30">
        <f t="shared" si="1"/>
        <v>21.25</v>
      </c>
      <c r="J42" s="5">
        <f t="shared" si="2"/>
        <v>2.5</v>
      </c>
      <c r="K42" s="5">
        <v>2.39</v>
      </c>
      <c r="L42" s="5">
        <v>2.54</v>
      </c>
      <c r="M42" s="5"/>
      <c r="N42" s="5"/>
      <c r="O42" s="5">
        <f t="shared" si="4"/>
        <v>2.4649999999999999</v>
      </c>
      <c r="P42" s="5">
        <v>4690</v>
      </c>
      <c r="Q42" s="26"/>
      <c r="R42" s="26">
        <f t="shared" si="3"/>
        <v>6.2</v>
      </c>
      <c r="S42" s="26">
        <v>6.8</v>
      </c>
      <c r="T42" s="5">
        <v>4326.3999999999996</v>
      </c>
      <c r="U42" s="5"/>
      <c r="V42" s="5"/>
      <c r="W42" s="5"/>
      <c r="X42" s="5">
        <v>4326.3999999999996</v>
      </c>
      <c r="Y42" s="5">
        <v>6.03</v>
      </c>
      <c r="Z42" s="27">
        <f t="shared" si="5"/>
        <v>-0.76999999999999957</v>
      </c>
      <c r="AA42" s="22">
        <f t="shared" si="6"/>
        <v>3.6360000000000037</v>
      </c>
      <c r="AB42" s="19"/>
    </row>
    <row r="43" spans="2:28" ht="15" customHeight="1" x14ac:dyDescent="0.35">
      <c r="B43" s="19">
        <v>41</v>
      </c>
      <c r="C43" s="28">
        <v>1</v>
      </c>
      <c r="D43" s="28">
        <v>0</v>
      </c>
      <c r="E43" s="27">
        <f t="shared" si="0"/>
        <v>0</v>
      </c>
      <c r="F43" s="29">
        <v>200</v>
      </c>
      <c r="G43" s="27">
        <f>C43/10*F$1</f>
        <v>2.5</v>
      </c>
      <c r="H43" s="32">
        <f>(E43*111/40)/10000*F$1</f>
        <v>0</v>
      </c>
      <c r="I43" s="32">
        <f t="shared" si="1"/>
        <v>22.4</v>
      </c>
      <c r="J43" s="27">
        <f t="shared" si="2"/>
        <v>0.1</v>
      </c>
      <c r="K43" s="27">
        <v>0.5</v>
      </c>
      <c r="L43" s="27">
        <v>0.5</v>
      </c>
      <c r="M43" s="27"/>
      <c r="N43" s="27"/>
      <c r="O43" s="27">
        <f t="shared" si="4"/>
        <v>0.5</v>
      </c>
      <c r="P43" s="27">
        <v>234.1</v>
      </c>
      <c r="Q43" s="26"/>
      <c r="R43" s="26">
        <f t="shared" si="3"/>
        <v>17.049999999999997</v>
      </c>
      <c r="S43" s="26">
        <v>5.9</v>
      </c>
      <c r="T43" s="5"/>
      <c r="U43" s="5"/>
      <c r="V43" s="5">
        <f>0.42*100</f>
        <v>42</v>
      </c>
      <c r="W43" s="5"/>
      <c r="X43" s="5">
        <v>126</v>
      </c>
      <c r="Y43" s="5">
        <v>5.86</v>
      </c>
      <c r="Z43" s="27">
        <f t="shared" si="5"/>
        <v>-4.0000000000000036E-2</v>
      </c>
      <c r="AA43" s="22">
        <f t="shared" si="6"/>
        <v>1.081</v>
      </c>
      <c r="AB43" s="19"/>
    </row>
    <row r="44" spans="2:28" ht="15" customHeight="1" x14ac:dyDescent="0.35">
      <c r="B44">
        <v>42</v>
      </c>
      <c r="C44" s="28">
        <v>1</v>
      </c>
      <c r="D44" s="28">
        <v>0</v>
      </c>
      <c r="E44" s="27">
        <f t="shared" si="0"/>
        <v>0</v>
      </c>
      <c r="F44" s="29">
        <v>500</v>
      </c>
      <c r="G44" s="5">
        <f>C44/10*F$1</f>
        <v>2.5</v>
      </c>
      <c r="H44" s="30">
        <f>(E44*111/40)/10000*F$1</f>
        <v>0</v>
      </c>
      <c r="I44" s="30">
        <f t="shared" si="1"/>
        <v>22.25</v>
      </c>
      <c r="J44" s="5">
        <f t="shared" si="2"/>
        <v>0.25</v>
      </c>
      <c r="K44" s="5">
        <v>0.59</v>
      </c>
      <c r="L44" s="5">
        <v>0.57999999999999996</v>
      </c>
      <c r="M44" s="5"/>
      <c r="N44" s="5"/>
      <c r="O44" s="5">
        <f t="shared" si="4"/>
        <v>0.58499999999999996</v>
      </c>
      <c r="P44" s="5">
        <v>550.70000000000005</v>
      </c>
      <c r="Q44" s="26"/>
      <c r="R44" s="26">
        <f t="shared" si="3"/>
        <v>10.140000000000009</v>
      </c>
      <c r="S44" s="26">
        <v>6.86</v>
      </c>
      <c r="T44" s="5">
        <v>445.3</v>
      </c>
      <c r="U44" s="5"/>
      <c r="V44" s="5">
        <f>0.85*250</f>
        <v>212.5</v>
      </c>
      <c r="W44" s="5"/>
      <c r="X44" s="5">
        <v>445.3</v>
      </c>
      <c r="Y44" s="5">
        <v>5.89</v>
      </c>
      <c r="Z44" s="27">
        <f t="shared" si="5"/>
        <v>-0.97000000000000064</v>
      </c>
      <c r="AA44" s="22">
        <f t="shared" si="6"/>
        <v>1.0540000000000005</v>
      </c>
      <c r="AB44" s="19"/>
    </row>
    <row r="45" spans="2:28" ht="15" customHeight="1" x14ac:dyDescent="0.35">
      <c r="B45">
        <v>43</v>
      </c>
      <c r="C45" s="28">
        <v>1</v>
      </c>
      <c r="D45" s="28">
        <v>0</v>
      </c>
      <c r="E45" s="27">
        <f t="shared" si="0"/>
        <v>0</v>
      </c>
      <c r="F45" s="29">
        <v>1000</v>
      </c>
      <c r="G45" s="5">
        <f>C45/10*F$1</f>
        <v>2.5</v>
      </c>
      <c r="H45" s="30">
        <f>(E45*111/40)/10000*F$1</f>
        <v>0</v>
      </c>
      <c r="I45" s="30">
        <f t="shared" si="1"/>
        <v>22</v>
      </c>
      <c r="J45" s="5">
        <f t="shared" si="2"/>
        <v>0.5</v>
      </c>
      <c r="K45" s="5">
        <v>0.71</v>
      </c>
      <c r="L45" s="5">
        <v>0.79</v>
      </c>
      <c r="M45" s="5"/>
      <c r="N45" s="5"/>
      <c r="O45" s="5">
        <f t="shared" si="4"/>
        <v>0.75</v>
      </c>
      <c r="P45" s="5">
        <v>1145.5</v>
      </c>
      <c r="Q45" s="26"/>
      <c r="R45" s="26">
        <f t="shared" si="3"/>
        <v>14.549999999999999</v>
      </c>
      <c r="S45" s="26">
        <v>6.87</v>
      </c>
      <c r="T45" s="5">
        <v>921.8</v>
      </c>
      <c r="U45" s="5"/>
      <c r="V45" s="5"/>
      <c r="W45" s="5"/>
      <c r="X45" s="5">
        <v>921.8</v>
      </c>
      <c r="Y45" s="5">
        <v>6.22</v>
      </c>
      <c r="Z45" s="27">
        <f t="shared" si="5"/>
        <v>-0.65000000000000036</v>
      </c>
      <c r="AA45" s="22">
        <f t="shared" si="6"/>
        <v>2.2370000000000005</v>
      </c>
      <c r="AB45" s="19"/>
    </row>
    <row r="46" spans="2:28" ht="15" customHeight="1" x14ac:dyDescent="0.35">
      <c r="B46">
        <v>44</v>
      </c>
      <c r="C46" s="28">
        <v>1</v>
      </c>
      <c r="D46" s="28">
        <v>0</v>
      </c>
      <c r="E46" s="27">
        <f t="shared" si="0"/>
        <v>0</v>
      </c>
      <c r="F46" s="29">
        <v>2000</v>
      </c>
      <c r="G46" s="5">
        <f>C46/10*F$1</f>
        <v>2.5</v>
      </c>
      <c r="H46" s="30">
        <f>(E46*111/40)/10000*F$1</f>
        <v>0</v>
      </c>
      <c r="I46" s="30">
        <f t="shared" si="1"/>
        <v>21.5</v>
      </c>
      <c r="J46" s="5">
        <f t="shared" si="2"/>
        <v>1</v>
      </c>
      <c r="K46" s="5">
        <v>0.76</v>
      </c>
      <c r="L46" s="5">
        <v>0.82</v>
      </c>
      <c r="M46" s="5"/>
      <c r="N46" s="5"/>
      <c r="O46" s="5">
        <f t="shared" si="4"/>
        <v>0.79</v>
      </c>
      <c r="P46" s="5">
        <v>2310.3000000000002</v>
      </c>
      <c r="Q46" s="26"/>
      <c r="R46" s="26">
        <f t="shared" si="3"/>
        <v>15.515000000000009</v>
      </c>
      <c r="S46" s="26">
        <v>6.87</v>
      </c>
      <c r="T46" s="5">
        <v>1883.9</v>
      </c>
      <c r="U46" s="5"/>
      <c r="V46" s="5"/>
      <c r="W46" s="5"/>
      <c r="X46" s="5">
        <v>1883.9</v>
      </c>
      <c r="Y46" s="5">
        <v>7.11</v>
      </c>
      <c r="Z46" s="27">
        <f t="shared" si="5"/>
        <v>0.24000000000000021</v>
      </c>
      <c r="AA46" s="22">
        <f t="shared" si="6"/>
        <v>4.2640000000000011</v>
      </c>
      <c r="AB46" s="19"/>
    </row>
    <row r="47" spans="2:28" ht="15" customHeight="1" x14ac:dyDescent="0.35">
      <c r="B47">
        <v>45</v>
      </c>
      <c r="C47" s="28">
        <v>1</v>
      </c>
      <c r="D47" s="28">
        <v>0</v>
      </c>
      <c r="E47" s="27">
        <f t="shared" si="0"/>
        <v>0</v>
      </c>
      <c r="F47" s="29">
        <v>5000</v>
      </c>
      <c r="G47" s="5">
        <f>C47/10*F$1</f>
        <v>2.5</v>
      </c>
      <c r="H47" s="30">
        <f>(E47*111/40)/10000*F$1</f>
        <v>0</v>
      </c>
      <c r="I47" s="30">
        <f t="shared" si="1"/>
        <v>20</v>
      </c>
      <c r="J47" s="5">
        <f t="shared" si="2"/>
        <v>2.5</v>
      </c>
      <c r="K47" s="5">
        <v>1.49</v>
      </c>
      <c r="L47" s="5">
        <v>1.78</v>
      </c>
      <c r="M47" s="5"/>
      <c r="N47" s="5"/>
      <c r="O47" s="5">
        <f t="shared" si="4"/>
        <v>1.635</v>
      </c>
      <c r="P47" s="5">
        <v>4908.6000000000004</v>
      </c>
      <c r="Q47" s="26"/>
      <c r="R47" s="26">
        <f t="shared" si="3"/>
        <v>1.8279999999999927</v>
      </c>
      <c r="S47" s="26">
        <v>7.62</v>
      </c>
      <c r="T47" s="5">
        <v>4435.2</v>
      </c>
      <c r="U47" s="5"/>
      <c r="V47" s="5"/>
      <c r="W47" s="5"/>
      <c r="X47" s="5">
        <v>4435.2</v>
      </c>
      <c r="Y47" s="5">
        <v>6.53</v>
      </c>
      <c r="Z47" s="27">
        <f t="shared" si="5"/>
        <v>-1.0899999999999999</v>
      </c>
      <c r="AA47" s="22">
        <f t="shared" si="6"/>
        <v>4.7340000000000053</v>
      </c>
      <c r="AB47" s="19"/>
    </row>
    <row r="48" spans="2:28" ht="15" customHeight="1" x14ac:dyDescent="0.35">
      <c r="B48" s="19">
        <v>46</v>
      </c>
      <c r="C48" s="28">
        <v>1</v>
      </c>
      <c r="D48" s="28">
        <v>2</v>
      </c>
      <c r="E48" s="27">
        <f t="shared" si="0"/>
        <v>200</v>
      </c>
      <c r="F48" s="29">
        <v>200</v>
      </c>
      <c r="G48" s="30">
        <f t="shared" ref="G48:G62" si="10">C48/10*F$1-H48</f>
        <v>2.3612500000000001</v>
      </c>
      <c r="H48" s="30">
        <f t="shared" ref="H48:H62" si="11">(E48*111/40)/100000*F$1</f>
        <v>0.13875000000000001</v>
      </c>
      <c r="I48" s="30">
        <f t="shared" si="1"/>
        <v>22.4</v>
      </c>
      <c r="J48" s="5">
        <f t="shared" si="2"/>
        <v>0.1</v>
      </c>
      <c r="K48" s="5">
        <v>0.24</v>
      </c>
      <c r="L48" s="5">
        <v>0.27</v>
      </c>
      <c r="M48" s="5"/>
      <c r="N48" s="5"/>
      <c r="O48" s="5">
        <f t="shared" si="4"/>
        <v>0.255</v>
      </c>
      <c r="P48" s="5">
        <v>249.1</v>
      </c>
      <c r="Q48" s="26"/>
      <c r="R48" s="26">
        <f t="shared" si="3"/>
        <v>24.549999999999997</v>
      </c>
      <c r="S48" s="26">
        <v>6.76</v>
      </c>
      <c r="T48" s="5"/>
      <c r="U48" s="5"/>
      <c r="V48" s="5">
        <v>120</v>
      </c>
      <c r="W48" s="5"/>
      <c r="X48" s="5">
        <v>120</v>
      </c>
      <c r="Y48" s="5">
        <v>6.68</v>
      </c>
      <c r="Z48" s="27">
        <f t="shared" si="5"/>
        <v>-8.0000000000000071E-2</v>
      </c>
      <c r="AA48" s="22">
        <f t="shared" si="6"/>
        <v>1.2909999999999999</v>
      </c>
      <c r="AB48" s="19"/>
    </row>
    <row r="49" spans="2:28" ht="15" customHeight="1" x14ac:dyDescent="0.35">
      <c r="B49">
        <v>47</v>
      </c>
      <c r="C49" s="28">
        <v>1</v>
      </c>
      <c r="D49" s="28">
        <v>2</v>
      </c>
      <c r="E49" s="27">
        <f t="shared" si="0"/>
        <v>200</v>
      </c>
      <c r="F49" s="29">
        <v>500</v>
      </c>
      <c r="G49" s="30">
        <f t="shared" si="10"/>
        <v>2.3612500000000001</v>
      </c>
      <c r="H49" s="30">
        <f t="shared" si="11"/>
        <v>0.13875000000000001</v>
      </c>
      <c r="I49" s="30">
        <f t="shared" si="1"/>
        <v>22.25</v>
      </c>
      <c r="J49" s="5">
        <f t="shared" si="2"/>
        <v>0.25</v>
      </c>
      <c r="K49" s="5">
        <v>0.33</v>
      </c>
      <c r="L49" s="5">
        <v>0.33</v>
      </c>
      <c r="M49" s="5"/>
      <c r="N49" s="5"/>
      <c r="O49" s="5">
        <f t="shared" si="4"/>
        <v>0.33</v>
      </c>
      <c r="P49" s="5">
        <v>540.5</v>
      </c>
      <c r="Q49" s="26"/>
      <c r="R49" s="26">
        <f t="shared" si="3"/>
        <v>8.1</v>
      </c>
      <c r="S49" s="26">
        <v>7.55</v>
      </c>
      <c r="T49" s="5"/>
      <c r="U49" s="5"/>
      <c r="V49" s="5">
        <f>0.6*250</f>
        <v>150</v>
      </c>
      <c r="W49" s="5">
        <f>0.88*250</f>
        <v>220</v>
      </c>
      <c r="X49" s="5">
        <v>455.9</v>
      </c>
      <c r="Y49" s="5">
        <v>5.75</v>
      </c>
      <c r="Z49" s="27">
        <f t="shared" si="5"/>
        <v>-1.7999999999999998</v>
      </c>
      <c r="AA49" s="22">
        <f t="shared" si="6"/>
        <v>0.8460000000000002</v>
      </c>
      <c r="AB49" s="19"/>
    </row>
    <row r="50" spans="2:28" ht="15" customHeight="1" x14ac:dyDescent="0.35">
      <c r="B50">
        <v>48</v>
      </c>
      <c r="C50" s="28">
        <v>1</v>
      </c>
      <c r="D50" s="28">
        <v>2</v>
      </c>
      <c r="E50" s="27">
        <f t="shared" si="0"/>
        <v>200</v>
      </c>
      <c r="F50" s="29">
        <v>1000</v>
      </c>
      <c r="G50" s="30">
        <f t="shared" si="10"/>
        <v>2.3612500000000001</v>
      </c>
      <c r="H50" s="30">
        <f t="shared" si="11"/>
        <v>0.13875000000000001</v>
      </c>
      <c r="I50" s="30">
        <f t="shared" si="1"/>
        <v>22</v>
      </c>
      <c r="J50" s="5">
        <f t="shared" si="2"/>
        <v>0.5</v>
      </c>
      <c r="K50" s="5">
        <v>0.43</v>
      </c>
      <c r="L50" s="5">
        <v>0.42</v>
      </c>
      <c r="M50" s="5"/>
      <c r="N50" s="5"/>
      <c r="O50" s="5">
        <f t="shared" si="4"/>
        <v>0.42499999999999999</v>
      </c>
      <c r="P50" s="5">
        <v>868.3</v>
      </c>
      <c r="Q50" s="26"/>
      <c r="R50" s="26">
        <f t="shared" si="3"/>
        <v>13.170000000000003</v>
      </c>
      <c r="S50" s="26">
        <v>7.47</v>
      </c>
      <c r="T50" s="5">
        <v>678.2</v>
      </c>
      <c r="U50" s="5"/>
      <c r="V50" s="5"/>
      <c r="W50" s="5"/>
      <c r="X50" s="5">
        <v>678.2</v>
      </c>
      <c r="Y50" s="5">
        <v>6</v>
      </c>
      <c r="Z50" s="27">
        <f t="shared" si="5"/>
        <v>-1.4699999999999998</v>
      </c>
      <c r="AA50" s="22">
        <f t="shared" si="6"/>
        <v>1.9009999999999991</v>
      </c>
      <c r="AB50" s="19"/>
    </row>
    <row r="51" spans="2:28" ht="15" customHeight="1" x14ac:dyDescent="0.35">
      <c r="B51">
        <v>49</v>
      </c>
      <c r="C51" s="28">
        <v>1</v>
      </c>
      <c r="D51" s="28">
        <v>2</v>
      </c>
      <c r="E51" s="27">
        <f t="shared" si="0"/>
        <v>200</v>
      </c>
      <c r="F51" s="29">
        <v>2000</v>
      </c>
      <c r="G51" s="30">
        <f t="shared" si="10"/>
        <v>2.3612500000000001</v>
      </c>
      <c r="H51" s="30">
        <f t="shared" si="11"/>
        <v>0.13875000000000001</v>
      </c>
      <c r="I51" s="30">
        <f t="shared" si="1"/>
        <v>21.5</v>
      </c>
      <c r="J51" s="5">
        <f t="shared" si="2"/>
        <v>1</v>
      </c>
      <c r="K51" s="5">
        <v>0.62</v>
      </c>
      <c r="L51" s="5">
        <v>0.63</v>
      </c>
      <c r="M51" s="5"/>
      <c r="N51" s="5"/>
      <c r="O51" s="5">
        <f t="shared" si="4"/>
        <v>0.625</v>
      </c>
      <c r="P51" s="5">
        <v>2249.3000000000002</v>
      </c>
      <c r="Q51" s="26"/>
      <c r="R51" s="26">
        <f>ABS((F51-P51)/F51)*100</f>
        <v>12.465000000000009</v>
      </c>
      <c r="S51" s="26">
        <v>6.98</v>
      </c>
      <c r="T51" s="5">
        <v>1741.1</v>
      </c>
      <c r="U51" s="5"/>
      <c r="V51" s="5"/>
      <c r="W51" s="5"/>
      <c r="X51" s="5">
        <v>1741.1</v>
      </c>
      <c r="Y51" s="5">
        <v>6.16</v>
      </c>
      <c r="Z51" s="27">
        <f t="shared" si="5"/>
        <v>-0.82000000000000028</v>
      </c>
      <c r="AA51" s="22">
        <f t="shared" si="6"/>
        <v>5.0820000000000025</v>
      </c>
      <c r="AB51" s="19"/>
    </row>
    <row r="52" spans="2:28" ht="15" customHeight="1" x14ac:dyDescent="0.35">
      <c r="B52">
        <v>50</v>
      </c>
      <c r="C52" s="28">
        <v>1</v>
      </c>
      <c r="D52" s="28">
        <v>2</v>
      </c>
      <c r="E52" s="27">
        <f t="shared" si="0"/>
        <v>200</v>
      </c>
      <c r="F52" s="29">
        <v>5000</v>
      </c>
      <c r="G52" s="30">
        <f t="shared" si="10"/>
        <v>2.3612500000000001</v>
      </c>
      <c r="H52" s="30">
        <f t="shared" si="11"/>
        <v>0.13875000000000001</v>
      </c>
      <c r="I52" s="30">
        <f t="shared" si="1"/>
        <v>20</v>
      </c>
      <c r="J52" s="5">
        <f t="shared" si="2"/>
        <v>2.5</v>
      </c>
      <c r="K52" s="5">
        <v>1.27</v>
      </c>
      <c r="L52" s="5">
        <v>1.21</v>
      </c>
      <c r="M52" s="5"/>
      <c r="N52" s="5"/>
      <c r="O52" s="5">
        <f t="shared" si="4"/>
        <v>1.24</v>
      </c>
      <c r="P52" s="5">
        <v>5066.3999999999996</v>
      </c>
      <c r="Q52" s="26"/>
      <c r="R52" s="26">
        <f>ABS((F52-P52)/F52)*100</f>
        <v>1.3279999999999927</v>
      </c>
      <c r="S52" s="26">
        <v>8.59</v>
      </c>
      <c r="T52" s="5">
        <v>4585.1000000000004</v>
      </c>
      <c r="U52" s="5"/>
      <c r="V52" s="5"/>
      <c r="W52" s="5"/>
      <c r="X52" s="5">
        <v>4585.1000000000004</v>
      </c>
      <c r="Y52" s="5">
        <v>6.75</v>
      </c>
      <c r="Z52" s="27">
        <f t="shared" si="5"/>
        <v>-1.8399999999999999</v>
      </c>
      <c r="AA52" s="22">
        <f t="shared" si="6"/>
        <v>4.8129999999999926</v>
      </c>
      <c r="AB52" s="19"/>
    </row>
    <row r="53" spans="2:28" ht="18.75" customHeight="1" x14ac:dyDescent="0.35">
      <c r="B53">
        <v>51</v>
      </c>
      <c r="C53" s="28">
        <v>1</v>
      </c>
      <c r="D53" s="28">
        <v>5</v>
      </c>
      <c r="E53" s="27">
        <f t="shared" si="0"/>
        <v>500</v>
      </c>
      <c r="F53" s="29">
        <v>200</v>
      </c>
      <c r="G53" s="30">
        <f t="shared" si="10"/>
        <v>2.1531250000000002</v>
      </c>
      <c r="H53" s="30">
        <f t="shared" si="11"/>
        <v>0.34687499999999999</v>
      </c>
      <c r="I53" s="30">
        <f t="shared" si="1"/>
        <v>22.4</v>
      </c>
      <c r="J53" s="5">
        <f t="shared" si="2"/>
        <v>0.1</v>
      </c>
      <c r="K53" s="5">
        <v>0.28000000000000003</v>
      </c>
      <c r="L53" s="5">
        <v>0.35</v>
      </c>
      <c r="M53" s="5"/>
      <c r="N53" s="5"/>
      <c r="O53" s="5">
        <f t="shared" si="4"/>
        <v>0.315</v>
      </c>
      <c r="P53" s="5">
        <v>233.9</v>
      </c>
      <c r="Q53" s="26"/>
      <c r="R53" s="26">
        <f t="shared" si="3"/>
        <v>16.950000000000003</v>
      </c>
      <c r="S53" s="26">
        <v>6.73</v>
      </c>
      <c r="T53" s="5"/>
      <c r="U53" s="5"/>
      <c r="V53" s="5">
        <v>0</v>
      </c>
      <c r="W53" s="5"/>
      <c r="X53" s="5">
        <v>36</v>
      </c>
      <c r="Y53" s="5">
        <v>6.45</v>
      </c>
      <c r="Z53" s="27">
        <f t="shared" si="5"/>
        <v>-0.28000000000000025</v>
      </c>
      <c r="AA53" s="22">
        <f t="shared" si="6"/>
        <v>1.9790000000000001</v>
      </c>
      <c r="AB53" s="19"/>
    </row>
    <row r="54" spans="2:28" ht="18.75" customHeight="1" x14ac:dyDescent="0.35">
      <c r="B54">
        <v>52</v>
      </c>
      <c r="C54" s="28">
        <v>1</v>
      </c>
      <c r="D54" s="28">
        <v>5</v>
      </c>
      <c r="E54" s="27">
        <f t="shared" si="0"/>
        <v>500</v>
      </c>
      <c r="F54" s="29">
        <v>500</v>
      </c>
      <c r="G54" s="30">
        <f t="shared" si="10"/>
        <v>2.1531250000000002</v>
      </c>
      <c r="H54" s="30">
        <f t="shared" si="11"/>
        <v>0.34687499999999999</v>
      </c>
      <c r="I54" s="30">
        <f t="shared" si="1"/>
        <v>22.25</v>
      </c>
      <c r="J54" s="5">
        <f t="shared" si="2"/>
        <v>0.25</v>
      </c>
      <c r="K54" s="5">
        <v>0.5</v>
      </c>
      <c r="L54" s="5">
        <v>0.46</v>
      </c>
      <c r="M54" s="5"/>
      <c r="N54" s="5"/>
      <c r="O54" s="5">
        <f t="shared" si="4"/>
        <v>0.48</v>
      </c>
      <c r="P54" s="5">
        <v>565.20000000000005</v>
      </c>
      <c r="Q54" s="26"/>
      <c r="R54" s="26">
        <f>ABS((F54-P54)/F54)*100</f>
        <v>13.04000000000001</v>
      </c>
      <c r="S54" s="26">
        <v>6.65</v>
      </c>
      <c r="T54" s="5">
        <v>466.6</v>
      </c>
      <c r="U54" s="5"/>
      <c r="V54" s="5">
        <f>0.63*250</f>
        <v>157.5</v>
      </c>
      <c r="W54" s="5"/>
      <c r="X54" s="5">
        <v>466.6</v>
      </c>
      <c r="Y54" s="5">
        <v>6.09</v>
      </c>
      <c r="Z54" s="27">
        <f t="shared" si="5"/>
        <v>-0.5600000000000005</v>
      </c>
      <c r="AA54" s="22">
        <f t="shared" si="6"/>
        <v>0.98600000000000021</v>
      </c>
      <c r="AB54" s="19"/>
    </row>
    <row r="55" spans="2:28" ht="18.75" customHeight="1" x14ac:dyDescent="0.35">
      <c r="B55">
        <v>53</v>
      </c>
      <c r="C55" s="28">
        <v>1</v>
      </c>
      <c r="D55" s="28">
        <v>5</v>
      </c>
      <c r="E55" s="27">
        <f t="shared" si="0"/>
        <v>500</v>
      </c>
      <c r="F55" s="29">
        <v>1000</v>
      </c>
      <c r="G55" s="30">
        <f t="shared" si="10"/>
        <v>2.1531250000000002</v>
      </c>
      <c r="H55" s="30">
        <f t="shared" si="11"/>
        <v>0.34687499999999999</v>
      </c>
      <c r="I55" s="30">
        <f t="shared" si="1"/>
        <v>22</v>
      </c>
      <c r="J55" s="5">
        <f t="shared" si="2"/>
        <v>0.5</v>
      </c>
      <c r="K55" s="5">
        <v>0.57999999999999996</v>
      </c>
      <c r="L55" s="5">
        <v>0.67</v>
      </c>
      <c r="M55" s="5"/>
      <c r="N55" s="5"/>
      <c r="O55" s="5">
        <f t="shared" si="4"/>
        <v>0.625</v>
      </c>
      <c r="P55" s="5">
        <v>929.3</v>
      </c>
      <c r="Q55" s="26"/>
      <c r="R55" s="26">
        <f t="shared" si="3"/>
        <v>7.0700000000000038</v>
      </c>
      <c r="S55" s="26">
        <v>6.42</v>
      </c>
      <c r="T55" s="5">
        <v>755.6</v>
      </c>
      <c r="U55" s="5"/>
      <c r="V55" s="5"/>
      <c r="W55" s="5"/>
      <c r="X55" s="5">
        <v>755.6</v>
      </c>
      <c r="Y55" s="5">
        <v>6.28</v>
      </c>
      <c r="Z55" s="27">
        <f t="shared" si="5"/>
        <v>-0.13999999999999968</v>
      </c>
      <c r="AA55" s="22">
        <f t="shared" si="6"/>
        <v>1.7369999999999992</v>
      </c>
      <c r="AB55" s="19"/>
    </row>
    <row r="56" spans="2:28" ht="18.75" customHeight="1" x14ac:dyDescent="0.35">
      <c r="B56">
        <v>54</v>
      </c>
      <c r="C56" s="28">
        <v>1</v>
      </c>
      <c r="D56" s="28">
        <v>5</v>
      </c>
      <c r="E56" s="27">
        <f t="shared" si="0"/>
        <v>500</v>
      </c>
      <c r="F56" s="29">
        <v>2000</v>
      </c>
      <c r="G56" s="30">
        <f t="shared" si="10"/>
        <v>2.1531250000000002</v>
      </c>
      <c r="H56" s="30">
        <f t="shared" si="11"/>
        <v>0.34687499999999999</v>
      </c>
      <c r="I56" s="30">
        <f t="shared" si="1"/>
        <v>21.5</v>
      </c>
      <c r="J56" s="5">
        <f t="shared" si="2"/>
        <v>1</v>
      </c>
      <c r="K56" s="5">
        <v>1.24</v>
      </c>
      <c r="L56" s="5">
        <v>1.41</v>
      </c>
      <c r="M56" s="5"/>
      <c r="N56" s="5"/>
      <c r="O56" s="5">
        <f t="shared" si="4"/>
        <v>1.325</v>
      </c>
      <c r="P56" s="5">
        <v>2213.5</v>
      </c>
      <c r="Q56" s="26"/>
      <c r="R56" s="26">
        <f t="shared" si="3"/>
        <v>10.674999999999999</v>
      </c>
      <c r="S56" s="26">
        <v>6.61</v>
      </c>
      <c r="T56" s="5">
        <v>1904.4</v>
      </c>
      <c r="U56" s="5"/>
      <c r="V56" s="5"/>
      <c r="W56" s="5"/>
      <c r="X56" s="5">
        <v>1904.4</v>
      </c>
      <c r="Y56" s="5">
        <v>6.34</v>
      </c>
      <c r="Z56" s="27">
        <f t="shared" si="5"/>
        <v>-0.27000000000000046</v>
      </c>
      <c r="AA56" s="22">
        <f t="shared" si="6"/>
        <v>3.0909999999999993</v>
      </c>
      <c r="AB56" s="19"/>
    </row>
    <row r="57" spans="2:28" ht="18.75" customHeight="1" x14ac:dyDescent="0.35">
      <c r="B57">
        <v>55</v>
      </c>
      <c r="C57" s="28">
        <v>1</v>
      </c>
      <c r="D57" s="28">
        <v>5</v>
      </c>
      <c r="E57" s="27">
        <f t="shared" si="0"/>
        <v>500</v>
      </c>
      <c r="F57" s="29">
        <v>5000</v>
      </c>
      <c r="G57" s="30">
        <f t="shared" si="10"/>
        <v>2.1531250000000002</v>
      </c>
      <c r="H57" s="30">
        <f t="shared" si="11"/>
        <v>0.34687499999999999</v>
      </c>
      <c r="I57" s="30">
        <f t="shared" si="1"/>
        <v>20</v>
      </c>
      <c r="J57" s="5">
        <f t="shared" si="2"/>
        <v>2.5</v>
      </c>
      <c r="K57" s="5">
        <v>3.52</v>
      </c>
      <c r="L57" s="5">
        <v>3.51</v>
      </c>
      <c r="M57" s="5"/>
      <c r="N57" s="5"/>
      <c r="O57" s="5">
        <f t="shared" si="4"/>
        <v>3.5149999999999997</v>
      </c>
      <c r="P57" s="5">
        <v>5660</v>
      </c>
      <c r="Q57" s="26"/>
      <c r="R57" s="26">
        <f t="shared" si="3"/>
        <v>13.200000000000001</v>
      </c>
      <c r="S57" s="26">
        <v>8.5500000000000007</v>
      </c>
      <c r="T57" s="5">
        <v>4948.8999999999996</v>
      </c>
      <c r="U57" s="5"/>
      <c r="V57" s="5"/>
      <c r="W57" s="5"/>
      <c r="X57" s="5">
        <v>4948.8999999999996</v>
      </c>
      <c r="Y57" s="5">
        <v>6.55</v>
      </c>
      <c r="Z57" s="27">
        <f t="shared" si="5"/>
        <v>-2.0000000000000009</v>
      </c>
      <c r="AA57" s="22">
        <f t="shared" si="6"/>
        <v>7.1110000000000033</v>
      </c>
      <c r="AB57" s="19"/>
    </row>
    <row r="58" spans="2:28" ht="15" customHeight="1" x14ac:dyDescent="0.35">
      <c r="B58">
        <v>56</v>
      </c>
      <c r="C58" s="28">
        <v>1</v>
      </c>
      <c r="D58" s="28">
        <v>10</v>
      </c>
      <c r="E58" s="27">
        <f t="shared" si="0"/>
        <v>1000</v>
      </c>
      <c r="F58" s="29">
        <v>200</v>
      </c>
      <c r="G58" s="30">
        <f t="shared" si="10"/>
        <v>1.8062499999999999</v>
      </c>
      <c r="H58" s="30">
        <f t="shared" si="11"/>
        <v>0.69374999999999998</v>
      </c>
      <c r="I58" s="30">
        <f t="shared" si="1"/>
        <v>22.4</v>
      </c>
      <c r="J58" s="5">
        <f t="shared" si="2"/>
        <v>0.1</v>
      </c>
      <c r="K58" s="5">
        <v>0.28000000000000003</v>
      </c>
      <c r="L58" s="5">
        <v>0.28000000000000003</v>
      </c>
      <c r="M58" s="5"/>
      <c r="N58" s="5"/>
      <c r="O58" s="5">
        <f t="shared" si="4"/>
        <v>0.28000000000000003</v>
      </c>
      <c r="P58" s="5">
        <v>226.9</v>
      </c>
      <c r="Q58" s="26"/>
      <c r="R58" s="26">
        <f t="shared" si="3"/>
        <v>13.450000000000003</v>
      </c>
      <c r="S58" s="26">
        <v>6.02</v>
      </c>
      <c r="T58" s="5"/>
      <c r="U58" s="5"/>
      <c r="V58" s="5">
        <f>0.11*100</f>
        <v>11</v>
      </c>
      <c r="W58" s="5"/>
      <c r="X58" s="5">
        <v>33</v>
      </c>
      <c r="Y58" s="5">
        <v>6.63</v>
      </c>
      <c r="Z58" s="27">
        <f t="shared" si="5"/>
        <v>0.61000000000000032</v>
      </c>
      <c r="AA58" s="22">
        <f t="shared" si="6"/>
        <v>1.9390000000000001</v>
      </c>
      <c r="AB58" s="19"/>
    </row>
    <row r="59" spans="2:28" ht="15" customHeight="1" x14ac:dyDescent="0.35">
      <c r="B59">
        <v>57</v>
      </c>
      <c r="C59" s="28">
        <v>1</v>
      </c>
      <c r="D59" s="28">
        <v>10</v>
      </c>
      <c r="E59" s="27">
        <f t="shared" si="0"/>
        <v>1000</v>
      </c>
      <c r="F59" s="29">
        <v>500</v>
      </c>
      <c r="G59" s="30">
        <f t="shared" si="10"/>
        <v>1.8062499999999999</v>
      </c>
      <c r="H59" s="30">
        <f t="shared" si="11"/>
        <v>0.69374999999999998</v>
      </c>
      <c r="I59" s="30">
        <f t="shared" si="1"/>
        <v>22.25</v>
      </c>
      <c r="J59" s="5">
        <f t="shared" si="2"/>
        <v>0.25</v>
      </c>
      <c r="K59" s="5">
        <v>0.84</v>
      </c>
      <c r="L59" s="5">
        <v>0.7</v>
      </c>
      <c r="M59" s="5"/>
      <c r="N59" s="5"/>
      <c r="O59" s="5">
        <f t="shared" si="4"/>
        <v>0.77</v>
      </c>
      <c r="P59" s="5">
        <v>519.04</v>
      </c>
      <c r="Q59" s="26"/>
      <c r="R59" s="26">
        <f t="shared" si="3"/>
        <v>3.8079999999999927</v>
      </c>
      <c r="S59" s="26">
        <v>6.6</v>
      </c>
      <c r="T59" s="5">
        <v>354</v>
      </c>
      <c r="U59" s="5"/>
      <c r="V59" s="5">
        <f>0.47*250</f>
        <v>117.5</v>
      </c>
      <c r="W59" s="5"/>
      <c r="X59" s="5">
        <v>354</v>
      </c>
      <c r="Y59" s="5">
        <v>6.58</v>
      </c>
      <c r="Z59" s="27">
        <f t="shared" si="5"/>
        <v>-1.9999999999999574E-2</v>
      </c>
      <c r="AA59" s="22">
        <f t="shared" si="6"/>
        <v>1.6503999999999996</v>
      </c>
      <c r="AB59" s="19"/>
    </row>
    <row r="60" spans="2:28" ht="15" customHeight="1" x14ac:dyDescent="0.35">
      <c r="B60">
        <v>58</v>
      </c>
      <c r="C60" s="28">
        <v>1</v>
      </c>
      <c r="D60" s="28">
        <v>10</v>
      </c>
      <c r="E60" s="27">
        <f t="shared" si="0"/>
        <v>1000</v>
      </c>
      <c r="F60" s="29">
        <v>1000</v>
      </c>
      <c r="G60" s="30">
        <f t="shared" si="10"/>
        <v>1.8062499999999999</v>
      </c>
      <c r="H60" s="30">
        <f t="shared" si="11"/>
        <v>0.69374999999999998</v>
      </c>
      <c r="I60" s="30">
        <f t="shared" si="1"/>
        <v>22</v>
      </c>
      <c r="J60" s="5">
        <f t="shared" si="2"/>
        <v>0.5</v>
      </c>
      <c r="K60" s="5">
        <v>1.97</v>
      </c>
      <c r="L60" s="5">
        <v>1.97</v>
      </c>
      <c r="M60" s="5"/>
      <c r="N60" s="5"/>
      <c r="O60" s="5">
        <f t="shared" si="4"/>
        <v>1.97</v>
      </c>
      <c r="P60" s="5">
        <v>1051.2</v>
      </c>
      <c r="Q60" s="26"/>
      <c r="R60" s="26">
        <f t="shared" si="3"/>
        <v>5.1200000000000045</v>
      </c>
      <c r="S60" s="26">
        <v>6.52</v>
      </c>
      <c r="T60" s="5">
        <v>751.3</v>
      </c>
      <c r="U60" s="5"/>
      <c r="V60" s="5"/>
      <c r="W60" s="5"/>
      <c r="X60" s="5">
        <v>751.3</v>
      </c>
      <c r="Y60" s="5">
        <v>6.4</v>
      </c>
      <c r="Z60" s="27">
        <f t="shared" si="5"/>
        <v>-0.11999999999999922</v>
      </c>
      <c r="AA60" s="22">
        <f t="shared" si="6"/>
        <v>2.999000000000001</v>
      </c>
      <c r="AB60" s="19"/>
    </row>
    <row r="61" spans="2:28" ht="15" customHeight="1" x14ac:dyDescent="0.35">
      <c r="B61">
        <v>59</v>
      </c>
      <c r="C61" s="28">
        <v>1</v>
      </c>
      <c r="D61" s="28">
        <v>10</v>
      </c>
      <c r="E61" s="27">
        <f t="shared" si="0"/>
        <v>1000</v>
      </c>
      <c r="F61" s="29">
        <v>2000</v>
      </c>
      <c r="G61" s="30">
        <f t="shared" si="10"/>
        <v>1.8062499999999999</v>
      </c>
      <c r="H61" s="30">
        <f t="shared" si="11"/>
        <v>0.69374999999999998</v>
      </c>
      <c r="I61" s="30">
        <f t="shared" si="1"/>
        <v>21.5</v>
      </c>
      <c r="J61" s="5">
        <f t="shared" si="2"/>
        <v>1</v>
      </c>
      <c r="K61" s="5">
        <v>4.12</v>
      </c>
      <c r="L61" s="5">
        <v>4.21</v>
      </c>
      <c r="M61" s="5"/>
      <c r="N61" s="5"/>
      <c r="O61" s="5">
        <f t="shared" si="4"/>
        <v>4.165</v>
      </c>
      <c r="P61" s="5">
        <v>2026.7</v>
      </c>
      <c r="Q61" s="26"/>
      <c r="R61" s="26">
        <f t="shared" si="3"/>
        <v>1.3350000000000024</v>
      </c>
      <c r="S61" s="26">
        <v>6.64</v>
      </c>
      <c r="T61" s="5">
        <v>1899.3</v>
      </c>
      <c r="U61" s="5">
        <v>1481.3</v>
      </c>
      <c r="V61" s="5"/>
      <c r="W61" s="5"/>
      <c r="X61" s="5">
        <v>1690.3</v>
      </c>
      <c r="Y61" s="5">
        <v>6.56</v>
      </c>
      <c r="Z61" s="27">
        <f t="shared" si="5"/>
        <v>-8.0000000000000071E-2</v>
      </c>
      <c r="AA61" s="22">
        <f t="shared" si="6"/>
        <v>3.3640000000000008</v>
      </c>
      <c r="AB61" s="19"/>
    </row>
    <row r="62" spans="2:28" ht="15" customHeight="1" x14ac:dyDescent="0.35">
      <c r="B62">
        <v>60</v>
      </c>
      <c r="C62" s="28">
        <v>1</v>
      </c>
      <c r="D62" s="28">
        <v>10</v>
      </c>
      <c r="E62" s="27">
        <f t="shared" si="0"/>
        <v>1000</v>
      </c>
      <c r="F62" s="29">
        <v>5000</v>
      </c>
      <c r="G62" s="30">
        <f t="shared" si="10"/>
        <v>1.8062499999999999</v>
      </c>
      <c r="H62" s="30">
        <f t="shared" si="11"/>
        <v>0.69374999999999998</v>
      </c>
      <c r="I62" s="30">
        <f t="shared" si="1"/>
        <v>20</v>
      </c>
      <c r="J62" s="5">
        <f t="shared" si="2"/>
        <v>2.5</v>
      </c>
      <c r="K62" s="5">
        <v>11.3</v>
      </c>
      <c r="L62" s="5">
        <v>11.1</v>
      </c>
      <c r="M62" s="5"/>
      <c r="N62" s="5"/>
      <c r="O62" s="5">
        <f t="shared" si="4"/>
        <v>11.2</v>
      </c>
      <c r="P62" s="5">
        <v>5272.8</v>
      </c>
      <c r="Q62" s="26"/>
      <c r="R62" s="26">
        <f t="shared" si="3"/>
        <v>5.456000000000004</v>
      </c>
      <c r="S62" s="26">
        <v>7.35</v>
      </c>
      <c r="T62" s="5">
        <v>4948.8</v>
      </c>
      <c r="U62" s="5"/>
      <c r="V62" s="5"/>
      <c r="W62" s="5"/>
      <c r="X62" s="5">
        <v>4948.8</v>
      </c>
      <c r="Y62" s="5">
        <v>6.38</v>
      </c>
      <c r="Z62" s="27">
        <f t="shared" si="5"/>
        <v>-0.96999999999999975</v>
      </c>
      <c r="AA62" s="22">
        <f t="shared" si="6"/>
        <v>3.24</v>
      </c>
      <c r="AB62" s="19"/>
    </row>
    <row r="63" spans="2:28" ht="15" customHeight="1" x14ac:dyDescent="0.35">
      <c r="B63" s="19">
        <v>61</v>
      </c>
      <c r="C63" s="28">
        <v>2</v>
      </c>
      <c r="D63" s="28">
        <v>0</v>
      </c>
      <c r="E63" s="27">
        <f t="shared" si="0"/>
        <v>0</v>
      </c>
      <c r="F63" s="29">
        <v>200</v>
      </c>
      <c r="G63" s="27">
        <f>C63/10*F$1</f>
        <v>5</v>
      </c>
      <c r="H63" s="32">
        <f>(E63*111/40)/10000*F$1</f>
        <v>0</v>
      </c>
      <c r="I63" s="32">
        <f t="shared" si="1"/>
        <v>19.899999999999999</v>
      </c>
      <c r="J63" s="27">
        <f t="shared" si="2"/>
        <v>0.1</v>
      </c>
      <c r="K63" s="27">
        <v>0.75</v>
      </c>
      <c r="L63" s="27">
        <v>0.68</v>
      </c>
      <c r="M63" s="27"/>
      <c r="N63" s="27"/>
      <c r="O63" s="27">
        <f t="shared" si="4"/>
        <v>0.71500000000000008</v>
      </c>
      <c r="P63" s="27">
        <v>244.2</v>
      </c>
      <c r="Q63" s="26"/>
      <c r="R63" s="26">
        <f>ABS((F63-P63)/F63)*100</f>
        <v>22.099999999999994</v>
      </c>
      <c r="S63" s="26">
        <v>5.37</v>
      </c>
      <c r="T63" s="5"/>
      <c r="U63" s="5"/>
      <c r="V63" s="5">
        <f>0.07*100</f>
        <v>7.0000000000000009</v>
      </c>
      <c r="W63" s="5"/>
      <c r="X63" s="5">
        <v>21.000000000000004</v>
      </c>
      <c r="Y63" s="5">
        <v>6.66</v>
      </c>
      <c r="Z63" s="27">
        <f t="shared" si="5"/>
        <v>1.29</v>
      </c>
      <c r="AA63" s="22">
        <f t="shared" si="6"/>
        <v>2.2320000000000002</v>
      </c>
      <c r="AB63" s="19"/>
    </row>
    <row r="64" spans="2:28" ht="15" customHeight="1" x14ac:dyDescent="0.35">
      <c r="B64">
        <v>62</v>
      </c>
      <c r="C64" s="28">
        <v>2</v>
      </c>
      <c r="D64" s="28">
        <v>0</v>
      </c>
      <c r="E64" s="27">
        <f t="shared" si="0"/>
        <v>0</v>
      </c>
      <c r="F64" s="29">
        <v>500</v>
      </c>
      <c r="G64" s="5">
        <f>C64/10*F$1</f>
        <v>5</v>
      </c>
      <c r="H64" s="30">
        <f>(E64*111/40)/10000*F$1</f>
        <v>0</v>
      </c>
      <c r="I64" s="30">
        <f t="shared" si="1"/>
        <v>19.75</v>
      </c>
      <c r="J64" s="5">
        <f t="shared" si="2"/>
        <v>0.25</v>
      </c>
      <c r="K64" s="5">
        <v>0.94</v>
      </c>
      <c r="L64" s="5">
        <v>0.9</v>
      </c>
      <c r="M64" s="5"/>
      <c r="N64" s="5"/>
      <c r="O64" s="5">
        <f t="shared" si="4"/>
        <v>0.91999999999999993</v>
      </c>
      <c r="P64" s="5">
        <v>535.4</v>
      </c>
      <c r="Q64" s="26"/>
      <c r="R64" s="26">
        <f t="shared" si="3"/>
        <v>7.0799999999999956</v>
      </c>
      <c r="S64" s="26">
        <v>6.68</v>
      </c>
      <c r="T64" s="5"/>
      <c r="U64" s="5"/>
      <c r="V64" s="5">
        <f>0.47*200</f>
        <v>94</v>
      </c>
      <c r="W64" s="5">
        <f>0.4*250</f>
        <v>100</v>
      </c>
      <c r="X64" s="5">
        <v>180</v>
      </c>
      <c r="Y64" s="5">
        <v>5.53</v>
      </c>
      <c r="Z64" s="27">
        <f t="shared" si="5"/>
        <v>-1.1499999999999995</v>
      </c>
      <c r="AA64" s="22">
        <f t="shared" si="6"/>
        <v>3.5539999999999998</v>
      </c>
      <c r="AB64" s="19"/>
    </row>
    <row r="65" spans="2:28" ht="15" customHeight="1" x14ac:dyDescent="0.35">
      <c r="B65">
        <v>63</v>
      </c>
      <c r="C65" s="28">
        <v>2</v>
      </c>
      <c r="D65" s="28">
        <v>0</v>
      </c>
      <c r="E65" s="27">
        <f t="shared" si="0"/>
        <v>0</v>
      </c>
      <c r="F65" s="29">
        <v>1000</v>
      </c>
      <c r="G65" s="5">
        <f>C65/10*F$1</f>
        <v>5</v>
      </c>
      <c r="H65" s="30">
        <f>(E65*111/40)/10000*F$1</f>
        <v>0</v>
      </c>
      <c r="I65" s="30">
        <f t="shared" si="1"/>
        <v>19.5</v>
      </c>
      <c r="J65" s="5">
        <f t="shared" si="2"/>
        <v>0.5</v>
      </c>
      <c r="K65" s="5">
        <v>1.65</v>
      </c>
      <c r="L65" s="5">
        <v>1.49</v>
      </c>
      <c r="M65" s="5"/>
      <c r="N65" s="5"/>
      <c r="O65" s="5">
        <f t="shared" si="4"/>
        <v>1.5699999999999998</v>
      </c>
      <c r="P65" s="5">
        <v>1065.4000000000001</v>
      </c>
      <c r="Q65" s="26"/>
      <c r="R65" s="26">
        <f t="shared" si="3"/>
        <v>6.5400000000000098</v>
      </c>
      <c r="S65" s="26">
        <v>7.5</v>
      </c>
      <c r="T65" s="5">
        <v>804.6</v>
      </c>
      <c r="U65" s="5"/>
      <c r="V65" s="5"/>
      <c r="W65" s="5"/>
      <c r="X65" s="5">
        <v>804.6</v>
      </c>
      <c r="Y65" s="5">
        <v>6.15</v>
      </c>
      <c r="Z65" s="27">
        <f t="shared" si="5"/>
        <v>-1.3499999999999996</v>
      </c>
      <c r="AA65" s="22">
        <f t="shared" si="6"/>
        <v>2.608000000000001</v>
      </c>
      <c r="AB65" s="19"/>
    </row>
    <row r="66" spans="2:28" ht="15" customHeight="1" x14ac:dyDescent="0.35">
      <c r="B66">
        <v>64</v>
      </c>
      <c r="C66" s="28">
        <v>2</v>
      </c>
      <c r="D66" s="28">
        <v>0</v>
      </c>
      <c r="E66" s="27">
        <f t="shared" si="0"/>
        <v>0</v>
      </c>
      <c r="F66" s="29">
        <v>2000</v>
      </c>
      <c r="G66" s="5">
        <f>C66/10*F$1</f>
        <v>5</v>
      </c>
      <c r="H66" s="30">
        <f>(E66*111/40)/10000*F$1</f>
        <v>0</v>
      </c>
      <c r="I66" s="30">
        <f t="shared" si="1"/>
        <v>19</v>
      </c>
      <c r="J66" s="5">
        <f t="shared" si="2"/>
        <v>1</v>
      </c>
      <c r="K66" s="5">
        <v>4.96</v>
      </c>
      <c r="L66" s="5">
        <v>3.54</v>
      </c>
      <c r="M66" s="5"/>
      <c r="N66" s="5"/>
      <c r="O66" s="5">
        <f t="shared" si="4"/>
        <v>4.25</v>
      </c>
      <c r="P66" s="5">
        <v>2042</v>
      </c>
      <c r="Q66" s="26"/>
      <c r="R66" s="26">
        <f t="shared" si="3"/>
        <v>2.1</v>
      </c>
      <c r="S66" s="26">
        <v>6.62</v>
      </c>
      <c r="T66" s="5">
        <v>1681</v>
      </c>
      <c r="U66" s="5"/>
      <c r="V66" s="5"/>
      <c r="W66" s="5"/>
      <c r="X66" s="5">
        <v>1681</v>
      </c>
      <c r="Y66" s="5">
        <v>5.04</v>
      </c>
      <c r="Z66" s="27">
        <f t="shared" si="5"/>
        <v>-1.58</v>
      </c>
      <c r="AA66" s="22">
        <f t="shared" si="6"/>
        <v>3.61</v>
      </c>
      <c r="AB66" s="19"/>
    </row>
    <row r="67" spans="2:28" ht="15" customHeight="1" x14ac:dyDescent="0.35">
      <c r="B67">
        <v>65</v>
      </c>
      <c r="C67" s="28">
        <v>2</v>
      </c>
      <c r="D67" s="28">
        <v>0</v>
      </c>
      <c r="E67" s="27">
        <f t="shared" ref="E67:E102" si="12">D67/100*C67*10000</f>
        <v>0</v>
      </c>
      <c r="F67" s="29">
        <v>5000</v>
      </c>
      <c r="G67" s="5">
        <f>C67/10*F$1</f>
        <v>5</v>
      </c>
      <c r="H67" s="30">
        <f>(E67*111/40)/10000*F$1</f>
        <v>0</v>
      </c>
      <c r="I67" s="30">
        <f t="shared" ref="I67:I98" si="13">F$1-G67-H67-J67</f>
        <v>17.5</v>
      </c>
      <c r="J67" s="5">
        <f t="shared" ref="J67:J102" si="14">F67/50000*F$1</f>
        <v>2.5</v>
      </c>
      <c r="K67" s="5">
        <v>9.69</v>
      </c>
      <c r="L67" s="5">
        <v>9.36</v>
      </c>
      <c r="M67" s="5"/>
      <c r="N67" s="5"/>
      <c r="O67" s="5">
        <f t="shared" si="4"/>
        <v>9.5249999999999986</v>
      </c>
      <c r="P67" s="5">
        <v>4503.3</v>
      </c>
      <c r="Q67" s="26"/>
      <c r="R67" s="26">
        <f t="shared" ref="R67:R82" si="15">ABS((F67-P67)/F67)*100</f>
        <v>9.9339999999999975</v>
      </c>
      <c r="S67" s="26">
        <v>7.16</v>
      </c>
      <c r="T67" s="5">
        <v>4179.3</v>
      </c>
      <c r="U67" s="5"/>
      <c r="V67" s="5"/>
      <c r="W67" s="5"/>
      <c r="X67" s="5">
        <v>4179.3</v>
      </c>
      <c r="Y67" s="5">
        <v>6.81</v>
      </c>
      <c r="Z67" s="27">
        <f t="shared" si="5"/>
        <v>-0.35000000000000053</v>
      </c>
      <c r="AA67" s="22">
        <f t="shared" si="6"/>
        <v>3.24</v>
      </c>
      <c r="AB67" s="19"/>
    </row>
    <row r="68" spans="2:28" ht="15" customHeight="1" x14ac:dyDescent="0.35">
      <c r="B68" s="19">
        <v>66</v>
      </c>
      <c r="C68" s="28">
        <v>2</v>
      </c>
      <c r="D68" s="28">
        <v>2</v>
      </c>
      <c r="E68" s="27">
        <f t="shared" si="12"/>
        <v>400</v>
      </c>
      <c r="F68" s="29">
        <v>200</v>
      </c>
      <c r="G68" s="30">
        <f t="shared" ref="G68:G82" si="16">C68/10*F$1-H68</f>
        <v>4.7225000000000001</v>
      </c>
      <c r="H68" s="30">
        <f t="shared" ref="H68:H82" si="17">(E68*111/40)/100000*F$1</f>
        <v>0.27750000000000002</v>
      </c>
      <c r="I68" s="30">
        <f t="shared" si="13"/>
        <v>19.899999999999999</v>
      </c>
      <c r="J68" s="5">
        <f t="shared" si="14"/>
        <v>0.1</v>
      </c>
      <c r="K68" s="5">
        <v>0.42</v>
      </c>
      <c r="L68" s="5">
        <v>0.46</v>
      </c>
      <c r="M68" s="5"/>
      <c r="N68" s="5"/>
      <c r="O68" s="5">
        <f t="shared" ref="O68:O102" si="18">AVERAGE(K68:N68)</f>
        <v>0.44</v>
      </c>
      <c r="P68" s="5">
        <v>191.1</v>
      </c>
      <c r="Q68" s="26"/>
      <c r="R68" s="26">
        <f t="shared" si="15"/>
        <v>4.4500000000000028</v>
      </c>
      <c r="S68" s="26">
        <v>6.55</v>
      </c>
      <c r="T68" s="5"/>
      <c r="U68" s="5"/>
      <c r="V68" s="5">
        <v>0</v>
      </c>
      <c r="W68" s="5"/>
      <c r="X68" s="5">
        <v>30</v>
      </c>
      <c r="Y68" s="5">
        <v>6.45</v>
      </c>
      <c r="Z68" s="27">
        <f t="shared" ref="Z68:Z102" si="19">Y68-S68</f>
        <v>-9.9999999999999645E-2</v>
      </c>
      <c r="AA68" s="22">
        <f t="shared" ref="AA68:AA102" si="20">(10*(P68-X68))/1000</f>
        <v>1.611</v>
      </c>
      <c r="AB68" s="19"/>
    </row>
    <row r="69" spans="2:28" ht="15" customHeight="1" x14ac:dyDescent="0.35">
      <c r="B69">
        <v>67</v>
      </c>
      <c r="C69" s="28">
        <v>2</v>
      </c>
      <c r="D69" s="28">
        <v>2</v>
      </c>
      <c r="E69" s="27">
        <f t="shared" si="12"/>
        <v>400</v>
      </c>
      <c r="F69" s="29">
        <v>500</v>
      </c>
      <c r="G69" s="30">
        <f t="shared" si="16"/>
        <v>4.7225000000000001</v>
      </c>
      <c r="H69" s="30">
        <f t="shared" si="17"/>
        <v>0.27750000000000002</v>
      </c>
      <c r="I69" s="30">
        <f t="shared" si="13"/>
        <v>19.75</v>
      </c>
      <c r="J69" s="5">
        <f t="shared" si="14"/>
        <v>0.25</v>
      </c>
      <c r="K69" s="5">
        <v>0.97</v>
      </c>
      <c r="L69" s="5">
        <v>0.88</v>
      </c>
      <c r="M69" s="5"/>
      <c r="N69" s="5"/>
      <c r="O69" s="5">
        <f t="shared" si="18"/>
        <v>0.92500000000000004</v>
      </c>
      <c r="P69" s="5">
        <v>505</v>
      </c>
      <c r="Q69" s="26"/>
      <c r="R69" s="26">
        <f t="shared" si="15"/>
        <v>1</v>
      </c>
      <c r="S69" s="26">
        <v>6.72</v>
      </c>
      <c r="T69" s="5">
        <v>378.7</v>
      </c>
      <c r="U69" s="5"/>
      <c r="V69" s="5">
        <f>0.43*250</f>
        <v>107.5</v>
      </c>
      <c r="W69" s="5"/>
      <c r="X69" s="5">
        <v>378.7</v>
      </c>
      <c r="Y69" s="5">
        <v>4.79</v>
      </c>
      <c r="Z69" s="27">
        <f t="shared" si="19"/>
        <v>-1.9299999999999997</v>
      </c>
      <c r="AA69" s="22">
        <f t="shared" si="20"/>
        <v>1.2629999999999999</v>
      </c>
      <c r="AB69" s="19"/>
    </row>
    <row r="70" spans="2:28" ht="15" customHeight="1" x14ac:dyDescent="0.35">
      <c r="B70">
        <v>68</v>
      </c>
      <c r="C70" s="28">
        <v>2</v>
      </c>
      <c r="D70" s="28">
        <v>2</v>
      </c>
      <c r="E70" s="27">
        <f t="shared" si="12"/>
        <v>400</v>
      </c>
      <c r="F70" s="29">
        <v>1000</v>
      </c>
      <c r="G70" s="30">
        <f t="shared" si="16"/>
        <v>4.7225000000000001</v>
      </c>
      <c r="H70" s="30">
        <f t="shared" si="17"/>
        <v>0.27750000000000002</v>
      </c>
      <c r="I70" s="30">
        <f t="shared" si="13"/>
        <v>19.5</v>
      </c>
      <c r="J70" s="5">
        <f t="shared" si="14"/>
        <v>0.5</v>
      </c>
      <c r="K70" s="5">
        <v>2.33</v>
      </c>
      <c r="L70" s="5">
        <v>2.2200000000000002</v>
      </c>
      <c r="M70" s="5"/>
      <c r="N70" s="5"/>
      <c r="O70" s="5">
        <f t="shared" si="18"/>
        <v>2.2750000000000004</v>
      </c>
      <c r="P70" s="5">
        <v>955.7</v>
      </c>
      <c r="Q70" s="26"/>
      <c r="R70" s="26">
        <f t="shared" si="15"/>
        <v>4.4299999999999962</v>
      </c>
      <c r="S70" s="26">
        <v>6.58</v>
      </c>
      <c r="T70" s="5">
        <v>760.4</v>
      </c>
      <c r="U70" s="5"/>
      <c r="V70" s="5"/>
      <c r="W70" s="5"/>
      <c r="X70" s="5">
        <v>760.4</v>
      </c>
      <c r="Y70" s="5">
        <v>6.46</v>
      </c>
      <c r="Z70" s="27">
        <f t="shared" si="19"/>
        <v>-0.12000000000000011</v>
      </c>
      <c r="AA70" s="22">
        <f t="shared" si="20"/>
        <v>1.9530000000000007</v>
      </c>
      <c r="AB70" s="19"/>
    </row>
    <row r="71" spans="2:28" ht="15" customHeight="1" x14ac:dyDescent="0.35">
      <c r="B71" s="19">
        <v>69</v>
      </c>
      <c r="C71" s="28">
        <v>2</v>
      </c>
      <c r="D71" s="28">
        <v>2</v>
      </c>
      <c r="E71" s="27">
        <f t="shared" si="12"/>
        <v>400</v>
      </c>
      <c r="F71" s="29">
        <v>2000</v>
      </c>
      <c r="G71" s="30">
        <f t="shared" si="16"/>
        <v>4.7225000000000001</v>
      </c>
      <c r="H71" s="30">
        <f t="shared" si="17"/>
        <v>0.27750000000000002</v>
      </c>
      <c r="I71" s="30">
        <f t="shared" si="13"/>
        <v>19</v>
      </c>
      <c r="J71" s="5">
        <f t="shared" si="14"/>
        <v>1</v>
      </c>
      <c r="K71" s="5">
        <v>7.04</v>
      </c>
      <c r="L71" s="5">
        <v>7.12</v>
      </c>
      <c r="M71" s="5"/>
      <c r="N71" s="5"/>
      <c r="O71" s="5">
        <f t="shared" si="18"/>
        <v>7.08</v>
      </c>
      <c r="P71" s="5">
        <v>1911.3</v>
      </c>
      <c r="Q71" s="26"/>
      <c r="R71" s="26">
        <f t="shared" si="15"/>
        <v>4.4350000000000023</v>
      </c>
      <c r="S71" s="26">
        <v>7.69</v>
      </c>
      <c r="T71" s="5">
        <v>1679.8</v>
      </c>
      <c r="U71" s="5"/>
      <c r="V71" s="5"/>
      <c r="W71" s="5"/>
      <c r="X71" s="5">
        <v>1679.8</v>
      </c>
      <c r="Y71" s="5">
        <v>6.36</v>
      </c>
      <c r="Z71" s="27">
        <f t="shared" si="19"/>
        <v>-1.33</v>
      </c>
      <c r="AA71" s="22">
        <f t="shared" si="20"/>
        <v>2.3149999999999999</v>
      </c>
      <c r="AB71" s="19"/>
    </row>
    <row r="72" spans="2:28" ht="15" customHeight="1" x14ac:dyDescent="0.35">
      <c r="B72">
        <v>70</v>
      </c>
      <c r="C72" s="28">
        <v>2</v>
      </c>
      <c r="D72" s="28">
        <v>2</v>
      </c>
      <c r="E72" s="27">
        <f t="shared" si="12"/>
        <v>400</v>
      </c>
      <c r="F72" s="29">
        <v>5000</v>
      </c>
      <c r="G72" s="30">
        <f t="shared" si="16"/>
        <v>4.7225000000000001</v>
      </c>
      <c r="H72" s="30">
        <f t="shared" si="17"/>
        <v>0.27750000000000002</v>
      </c>
      <c r="I72" s="30">
        <f t="shared" si="13"/>
        <v>17.5</v>
      </c>
      <c r="J72" s="5">
        <f t="shared" si="14"/>
        <v>2.5</v>
      </c>
      <c r="K72" s="5">
        <v>23.2</v>
      </c>
      <c r="L72" s="5">
        <v>23.5</v>
      </c>
      <c r="M72" s="5"/>
      <c r="N72" s="5"/>
      <c r="O72" s="5">
        <f t="shared" si="18"/>
        <v>23.35</v>
      </c>
      <c r="P72" s="5">
        <v>4467.8</v>
      </c>
      <c r="Q72" s="26"/>
      <c r="R72" s="26">
        <f t="shared" si="15"/>
        <v>10.643999999999997</v>
      </c>
      <c r="S72" s="26">
        <v>8.43</v>
      </c>
      <c r="T72" s="5">
        <v>4491</v>
      </c>
      <c r="U72" s="5">
        <v>3548</v>
      </c>
      <c r="V72" s="5"/>
      <c r="W72" s="5"/>
      <c r="X72" s="5">
        <v>4019.5</v>
      </c>
      <c r="Y72" s="5">
        <v>6.8</v>
      </c>
      <c r="Z72" s="27">
        <f t="shared" si="19"/>
        <v>-1.63</v>
      </c>
      <c r="AA72" s="22">
        <f t="shared" si="20"/>
        <v>4.4830000000000014</v>
      </c>
      <c r="AB72" s="19"/>
    </row>
    <row r="73" spans="2:28" ht="18.75" customHeight="1" x14ac:dyDescent="0.35">
      <c r="B73">
        <v>71</v>
      </c>
      <c r="C73" s="28">
        <v>2</v>
      </c>
      <c r="D73" s="28">
        <v>5</v>
      </c>
      <c r="E73" s="27">
        <f t="shared" si="12"/>
        <v>1000</v>
      </c>
      <c r="F73" s="29">
        <v>200</v>
      </c>
      <c r="G73" s="30">
        <f t="shared" si="16"/>
        <v>4.3062500000000004</v>
      </c>
      <c r="H73" s="30">
        <f t="shared" si="17"/>
        <v>0.69374999999999998</v>
      </c>
      <c r="I73" s="30">
        <f t="shared" si="13"/>
        <v>19.899999999999999</v>
      </c>
      <c r="J73" s="5">
        <f t="shared" si="14"/>
        <v>0.1</v>
      </c>
      <c r="K73" s="5">
        <v>3.58</v>
      </c>
      <c r="L73" s="5">
        <v>3.61</v>
      </c>
      <c r="M73" s="5"/>
      <c r="N73" s="5"/>
      <c r="O73" s="5">
        <f t="shared" si="18"/>
        <v>3.5949999999999998</v>
      </c>
      <c r="P73" s="5">
        <v>217.5</v>
      </c>
      <c r="Q73" s="26"/>
      <c r="R73" s="26">
        <f t="shared" si="15"/>
        <v>8.75</v>
      </c>
      <c r="S73" s="26">
        <v>6.28</v>
      </c>
      <c r="T73" s="5"/>
      <c r="U73" s="5"/>
      <c r="V73" s="5">
        <f>0.03*200</f>
        <v>6</v>
      </c>
      <c r="W73" s="5"/>
      <c r="X73" s="5">
        <v>18</v>
      </c>
      <c r="Y73" s="5">
        <v>6.37</v>
      </c>
      <c r="Z73" s="27">
        <f t="shared" si="19"/>
        <v>8.9999999999999858E-2</v>
      </c>
      <c r="AA73" s="22">
        <f t="shared" si="20"/>
        <v>1.9950000000000001</v>
      </c>
      <c r="AB73" s="19"/>
    </row>
    <row r="74" spans="2:28" ht="18.75" customHeight="1" x14ac:dyDescent="0.35">
      <c r="B74">
        <v>72</v>
      </c>
      <c r="C74" s="28">
        <v>2</v>
      </c>
      <c r="D74" s="28">
        <v>5</v>
      </c>
      <c r="E74" s="27">
        <f t="shared" si="12"/>
        <v>1000</v>
      </c>
      <c r="F74" s="29">
        <v>500</v>
      </c>
      <c r="G74" s="30">
        <f t="shared" si="16"/>
        <v>4.3062500000000004</v>
      </c>
      <c r="H74" s="30">
        <f t="shared" si="17"/>
        <v>0.69374999999999998</v>
      </c>
      <c r="I74" s="30">
        <f t="shared" si="13"/>
        <v>19.75</v>
      </c>
      <c r="J74" s="5">
        <f t="shared" si="14"/>
        <v>0.25</v>
      </c>
      <c r="K74" s="5">
        <v>11</v>
      </c>
      <c r="L74" s="5">
        <v>11.3</v>
      </c>
      <c r="M74" s="5"/>
      <c r="N74" s="5"/>
      <c r="O74" s="5">
        <f t="shared" si="18"/>
        <v>11.15</v>
      </c>
      <c r="P74" s="5">
        <v>486.09</v>
      </c>
      <c r="Q74" s="26"/>
      <c r="R74" s="26">
        <f t="shared" si="15"/>
        <v>2.7820000000000049</v>
      </c>
      <c r="S74" s="26">
        <v>6.24</v>
      </c>
      <c r="T74" s="5">
        <v>441.3</v>
      </c>
      <c r="U74" s="5"/>
      <c r="V74" s="5">
        <f>0.31*250</f>
        <v>77.5</v>
      </c>
      <c r="W74" s="5"/>
      <c r="X74" s="5">
        <v>259.39999999999998</v>
      </c>
      <c r="Y74" s="5">
        <v>6.31</v>
      </c>
      <c r="Z74" s="27">
        <f t="shared" si="19"/>
        <v>6.9999999999999396E-2</v>
      </c>
      <c r="AA74" s="22">
        <f t="shared" si="20"/>
        <v>2.2669000000000001</v>
      </c>
      <c r="AB74" s="19"/>
    </row>
    <row r="75" spans="2:28" ht="18.75" customHeight="1" x14ac:dyDescent="0.35">
      <c r="B75">
        <v>73</v>
      </c>
      <c r="C75" s="28">
        <v>2</v>
      </c>
      <c r="D75" s="28">
        <v>5</v>
      </c>
      <c r="E75" s="27">
        <f t="shared" si="12"/>
        <v>1000</v>
      </c>
      <c r="F75" s="29">
        <v>1000</v>
      </c>
      <c r="G75" s="30">
        <f t="shared" si="16"/>
        <v>4.3062500000000004</v>
      </c>
      <c r="H75" s="30">
        <f t="shared" si="17"/>
        <v>0.69374999999999998</v>
      </c>
      <c r="I75" s="30">
        <f t="shared" si="13"/>
        <v>19.5</v>
      </c>
      <c r="J75" s="5">
        <f t="shared" si="14"/>
        <v>0.5</v>
      </c>
      <c r="K75" s="5">
        <v>13.2</v>
      </c>
      <c r="L75" s="5">
        <v>13.5</v>
      </c>
      <c r="M75" s="5"/>
      <c r="N75" s="5"/>
      <c r="O75" s="5">
        <f t="shared" si="18"/>
        <v>13.35</v>
      </c>
      <c r="P75" s="5">
        <v>1027.04</v>
      </c>
      <c r="Q75" s="26"/>
      <c r="R75" s="26">
        <f t="shared" si="15"/>
        <v>2.7039999999999962</v>
      </c>
      <c r="S75" s="26">
        <v>6.07</v>
      </c>
      <c r="T75" s="5">
        <v>759.4</v>
      </c>
      <c r="U75" s="5"/>
      <c r="V75" s="5"/>
      <c r="W75" s="5"/>
      <c r="X75" s="5">
        <v>759.4</v>
      </c>
      <c r="Y75" s="5">
        <v>5.95</v>
      </c>
      <c r="Z75" s="27">
        <f t="shared" si="19"/>
        <v>-0.12000000000000011</v>
      </c>
      <c r="AA75" s="22">
        <f t="shared" si="20"/>
        <v>2.6763999999999997</v>
      </c>
      <c r="AB75" s="19"/>
    </row>
    <row r="76" spans="2:28" ht="18.75" customHeight="1" x14ac:dyDescent="0.35">
      <c r="B76">
        <v>74</v>
      </c>
      <c r="C76" s="28">
        <v>2</v>
      </c>
      <c r="D76" s="28">
        <v>5</v>
      </c>
      <c r="E76" s="27">
        <f t="shared" si="12"/>
        <v>1000</v>
      </c>
      <c r="F76" s="29">
        <v>2000</v>
      </c>
      <c r="G76" s="30">
        <f t="shared" si="16"/>
        <v>4.3062500000000004</v>
      </c>
      <c r="H76" s="30">
        <f t="shared" si="17"/>
        <v>0.69374999999999998</v>
      </c>
      <c r="I76" s="30">
        <f t="shared" si="13"/>
        <v>19</v>
      </c>
      <c r="J76" s="5">
        <f t="shared" si="14"/>
        <v>1</v>
      </c>
      <c r="K76" s="5">
        <v>25.4</v>
      </c>
      <c r="L76" s="5">
        <v>26.5</v>
      </c>
      <c r="M76" s="5"/>
      <c r="N76" s="5"/>
      <c r="O76" s="5">
        <f t="shared" si="18"/>
        <v>25.95</v>
      </c>
      <c r="P76" s="5">
        <v>2257.4</v>
      </c>
      <c r="Q76" s="26"/>
      <c r="R76" s="26">
        <f t="shared" si="15"/>
        <v>12.870000000000005</v>
      </c>
      <c r="S76" s="26">
        <v>6.44</v>
      </c>
      <c r="T76" s="5">
        <v>1714.7</v>
      </c>
      <c r="U76" s="5"/>
      <c r="V76" s="5"/>
      <c r="W76" s="5"/>
      <c r="X76" s="5">
        <v>1714.7</v>
      </c>
      <c r="Y76" s="5">
        <v>6.31</v>
      </c>
      <c r="Z76" s="27">
        <f t="shared" si="19"/>
        <v>-0.13000000000000078</v>
      </c>
      <c r="AA76" s="22">
        <f t="shared" si="20"/>
        <v>5.4269999999999996</v>
      </c>
      <c r="AB76" s="19"/>
    </row>
    <row r="77" spans="2:28" ht="18.75" customHeight="1" x14ac:dyDescent="0.35">
      <c r="B77">
        <v>75</v>
      </c>
      <c r="C77" s="28">
        <v>2</v>
      </c>
      <c r="D77" s="28">
        <v>5</v>
      </c>
      <c r="E77" s="27">
        <f t="shared" si="12"/>
        <v>1000</v>
      </c>
      <c r="F77" s="29">
        <v>5000</v>
      </c>
      <c r="G77" s="30">
        <f t="shared" si="16"/>
        <v>4.3062500000000004</v>
      </c>
      <c r="H77" s="30">
        <f t="shared" si="17"/>
        <v>0.69374999999999998</v>
      </c>
      <c r="I77" s="30">
        <f t="shared" si="13"/>
        <v>17.5</v>
      </c>
      <c r="J77" s="5">
        <f t="shared" si="14"/>
        <v>2.5</v>
      </c>
      <c r="K77" s="5">
        <v>164</v>
      </c>
      <c r="L77" s="5">
        <v>154</v>
      </c>
      <c r="M77" s="5"/>
      <c r="N77" s="5"/>
      <c r="O77" s="5">
        <f t="shared" si="18"/>
        <v>159</v>
      </c>
      <c r="P77" s="5">
        <v>4680.2</v>
      </c>
      <c r="Q77" s="26"/>
      <c r="R77" s="26">
        <f t="shared" si="15"/>
        <v>6.3960000000000035</v>
      </c>
      <c r="S77" s="26">
        <v>7.92</v>
      </c>
      <c r="T77" s="5">
        <v>4206.2</v>
      </c>
      <c r="U77" s="5"/>
      <c r="V77" s="5"/>
      <c r="W77" s="5"/>
      <c r="X77" s="5">
        <v>4206.2</v>
      </c>
      <c r="Y77" s="5">
        <v>6.73</v>
      </c>
      <c r="Z77" s="27">
        <f t="shared" si="19"/>
        <v>-1.1899999999999995</v>
      </c>
      <c r="AA77" s="22">
        <f t="shared" si="20"/>
        <v>4.74</v>
      </c>
      <c r="AB77" s="19"/>
    </row>
    <row r="78" spans="2:28" ht="15" customHeight="1" x14ac:dyDescent="0.35">
      <c r="B78">
        <v>76</v>
      </c>
      <c r="C78" s="28">
        <v>2</v>
      </c>
      <c r="D78" s="28">
        <v>10</v>
      </c>
      <c r="E78" s="27">
        <f t="shared" si="12"/>
        <v>2000</v>
      </c>
      <c r="F78" s="29">
        <v>200</v>
      </c>
      <c r="G78" s="30">
        <f t="shared" si="16"/>
        <v>3.6124999999999998</v>
      </c>
      <c r="H78" s="30">
        <f t="shared" si="17"/>
        <v>1.3875</v>
      </c>
      <c r="I78" s="30">
        <f t="shared" si="13"/>
        <v>19.899999999999999</v>
      </c>
      <c r="J78" s="5">
        <f t="shared" si="14"/>
        <v>0.1</v>
      </c>
      <c r="K78" s="5">
        <v>18.8</v>
      </c>
      <c r="L78" s="5">
        <v>18.2</v>
      </c>
      <c r="M78" s="5"/>
      <c r="N78" s="5"/>
      <c r="O78" s="5">
        <f t="shared" si="18"/>
        <v>18.5</v>
      </c>
      <c r="P78" s="5">
        <v>215.5</v>
      </c>
      <c r="Q78" s="26"/>
      <c r="R78" s="26">
        <f t="shared" si="15"/>
        <v>7.75</v>
      </c>
      <c r="S78" s="26">
        <v>6.25</v>
      </c>
      <c r="T78" s="5"/>
      <c r="U78" s="5"/>
      <c r="V78" s="5">
        <v>0</v>
      </c>
      <c r="W78" s="5"/>
      <c r="X78" s="5">
        <v>30</v>
      </c>
      <c r="Y78" s="5">
        <v>6.11</v>
      </c>
      <c r="Z78" s="27">
        <f t="shared" si="19"/>
        <v>-0.13999999999999968</v>
      </c>
      <c r="AA78" s="22">
        <f t="shared" si="20"/>
        <v>1.855</v>
      </c>
      <c r="AB78" s="19"/>
    </row>
    <row r="79" spans="2:28" ht="15" customHeight="1" x14ac:dyDescent="0.35">
      <c r="B79">
        <v>77</v>
      </c>
      <c r="C79" s="28">
        <v>2</v>
      </c>
      <c r="D79" s="28">
        <v>10</v>
      </c>
      <c r="E79" s="27">
        <f t="shared" si="12"/>
        <v>2000</v>
      </c>
      <c r="F79" s="29">
        <v>500</v>
      </c>
      <c r="G79" s="30">
        <f t="shared" si="16"/>
        <v>3.6124999999999998</v>
      </c>
      <c r="H79" s="30">
        <f t="shared" si="17"/>
        <v>1.3875</v>
      </c>
      <c r="I79" s="30">
        <f t="shared" si="13"/>
        <v>19.75</v>
      </c>
      <c r="J79" s="5">
        <f t="shared" si="14"/>
        <v>0.25</v>
      </c>
      <c r="K79" s="5">
        <v>43.6</v>
      </c>
      <c r="L79" s="5">
        <v>43.6</v>
      </c>
      <c r="M79" s="5"/>
      <c r="N79" s="5"/>
      <c r="O79" s="5">
        <f t="shared" si="18"/>
        <v>43.6</v>
      </c>
      <c r="P79" s="5">
        <v>476.8</v>
      </c>
      <c r="Q79" s="26"/>
      <c r="R79" s="26">
        <f t="shared" si="15"/>
        <v>4.6399999999999979</v>
      </c>
      <c r="S79" s="26">
        <v>6.2</v>
      </c>
      <c r="T79" s="5"/>
      <c r="U79" s="5"/>
      <c r="V79" s="5">
        <f>0.2*250</f>
        <v>50</v>
      </c>
      <c r="W79" s="5">
        <f>0.24*250</f>
        <v>60</v>
      </c>
      <c r="X79" s="5">
        <v>250</v>
      </c>
      <c r="Y79" s="5">
        <v>6.69</v>
      </c>
      <c r="Z79" s="27">
        <f t="shared" si="19"/>
        <v>0.49000000000000021</v>
      </c>
      <c r="AA79" s="22">
        <f t="shared" si="20"/>
        <v>2.2679999999999998</v>
      </c>
      <c r="AB79" s="19"/>
    </row>
    <row r="80" spans="2:28" ht="15" customHeight="1" x14ac:dyDescent="0.35">
      <c r="B80">
        <v>78</v>
      </c>
      <c r="C80" s="28">
        <v>2</v>
      </c>
      <c r="D80" s="28">
        <v>10</v>
      </c>
      <c r="E80" s="27">
        <f t="shared" si="12"/>
        <v>2000</v>
      </c>
      <c r="F80" s="29">
        <v>1000</v>
      </c>
      <c r="G80" s="30">
        <f t="shared" si="16"/>
        <v>3.6124999999999998</v>
      </c>
      <c r="H80" s="30">
        <f t="shared" si="17"/>
        <v>1.3875</v>
      </c>
      <c r="I80" s="30">
        <f t="shared" si="13"/>
        <v>19.5</v>
      </c>
      <c r="J80" s="5">
        <f t="shared" si="14"/>
        <v>0.5</v>
      </c>
      <c r="K80" s="5">
        <v>73.2</v>
      </c>
      <c r="L80" s="5">
        <v>72.3</v>
      </c>
      <c r="M80" s="5"/>
      <c r="N80" s="5"/>
      <c r="O80" s="5">
        <f t="shared" si="18"/>
        <v>72.75</v>
      </c>
      <c r="P80" s="5">
        <v>863</v>
      </c>
      <c r="Q80" s="26"/>
      <c r="R80" s="26">
        <f t="shared" si="15"/>
        <v>13.700000000000001</v>
      </c>
      <c r="S80" s="26">
        <v>6.36</v>
      </c>
      <c r="T80" s="5">
        <v>637.20000000000005</v>
      </c>
      <c r="U80" s="5"/>
      <c r="V80" s="5"/>
      <c r="W80" s="5"/>
      <c r="X80" s="5">
        <v>637.20000000000005</v>
      </c>
      <c r="Y80" s="5">
        <v>6.12</v>
      </c>
      <c r="Z80" s="27">
        <f t="shared" si="19"/>
        <v>-0.24000000000000021</v>
      </c>
      <c r="AA80" s="22">
        <f t="shared" si="20"/>
        <v>2.2579999999999996</v>
      </c>
      <c r="AB80" s="19"/>
    </row>
    <row r="81" spans="2:28" ht="15" customHeight="1" x14ac:dyDescent="0.35">
      <c r="B81">
        <v>79</v>
      </c>
      <c r="C81" s="28">
        <v>2</v>
      </c>
      <c r="D81" s="28">
        <v>10</v>
      </c>
      <c r="E81" s="27">
        <f t="shared" si="12"/>
        <v>2000</v>
      </c>
      <c r="F81" s="29">
        <v>2000</v>
      </c>
      <c r="G81" s="30">
        <f t="shared" si="16"/>
        <v>3.6124999999999998</v>
      </c>
      <c r="H81" s="30">
        <f t="shared" si="17"/>
        <v>1.3875</v>
      </c>
      <c r="I81" s="30">
        <f t="shared" si="13"/>
        <v>19</v>
      </c>
      <c r="J81" s="5">
        <f t="shared" si="14"/>
        <v>1</v>
      </c>
      <c r="K81" s="5">
        <v>131</v>
      </c>
      <c r="L81" s="5">
        <v>130</v>
      </c>
      <c r="M81" s="5"/>
      <c r="N81" s="5"/>
      <c r="O81" s="5">
        <f t="shared" si="18"/>
        <v>130.5</v>
      </c>
      <c r="P81" s="5">
        <v>2129</v>
      </c>
      <c r="Q81" s="26"/>
      <c r="R81" s="26">
        <f t="shared" si="15"/>
        <v>6.45</v>
      </c>
      <c r="S81" s="26">
        <v>7.38</v>
      </c>
      <c r="T81" s="5">
        <v>1688.3</v>
      </c>
      <c r="U81" s="5"/>
      <c r="V81" s="5"/>
      <c r="W81" s="5"/>
      <c r="X81" s="5">
        <v>1688.3</v>
      </c>
      <c r="Y81" s="5">
        <v>6.54</v>
      </c>
      <c r="Z81" s="27">
        <f t="shared" si="19"/>
        <v>-0.83999999999999986</v>
      </c>
      <c r="AA81" s="22">
        <f t="shared" si="20"/>
        <v>4.407</v>
      </c>
      <c r="AB81" s="19"/>
    </row>
    <row r="82" spans="2:28" ht="15" customHeight="1" x14ac:dyDescent="0.35">
      <c r="B82">
        <v>80</v>
      </c>
      <c r="C82" s="28">
        <v>2</v>
      </c>
      <c r="D82" s="28">
        <v>10</v>
      </c>
      <c r="E82" s="27">
        <f t="shared" si="12"/>
        <v>2000</v>
      </c>
      <c r="F82" s="29">
        <v>5000</v>
      </c>
      <c r="G82" s="30">
        <f t="shared" si="16"/>
        <v>3.6124999999999998</v>
      </c>
      <c r="H82" s="30">
        <f t="shared" si="17"/>
        <v>1.3875</v>
      </c>
      <c r="I82" s="30">
        <f t="shared" si="13"/>
        <v>17.5</v>
      </c>
      <c r="J82" s="5">
        <f t="shared" si="14"/>
        <v>2.5</v>
      </c>
      <c r="K82" s="5">
        <v>208</v>
      </c>
      <c r="L82" s="5">
        <v>206</v>
      </c>
      <c r="M82" s="5"/>
      <c r="N82" s="5"/>
      <c r="O82" s="5">
        <f t="shared" si="18"/>
        <v>207</v>
      </c>
      <c r="P82" s="5">
        <v>5577.6</v>
      </c>
      <c r="Q82" s="26"/>
      <c r="R82" s="26">
        <f t="shared" si="15"/>
        <v>11.552000000000007</v>
      </c>
      <c r="S82" s="26">
        <v>7.91</v>
      </c>
      <c r="T82" s="5">
        <v>3592.6</v>
      </c>
      <c r="U82" s="5">
        <v>3515</v>
      </c>
      <c r="V82" s="5"/>
      <c r="W82" s="5"/>
      <c r="X82" s="5">
        <v>3553.8</v>
      </c>
      <c r="Y82" s="5">
        <v>6.74</v>
      </c>
      <c r="Z82" s="27">
        <f t="shared" si="19"/>
        <v>-1.17</v>
      </c>
      <c r="AA82" s="22">
        <f t="shared" si="20"/>
        <v>20.238</v>
      </c>
      <c r="AB82" s="19"/>
    </row>
    <row r="83" spans="2:28" ht="15" customHeight="1" x14ac:dyDescent="0.35">
      <c r="B83" s="19">
        <v>81</v>
      </c>
      <c r="C83" s="28">
        <v>5</v>
      </c>
      <c r="D83" s="28">
        <v>0</v>
      </c>
      <c r="E83" s="27">
        <f t="shared" si="12"/>
        <v>0</v>
      </c>
      <c r="F83" s="29">
        <v>200</v>
      </c>
      <c r="G83" s="27">
        <f>C83/10*F$1</f>
        <v>12.5</v>
      </c>
      <c r="H83" s="32">
        <f>(E83*111/40)/10000*F$1</f>
        <v>0</v>
      </c>
      <c r="I83" s="32">
        <f t="shared" si="13"/>
        <v>12.4</v>
      </c>
      <c r="J83" s="27">
        <f t="shared" si="14"/>
        <v>0.1</v>
      </c>
      <c r="K83" s="27">
        <v>6.5</v>
      </c>
      <c r="L83" s="27">
        <v>6.68</v>
      </c>
      <c r="M83" s="27"/>
      <c r="N83" s="27"/>
      <c r="O83" s="27">
        <f t="shared" si="18"/>
        <v>6.59</v>
      </c>
      <c r="P83" s="27"/>
      <c r="Q83" s="26">
        <f>0.75*250</f>
        <v>187.5</v>
      </c>
      <c r="R83" s="26">
        <f>ABS((F83-Q83)/F83)*100</f>
        <v>6.25</v>
      </c>
      <c r="S83" s="26">
        <v>6</v>
      </c>
      <c r="T83" s="5"/>
      <c r="U83" s="5"/>
      <c r="V83" s="5">
        <v>0</v>
      </c>
      <c r="W83" s="5"/>
      <c r="X83" s="5">
        <v>3</v>
      </c>
      <c r="Y83" s="5">
        <v>4.72</v>
      </c>
      <c r="Z83" s="27">
        <f t="shared" si="19"/>
        <v>-1.2800000000000002</v>
      </c>
      <c r="AA83" s="22">
        <f t="shared" si="20"/>
        <v>-0.03</v>
      </c>
      <c r="AB83" s="19"/>
    </row>
    <row r="84" spans="2:28" ht="15" customHeight="1" x14ac:dyDescent="0.35">
      <c r="B84">
        <v>82</v>
      </c>
      <c r="C84" s="28">
        <v>5</v>
      </c>
      <c r="D84" s="28">
        <v>0</v>
      </c>
      <c r="E84" s="27">
        <f t="shared" si="12"/>
        <v>0</v>
      </c>
      <c r="F84" s="29">
        <v>500</v>
      </c>
      <c r="G84" s="5">
        <f>C84/10*F$1</f>
        <v>12.5</v>
      </c>
      <c r="H84" s="30">
        <f>(E84*111/40)/10000*F$1</f>
        <v>0</v>
      </c>
      <c r="I84" s="30">
        <f t="shared" si="13"/>
        <v>12.25</v>
      </c>
      <c r="J84" s="5">
        <f t="shared" si="14"/>
        <v>0.25</v>
      </c>
      <c r="K84" s="5">
        <v>25.6</v>
      </c>
      <c r="L84" s="5">
        <v>25.4</v>
      </c>
      <c r="M84" s="5"/>
      <c r="N84" s="5"/>
      <c r="O84" s="5">
        <f t="shared" si="18"/>
        <v>25.5</v>
      </c>
      <c r="P84" s="5">
        <v>445.3</v>
      </c>
      <c r="Q84" s="26"/>
      <c r="R84" s="26">
        <f t="shared" ref="R84:R102" si="21">ABS((F84-P84)/F84)*100</f>
        <v>10.939999999999998</v>
      </c>
      <c r="S84" s="26">
        <v>5.72</v>
      </c>
      <c r="T84" s="5"/>
      <c r="U84" s="5"/>
      <c r="V84" s="5">
        <f>0.01*250</f>
        <v>2.5</v>
      </c>
      <c r="W84" s="5">
        <f>0.08*250</f>
        <v>20</v>
      </c>
      <c r="X84" s="5">
        <v>36</v>
      </c>
      <c r="Y84" s="5">
        <v>5.49</v>
      </c>
      <c r="Z84" s="27">
        <f t="shared" si="19"/>
        <v>-0.22999999999999954</v>
      </c>
      <c r="AA84" s="22">
        <f t="shared" si="20"/>
        <v>4.093</v>
      </c>
      <c r="AB84" s="19"/>
    </row>
    <row r="85" spans="2:28" ht="15" customHeight="1" x14ac:dyDescent="0.35">
      <c r="B85">
        <v>83</v>
      </c>
      <c r="C85" s="28">
        <v>5</v>
      </c>
      <c r="D85" s="28">
        <v>0</v>
      </c>
      <c r="E85" s="27">
        <f t="shared" si="12"/>
        <v>0</v>
      </c>
      <c r="F85" s="29">
        <v>1000</v>
      </c>
      <c r="G85" s="5">
        <f>C85/10*F$1</f>
        <v>12.5</v>
      </c>
      <c r="H85" s="30">
        <f>(E85*111/40)/10000*F$1</f>
        <v>0</v>
      </c>
      <c r="I85" s="30">
        <f t="shared" si="13"/>
        <v>12</v>
      </c>
      <c r="J85" s="5">
        <f t="shared" si="14"/>
        <v>0.5</v>
      </c>
      <c r="K85" s="5">
        <v>47.4</v>
      </c>
      <c r="L85" s="5">
        <v>46.6</v>
      </c>
      <c r="M85" s="5"/>
      <c r="N85" s="5"/>
      <c r="O85" s="5">
        <f t="shared" si="18"/>
        <v>47</v>
      </c>
      <c r="P85" s="5">
        <v>1131.7</v>
      </c>
      <c r="Q85" s="26"/>
      <c r="R85" s="26">
        <f t="shared" si="21"/>
        <v>13.170000000000003</v>
      </c>
      <c r="S85" s="26">
        <v>6.81</v>
      </c>
      <c r="T85" s="5">
        <v>822.5</v>
      </c>
      <c r="U85" s="5"/>
      <c r="V85" s="5"/>
      <c r="W85" s="5"/>
      <c r="X85" s="5">
        <v>822.5</v>
      </c>
      <c r="Y85" s="5">
        <v>6.23</v>
      </c>
      <c r="Z85" s="27">
        <f t="shared" si="19"/>
        <v>-0.57999999999999918</v>
      </c>
      <c r="AA85" s="22">
        <f t="shared" si="20"/>
        <v>3.0920000000000005</v>
      </c>
      <c r="AB85" s="19"/>
    </row>
    <row r="86" spans="2:28" ht="15" customHeight="1" x14ac:dyDescent="0.35">
      <c r="B86">
        <v>84</v>
      </c>
      <c r="C86" s="28">
        <v>5</v>
      </c>
      <c r="D86" s="28">
        <v>0</v>
      </c>
      <c r="E86" s="27">
        <f t="shared" si="12"/>
        <v>0</v>
      </c>
      <c r="F86" s="29">
        <v>2000</v>
      </c>
      <c r="G86" s="5">
        <f>C86/10*F$1</f>
        <v>12.5</v>
      </c>
      <c r="H86" s="30">
        <f>(E86*111/40)/10000*F$1</f>
        <v>0</v>
      </c>
      <c r="I86" s="30">
        <f t="shared" si="13"/>
        <v>11.5</v>
      </c>
      <c r="J86" s="5">
        <f t="shared" si="14"/>
        <v>1</v>
      </c>
      <c r="K86" s="5">
        <v>75.3</v>
      </c>
      <c r="L86" s="5">
        <v>74.099999999999994</v>
      </c>
      <c r="M86" s="5"/>
      <c r="N86" s="5"/>
      <c r="O86" s="5">
        <f t="shared" si="18"/>
        <v>74.699999999999989</v>
      </c>
      <c r="P86" s="5">
        <v>2172.1999999999998</v>
      </c>
      <c r="Q86" s="26"/>
      <c r="R86" s="26">
        <f t="shared" si="21"/>
        <v>8.6099999999999905</v>
      </c>
      <c r="S86" s="26">
        <v>6.52</v>
      </c>
      <c r="T86" s="5">
        <v>1772.2</v>
      </c>
      <c r="U86" s="5"/>
      <c r="V86" s="5"/>
      <c r="W86" s="5"/>
      <c r="X86" s="5">
        <v>1772.2</v>
      </c>
      <c r="Y86" s="5">
        <v>5.66</v>
      </c>
      <c r="Z86" s="27">
        <f t="shared" si="19"/>
        <v>-0.85999999999999943</v>
      </c>
      <c r="AA86" s="22">
        <f t="shared" si="20"/>
        <v>3.9999999999999978</v>
      </c>
      <c r="AB86" s="19"/>
    </row>
    <row r="87" spans="2:28" ht="15" customHeight="1" x14ac:dyDescent="0.35">
      <c r="B87" s="19">
        <v>85</v>
      </c>
      <c r="C87" s="28">
        <v>5</v>
      </c>
      <c r="D87" s="28">
        <v>0</v>
      </c>
      <c r="E87" s="27">
        <f t="shared" si="12"/>
        <v>0</v>
      </c>
      <c r="F87" s="29">
        <v>5000</v>
      </c>
      <c r="G87" s="27">
        <f>C87/10*F$1</f>
        <v>12.5</v>
      </c>
      <c r="H87" s="32">
        <f>(E87*111/40)/10000*F$1</f>
        <v>0</v>
      </c>
      <c r="I87" s="32">
        <f t="shared" si="13"/>
        <v>10</v>
      </c>
      <c r="J87" s="27">
        <f t="shared" si="14"/>
        <v>2.5</v>
      </c>
      <c r="K87" s="27">
        <v>175</v>
      </c>
      <c r="L87" s="27">
        <v>176</v>
      </c>
      <c r="M87" s="27"/>
      <c r="N87" s="27"/>
      <c r="O87" s="27">
        <f t="shared" si="18"/>
        <v>175.5</v>
      </c>
      <c r="P87" s="27">
        <v>5113.5</v>
      </c>
      <c r="Q87" s="26"/>
      <c r="R87" s="26">
        <f t="shared" si="21"/>
        <v>2.27</v>
      </c>
      <c r="S87" s="26">
        <v>8.11</v>
      </c>
      <c r="T87" s="5">
        <v>4662.5</v>
      </c>
      <c r="U87" s="5"/>
      <c r="V87" s="5"/>
      <c r="W87" s="5"/>
      <c r="X87" s="5">
        <v>4662.5</v>
      </c>
      <c r="Y87" s="5">
        <v>5.86</v>
      </c>
      <c r="Z87" s="27">
        <f t="shared" si="19"/>
        <v>-2.2499999999999991</v>
      </c>
      <c r="AA87" s="22">
        <f t="shared" si="20"/>
        <v>4.51</v>
      </c>
      <c r="AB87" s="19"/>
    </row>
    <row r="88" spans="2:28" ht="15" customHeight="1" x14ac:dyDescent="0.35">
      <c r="B88">
        <v>86</v>
      </c>
      <c r="C88" s="28">
        <v>5</v>
      </c>
      <c r="D88" s="28">
        <v>2</v>
      </c>
      <c r="E88" s="27">
        <f t="shared" si="12"/>
        <v>1000</v>
      </c>
      <c r="F88" s="29">
        <v>200</v>
      </c>
      <c r="G88" s="30">
        <f t="shared" ref="G88:G102" si="22">C88/10*F$1-H88</f>
        <v>11.80625</v>
      </c>
      <c r="H88" s="30">
        <f t="shared" ref="H88:H102" si="23">(E88*111/40)/100000*F$1</f>
        <v>0.69374999999999998</v>
      </c>
      <c r="I88" s="30">
        <f t="shared" si="13"/>
        <v>12.4</v>
      </c>
      <c r="J88" s="5">
        <f t="shared" si="14"/>
        <v>0.1</v>
      </c>
      <c r="K88" s="27">
        <v>10.8</v>
      </c>
      <c r="L88" s="27">
        <v>10.6</v>
      </c>
      <c r="M88" s="5"/>
      <c r="N88" s="5"/>
      <c r="O88" s="5">
        <f t="shared" si="18"/>
        <v>10.7</v>
      </c>
      <c r="P88" s="27">
        <v>207.6</v>
      </c>
      <c r="Q88" s="26"/>
      <c r="R88" s="26">
        <f t="shared" si="21"/>
        <v>3.7999999999999972</v>
      </c>
      <c r="S88" s="26">
        <v>5.96</v>
      </c>
      <c r="T88" s="5"/>
      <c r="U88" s="5"/>
      <c r="V88" s="5">
        <v>0</v>
      </c>
      <c r="W88" s="5"/>
      <c r="X88" s="5">
        <v>6</v>
      </c>
      <c r="Y88" s="5">
        <v>6.22</v>
      </c>
      <c r="Z88" s="27">
        <f t="shared" si="19"/>
        <v>0.25999999999999979</v>
      </c>
      <c r="AA88" s="22">
        <f t="shared" si="20"/>
        <v>2.016</v>
      </c>
      <c r="AB88" s="19"/>
    </row>
    <row r="89" spans="2:28" ht="15" customHeight="1" x14ac:dyDescent="0.35">
      <c r="B89">
        <v>87</v>
      </c>
      <c r="C89" s="28">
        <v>5</v>
      </c>
      <c r="D89" s="28">
        <v>2</v>
      </c>
      <c r="E89" s="27">
        <f t="shared" si="12"/>
        <v>1000</v>
      </c>
      <c r="F89" s="29">
        <v>500</v>
      </c>
      <c r="G89" s="30">
        <f t="shared" si="22"/>
        <v>11.80625</v>
      </c>
      <c r="H89" s="30">
        <f t="shared" si="23"/>
        <v>0.69374999999999998</v>
      </c>
      <c r="I89" s="30">
        <f t="shared" si="13"/>
        <v>12.25</v>
      </c>
      <c r="J89" s="5">
        <f t="shared" si="14"/>
        <v>0.25</v>
      </c>
      <c r="K89" s="5">
        <v>24.6</v>
      </c>
      <c r="L89" s="5">
        <v>24.2</v>
      </c>
      <c r="M89" s="5"/>
      <c r="N89" s="5"/>
      <c r="O89" s="5">
        <f t="shared" si="18"/>
        <v>24.4</v>
      </c>
      <c r="P89" s="5">
        <v>481.5</v>
      </c>
      <c r="Q89" s="26"/>
      <c r="R89" s="26">
        <f t="shared" si="21"/>
        <v>3.6999999999999997</v>
      </c>
      <c r="S89" s="26">
        <v>5.75</v>
      </c>
      <c r="T89" s="5">
        <v>481.5</v>
      </c>
      <c r="U89" s="5"/>
      <c r="V89" s="5">
        <v>0</v>
      </c>
      <c r="W89" s="5"/>
      <c r="X89" s="5">
        <v>240.75</v>
      </c>
      <c r="Y89" s="5">
        <v>6.21</v>
      </c>
      <c r="Z89" s="27">
        <f t="shared" si="19"/>
        <v>0.45999999999999996</v>
      </c>
      <c r="AA89" s="22">
        <f t="shared" si="20"/>
        <v>2.4075000000000002</v>
      </c>
      <c r="AB89" s="19"/>
    </row>
    <row r="90" spans="2:28" ht="15" customHeight="1" x14ac:dyDescent="0.35">
      <c r="B90">
        <v>88</v>
      </c>
      <c r="C90" s="28">
        <v>5</v>
      </c>
      <c r="D90" s="28">
        <v>2</v>
      </c>
      <c r="E90" s="27">
        <f t="shared" si="12"/>
        <v>1000</v>
      </c>
      <c r="F90" s="29">
        <v>1000</v>
      </c>
      <c r="G90" s="30">
        <f t="shared" si="22"/>
        <v>11.80625</v>
      </c>
      <c r="H90" s="30">
        <f t="shared" si="23"/>
        <v>0.69374999999999998</v>
      </c>
      <c r="I90" s="30">
        <f t="shared" si="13"/>
        <v>12</v>
      </c>
      <c r="J90" s="5">
        <f t="shared" si="14"/>
        <v>0.5</v>
      </c>
      <c r="K90" s="5">
        <v>55.6</v>
      </c>
      <c r="L90" s="5">
        <v>56.3</v>
      </c>
      <c r="M90" s="5"/>
      <c r="N90" s="5"/>
      <c r="O90" s="5">
        <f t="shared" si="18"/>
        <v>55.95</v>
      </c>
      <c r="P90" s="5">
        <v>888</v>
      </c>
      <c r="Q90" s="26"/>
      <c r="R90" s="26">
        <f t="shared" si="21"/>
        <v>11.200000000000001</v>
      </c>
      <c r="S90" s="26">
        <v>5.96</v>
      </c>
      <c r="T90" s="5">
        <v>719.4</v>
      </c>
      <c r="U90" s="5"/>
      <c r="V90" s="5"/>
      <c r="W90" s="5"/>
      <c r="X90" s="5">
        <v>719.4</v>
      </c>
      <c r="Y90" s="5">
        <v>5.68</v>
      </c>
      <c r="Z90" s="27">
        <f t="shared" si="19"/>
        <v>-0.28000000000000025</v>
      </c>
      <c r="AA90" s="22">
        <f t="shared" si="20"/>
        <v>1.6860000000000002</v>
      </c>
      <c r="AB90" s="19"/>
    </row>
    <row r="91" spans="2:28" ht="15" customHeight="1" x14ac:dyDescent="0.35">
      <c r="B91">
        <v>89</v>
      </c>
      <c r="C91" s="28">
        <v>5</v>
      </c>
      <c r="D91" s="28">
        <v>2</v>
      </c>
      <c r="E91" s="27">
        <f t="shared" si="12"/>
        <v>1000</v>
      </c>
      <c r="F91" s="29">
        <v>2000</v>
      </c>
      <c r="G91" s="30">
        <f t="shared" si="22"/>
        <v>11.80625</v>
      </c>
      <c r="H91" s="30">
        <f t="shared" si="23"/>
        <v>0.69374999999999998</v>
      </c>
      <c r="I91" s="30">
        <f t="shared" si="13"/>
        <v>11.5</v>
      </c>
      <c r="J91" s="5">
        <f t="shared" si="14"/>
        <v>1</v>
      </c>
      <c r="K91" s="5">
        <v>90.8</v>
      </c>
      <c r="L91" s="5">
        <v>92</v>
      </c>
      <c r="M91" s="5"/>
      <c r="N91" s="5"/>
      <c r="O91" s="5">
        <f t="shared" si="18"/>
        <v>91.4</v>
      </c>
      <c r="P91" s="5">
        <v>1911.3</v>
      </c>
      <c r="Q91" s="26"/>
      <c r="R91" s="26">
        <f t="shared" si="21"/>
        <v>4.4350000000000023</v>
      </c>
      <c r="S91" s="26">
        <v>6.93</v>
      </c>
      <c r="T91" s="5">
        <v>1521.3</v>
      </c>
      <c r="U91" s="5"/>
      <c r="V91" s="5"/>
      <c r="W91" s="5"/>
      <c r="X91" s="5">
        <v>1521.3</v>
      </c>
      <c r="Y91" s="5">
        <v>6.51</v>
      </c>
      <c r="Z91" s="27">
        <f t="shared" si="19"/>
        <v>-0.41999999999999993</v>
      </c>
      <c r="AA91" s="22">
        <f t="shared" si="20"/>
        <v>3.9</v>
      </c>
      <c r="AB91" s="19"/>
    </row>
    <row r="92" spans="2:28" ht="15" customHeight="1" x14ac:dyDescent="0.35">
      <c r="B92">
        <v>90</v>
      </c>
      <c r="C92" s="28">
        <v>5</v>
      </c>
      <c r="D92" s="28">
        <v>2</v>
      </c>
      <c r="E92" s="27">
        <f t="shared" si="12"/>
        <v>1000</v>
      </c>
      <c r="F92" s="29">
        <v>5000</v>
      </c>
      <c r="G92" s="30">
        <f t="shared" si="22"/>
        <v>11.80625</v>
      </c>
      <c r="H92" s="30">
        <f t="shared" si="23"/>
        <v>0.69374999999999998</v>
      </c>
      <c r="I92" s="30">
        <f t="shared" si="13"/>
        <v>10</v>
      </c>
      <c r="J92" s="5">
        <f t="shared" si="14"/>
        <v>2.5</v>
      </c>
      <c r="K92" s="5">
        <v>219</v>
      </c>
      <c r="L92" s="5">
        <v>218</v>
      </c>
      <c r="M92" s="5"/>
      <c r="N92" s="5"/>
      <c r="O92" s="5">
        <f t="shared" si="18"/>
        <v>218.5</v>
      </c>
      <c r="P92" s="5">
        <v>5655</v>
      </c>
      <c r="Q92" s="26"/>
      <c r="R92" s="26">
        <f t="shared" si="21"/>
        <v>13.100000000000001</v>
      </c>
      <c r="S92" s="26">
        <v>7.9</v>
      </c>
      <c r="T92" s="5">
        <v>4689.1000000000004</v>
      </c>
      <c r="U92" s="5"/>
      <c r="V92" s="5"/>
      <c r="W92" s="5"/>
      <c r="X92" s="5">
        <v>4689.1000000000004</v>
      </c>
      <c r="Y92" s="5">
        <v>6.49</v>
      </c>
      <c r="Z92" s="27">
        <f t="shared" si="19"/>
        <v>-1.4100000000000001</v>
      </c>
      <c r="AA92" s="22">
        <f t="shared" si="20"/>
        <v>9.6589999999999971</v>
      </c>
      <c r="AB92" s="19"/>
    </row>
    <row r="93" spans="2:28" ht="18.75" customHeight="1" x14ac:dyDescent="0.35">
      <c r="B93">
        <v>91</v>
      </c>
      <c r="C93" s="28">
        <v>5</v>
      </c>
      <c r="D93" s="28">
        <v>5</v>
      </c>
      <c r="E93" s="27">
        <f t="shared" si="12"/>
        <v>2500</v>
      </c>
      <c r="F93" s="29">
        <v>200</v>
      </c>
      <c r="G93" s="30">
        <f t="shared" si="22"/>
        <v>10.765625</v>
      </c>
      <c r="H93" s="30">
        <f t="shared" si="23"/>
        <v>1.7343750000000002</v>
      </c>
      <c r="I93" s="30">
        <f t="shared" si="13"/>
        <v>12.4</v>
      </c>
      <c r="J93" s="5">
        <f t="shared" si="14"/>
        <v>0.1</v>
      </c>
      <c r="K93" s="5">
        <v>15.2</v>
      </c>
      <c r="L93" s="5">
        <v>15</v>
      </c>
      <c r="M93" s="5"/>
      <c r="N93" s="5"/>
      <c r="O93" s="5">
        <f t="shared" si="18"/>
        <v>15.1</v>
      </c>
      <c r="P93" s="5">
        <v>188.9</v>
      </c>
      <c r="Q93" s="26"/>
      <c r="R93" s="26">
        <f t="shared" si="21"/>
        <v>5.5499999999999972</v>
      </c>
      <c r="S93" s="26">
        <v>5.5</v>
      </c>
      <c r="T93" s="5"/>
      <c r="U93" s="5"/>
      <c r="V93" s="5">
        <v>0</v>
      </c>
      <c r="W93" s="5"/>
      <c r="X93" s="5">
        <v>6</v>
      </c>
      <c r="Y93" s="5">
        <v>6.16</v>
      </c>
      <c r="Z93" s="27">
        <f t="shared" si="19"/>
        <v>0.66000000000000014</v>
      </c>
      <c r="AA93" s="22">
        <f t="shared" si="20"/>
        <v>1.829</v>
      </c>
      <c r="AB93" s="19"/>
    </row>
    <row r="94" spans="2:28" ht="18.75" customHeight="1" x14ac:dyDescent="0.35">
      <c r="B94">
        <v>92</v>
      </c>
      <c r="C94" s="28">
        <v>5</v>
      </c>
      <c r="D94" s="28">
        <v>5</v>
      </c>
      <c r="E94" s="27">
        <f t="shared" si="12"/>
        <v>2500</v>
      </c>
      <c r="F94" s="29">
        <v>500</v>
      </c>
      <c r="G94" s="30">
        <f t="shared" si="22"/>
        <v>10.765625</v>
      </c>
      <c r="H94" s="30">
        <f t="shared" si="23"/>
        <v>1.7343750000000002</v>
      </c>
      <c r="I94" s="30">
        <f t="shared" si="13"/>
        <v>12.25</v>
      </c>
      <c r="J94" s="5">
        <f t="shared" si="14"/>
        <v>0.25</v>
      </c>
      <c r="K94" s="5">
        <v>37.9</v>
      </c>
      <c r="L94" s="5">
        <v>37</v>
      </c>
      <c r="M94" s="5"/>
      <c r="N94" s="5"/>
      <c r="O94" s="5">
        <f t="shared" si="18"/>
        <v>37.450000000000003</v>
      </c>
      <c r="P94" s="5">
        <v>490</v>
      </c>
      <c r="Q94" s="26"/>
      <c r="R94" s="26">
        <f t="shared" si="21"/>
        <v>2</v>
      </c>
      <c r="S94" s="26">
        <v>5.75</v>
      </c>
      <c r="T94" s="5">
        <v>363.8</v>
      </c>
      <c r="U94" s="5"/>
      <c r="V94" s="5">
        <f>0.19*250</f>
        <v>47.5</v>
      </c>
      <c r="W94" s="5"/>
      <c r="X94" s="5">
        <v>363.8</v>
      </c>
      <c r="Y94" s="5">
        <v>6.54</v>
      </c>
      <c r="Z94" s="27">
        <f t="shared" si="19"/>
        <v>0.79</v>
      </c>
      <c r="AA94" s="22">
        <f t="shared" si="20"/>
        <v>1.262</v>
      </c>
      <c r="AB94" s="19"/>
    </row>
    <row r="95" spans="2:28" ht="18.75" customHeight="1" x14ac:dyDescent="0.35">
      <c r="B95">
        <v>93</v>
      </c>
      <c r="C95" s="28">
        <v>5</v>
      </c>
      <c r="D95" s="28">
        <v>5</v>
      </c>
      <c r="E95" s="27">
        <f t="shared" si="12"/>
        <v>2500</v>
      </c>
      <c r="F95" s="29">
        <v>1000</v>
      </c>
      <c r="G95" s="30">
        <f t="shared" si="22"/>
        <v>10.765625</v>
      </c>
      <c r="H95" s="30">
        <f t="shared" si="23"/>
        <v>1.7343750000000002</v>
      </c>
      <c r="I95" s="30">
        <f t="shared" si="13"/>
        <v>12</v>
      </c>
      <c r="J95" s="5">
        <f t="shared" si="14"/>
        <v>0.5</v>
      </c>
      <c r="K95" s="5">
        <v>70.2</v>
      </c>
      <c r="L95" s="5">
        <v>70.099999999999994</v>
      </c>
      <c r="M95" s="5"/>
      <c r="N95" s="5"/>
      <c r="O95" s="5">
        <f t="shared" si="18"/>
        <v>70.150000000000006</v>
      </c>
      <c r="P95" s="5">
        <v>1038</v>
      </c>
      <c r="Q95" s="26"/>
      <c r="R95" s="26">
        <f t="shared" si="21"/>
        <v>3.8</v>
      </c>
      <c r="S95" s="26">
        <v>5.82</v>
      </c>
      <c r="T95" s="5">
        <v>629.4</v>
      </c>
      <c r="U95" s="5"/>
      <c r="V95" s="5"/>
      <c r="W95" s="5"/>
      <c r="X95" s="5">
        <v>629.4</v>
      </c>
      <c r="Y95" s="5">
        <v>5.04</v>
      </c>
      <c r="Z95" s="27">
        <f t="shared" si="19"/>
        <v>-0.78000000000000025</v>
      </c>
      <c r="AA95" s="22">
        <f t="shared" si="20"/>
        <v>4.0860000000000003</v>
      </c>
      <c r="AB95" s="19"/>
    </row>
    <row r="96" spans="2:28" ht="18.75" customHeight="1" x14ac:dyDescent="0.35">
      <c r="B96">
        <v>94</v>
      </c>
      <c r="C96" s="28">
        <v>5</v>
      </c>
      <c r="D96" s="28">
        <v>5</v>
      </c>
      <c r="E96" s="27">
        <f t="shared" si="12"/>
        <v>2500</v>
      </c>
      <c r="F96" s="29">
        <v>2000</v>
      </c>
      <c r="G96" s="30">
        <f t="shared" si="22"/>
        <v>10.765625</v>
      </c>
      <c r="H96" s="30">
        <f t="shared" si="23"/>
        <v>1.7343750000000002</v>
      </c>
      <c r="I96" s="30">
        <f t="shared" si="13"/>
        <v>11.5</v>
      </c>
      <c r="J96" s="5">
        <f t="shared" si="14"/>
        <v>1</v>
      </c>
      <c r="K96" s="5">
        <v>114</v>
      </c>
      <c r="L96" s="5">
        <v>113</v>
      </c>
      <c r="M96" s="5"/>
      <c r="N96" s="5"/>
      <c r="O96" s="5">
        <f t="shared" si="18"/>
        <v>113.5</v>
      </c>
      <c r="P96" s="5">
        <v>1931.1</v>
      </c>
      <c r="Q96" s="26"/>
      <c r="R96" s="26">
        <f t="shared" si="21"/>
        <v>3.4450000000000043</v>
      </c>
      <c r="S96" s="26">
        <v>7.03</v>
      </c>
      <c r="T96" s="5">
        <v>1605</v>
      </c>
      <c r="U96" s="5"/>
      <c r="V96" s="5"/>
      <c r="W96" s="5"/>
      <c r="X96" s="5">
        <v>1605</v>
      </c>
      <c r="Y96" s="5">
        <v>6.41</v>
      </c>
      <c r="Z96" s="27">
        <f t="shared" si="19"/>
        <v>-0.62000000000000011</v>
      </c>
      <c r="AA96" s="22">
        <f t="shared" si="20"/>
        <v>3.2609999999999992</v>
      </c>
      <c r="AB96" s="19"/>
    </row>
    <row r="97" spans="2:28" ht="18.75" customHeight="1" x14ac:dyDescent="0.35">
      <c r="B97">
        <v>95</v>
      </c>
      <c r="C97" s="28">
        <v>5</v>
      </c>
      <c r="D97" s="28">
        <v>5</v>
      </c>
      <c r="E97" s="27">
        <f t="shared" si="12"/>
        <v>2500</v>
      </c>
      <c r="F97" s="29">
        <v>5000</v>
      </c>
      <c r="G97" s="30">
        <f t="shared" si="22"/>
        <v>10.765625</v>
      </c>
      <c r="H97" s="30">
        <f t="shared" si="23"/>
        <v>1.7343750000000002</v>
      </c>
      <c r="I97" s="30">
        <f t="shared" si="13"/>
        <v>10</v>
      </c>
      <c r="J97" s="5">
        <f t="shared" si="14"/>
        <v>2.5</v>
      </c>
      <c r="K97" s="5">
        <v>157</v>
      </c>
      <c r="L97" s="5">
        <v>157</v>
      </c>
      <c r="M97" s="5"/>
      <c r="N97" s="5"/>
      <c r="O97" s="5">
        <f t="shared" si="18"/>
        <v>157</v>
      </c>
      <c r="P97" s="5">
        <v>5108</v>
      </c>
      <c r="Q97" s="26"/>
      <c r="R97" s="26">
        <f t="shared" si="21"/>
        <v>2.16</v>
      </c>
      <c r="S97" s="26">
        <v>7.84</v>
      </c>
      <c r="T97" s="5">
        <v>3935.1</v>
      </c>
      <c r="U97" s="5"/>
      <c r="V97" s="5"/>
      <c r="W97" s="5"/>
      <c r="X97" s="5">
        <v>3935.1</v>
      </c>
      <c r="Y97" s="5">
        <v>7</v>
      </c>
      <c r="Z97" s="27">
        <f t="shared" si="19"/>
        <v>-0.83999999999999986</v>
      </c>
      <c r="AA97" s="22">
        <f t="shared" si="20"/>
        <v>11.728999999999999</v>
      </c>
      <c r="AB97" s="19"/>
    </row>
    <row r="98" spans="2:28" ht="15" customHeight="1" x14ac:dyDescent="0.35">
      <c r="B98">
        <v>96</v>
      </c>
      <c r="C98" s="28">
        <v>5</v>
      </c>
      <c r="D98" s="28">
        <v>10</v>
      </c>
      <c r="E98" s="27">
        <f t="shared" si="12"/>
        <v>5000</v>
      </c>
      <c r="F98" s="29">
        <v>200</v>
      </c>
      <c r="G98" s="30">
        <f t="shared" si="22"/>
        <v>9.03125</v>
      </c>
      <c r="H98" s="30">
        <f t="shared" si="23"/>
        <v>3.4687500000000004</v>
      </c>
      <c r="I98" s="30">
        <f t="shared" si="13"/>
        <v>12.4</v>
      </c>
      <c r="J98" s="5">
        <f t="shared" si="14"/>
        <v>0.1</v>
      </c>
      <c r="K98" s="5">
        <v>16.600000000000001</v>
      </c>
      <c r="L98" s="5">
        <v>16.399999999999999</v>
      </c>
      <c r="M98" s="5"/>
      <c r="N98" s="5"/>
      <c r="O98" s="5">
        <f t="shared" si="18"/>
        <v>16.5</v>
      </c>
      <c r="P98" s="5">
        <v>225.7</v>
      </c>
      <c r="Q98" s="26"/>
      <c r="R98" s="26">
        <f t="shared" si="21"/>
        <v>12.849999999999994</v>
      </c>
      <c r="S98" s="26">
        <v>5.77</v>
      </c>
      <c r="T98" s="5"/>
      <c r="U98" s="5"/>
      <c r="V98" s="27">
        <v>0</v>
      </c>
      <c r="W98" s="27"/>
      <c r="X98" s="27">
        <v>6</v>
      </c>
      <c r="Y98" s="5">
        <v>5.87</v>
      </c>
      <c r="Z98" s="27">
        <f t="shared" si="19"/>
        <v>0.10000000000000053</v>
      </c>
      <c r="AA98" s="22">
        <f t="shared" si="20"/>
        <v>2.1970000000000001</v>
      </c>
      <c r="AB98" s="19"/>
    </row>
    <row r="99" spans="2:28" ht="15" customHeight="1" x14ac:dyDescent="0.35">
      <c r="B99">
        <v>97</v>
      </c>
      <c r="C99" s="28">
        <v>5</v>
      </c>
      <c r="D99" s="28">
        <v>10</v>
      </c>
      <c r="E99" s="27">
        <f t="shared" si="12"/>
        <v>5000</v>
      </c>
      <c r="F99" s="29">
        <v>500</v>
      </c>
      <c r="G99" s="30">
        <f t="shared" si="22"/>
        <v>9.03125</v>
      </c>
      <c r="H99" s="30">
        <f t="shared" si="23"/>
        <v>3.4687500000000004</v>
      </c>
      <c r="I99" s="30">
        <f>F$1-G99-H99-J99</f>
        <v>12.25</v>
      </c>
      <c r="J99" s="5">
        <f t="shared" si="14"/>
        <v>0.25</v>
      </c>
      <c r="K99" s="5">
        <v>50</v>
      </c>
      <c r="L99" s="5">
        <v>49.1</v>
      </c>
      <c r="M99" s="5"/>
      <c r="N99" s="5"/>
      <c r="O99" s="5">
        <f t="shared" si="18"/>
        <v>49.55</v>
      </c>
      <c r="P99" s="5">
        <v>457.2</v>
      </c>
      <c r="Q99" s="26"/>
      <c r="R99" s="26">
        <f t="shared" si="21"/>
        <v>8.5600000000000023</v>
      </c>
      <c r="S99" s="26">
        <v>5.96</v>
      </c>
      <c r="T99" s="5"/>
      <c r="U99" s="5"/>
      <c r="V99" s="27">
        <f>0.12*250</f>
        <v>30</v>
      </c>
      <c r="W99" s="27"/>
      <c r="X99" s="27">
        <v>54</v>
      </c>
      <c r="Y99" s="5">
        <v>6.3</v>
      </c>
      <c r="Z99" s="27">
        <f t="shared" si="19"/>
        <v>0.33999999999999986</v>
      </c>
      <c r="AA99" s="22">
        <f t="shared" si="20"/>
        <v>4.032</v>
      </c>
      <c r="AB99" s="19"/>
    </row>
    <row r="100" spans="2:28" ht="15" customHeight="1" x14ac:dyDescent="0.35">
      <c r="B100">
        <v>98</v>
      </c>
      <c r="C100" s="28">
        <v>5</v>
      </c>
      <c r="D100" s="28">
        <v>10</v>
      </c>
      <c r="E100" s="27">
        <f t="shared" si="12"/>
        <v>5000</v>
      </c>
      <c r="F100" s="29">
        <v>1000</v>
      </c>
      <c r="G100" s="30">
        <f t="shared" si="22"/>
        <v>9.03125</v>
      </c>
      <c r="H100" s="30">
        <f t="shared" si="23"/>
        <v>3.4687500000000004</v>
      </c>
      <c r="I100" s="30">
        <f>F$1-G100-H100-J100</f>
        <v>12</v>
      </c>
      <c r="J100" s="5">
        <f t="shared" si="14"/>
        <v>0.5</v>
      </c>
      <c r="K100" s="5">
        <v>82.6</v>
      </c>
      <c r="L100" s="5">
        <v>83.3</v>
      </c>
      <c r="M100" s="5"/>
      <c r="N100" s="5"/>
      <c r="O100" s="5">
        <f t="shared" si="18"/>
        <v>82.949999999999989</v>
      </c>
      <c r="P100" s="5">
        <v>1186.8</v>
      </c>
      <c r="Q100" s="26"/>
      <c r="R100" s="26">
        <f t="shared" si="21"/>
        <v>18.679999999999996</v>
      </c>
      <c r="S100" s="26">
        <v>5.96</v>
      </c>
      <c r="T100" s="5">
        <v>885.5</v>
      </c>
      <c r="U100" s="5"/>
      <c r="V100" s="27"/>
      <c r="W100" s="27"/>
      <c r="X100" s="27">
        <v>885.5</v>
      </c>
      <c r="Y100" s="5">
        <v>6.14</v>
      </c>
      <c r="Z100" s="27">
        <f t="shared" si="19"/>
        <v>0.17999999999999972</v>
      </c>
      <c r="AA100" s="22">
        <f t="shared" si="20"/>
        <v>3.0129999999999995</v>
      </c>
      <c r="AB100" s="19"/>
    </row>
    <row r="101" spans="2:28" ht="15" customHeight="1" x14ac:dyDescent="0.35">
      <c r="B101">
        <v>99</v>
      </c>
      <c r="C101" s="28">
        <v>5</v>
      </c>
      <c r="D101" s="28">
        <v>10</v>
      </c>
      <c r="E101" s="27">
        <f t="shared" si="12"/>
        <v>5000</v>
      </c>
      <c r="F101" s="29">
        <v>2000</v>
      </c>
      <c r="G101" s="30">
        <f t="shared" si="22"/>
        <v>9.03125</v>
      </c>
      <c r="H101" s="30">
        <f t="shared" si="23"/>
        <v>3.4687500000000004</v>
      </c>
      <c r="I101" s="30">
        <f>F$1-G101-H101-J101</f>
        <v>11.5</v>
      </c>
      <c r="J101" s="5">
        <f t="shared" si="14"/>
        <v>1</v>
      </c>
      <c r="K101" s="5">
        <v>182</v>
      </c>
      <c r="L101" s="5">
        <v>179</v>
      </c>
      <c r="M101" s="5"/>
      <c r="N101" s="5"/>
      <c r="O101" s="5">
        <f>AVERAGE(K101:N101)</f>
        <v>180.5</v>
      </c>
      <c r="P101" s="5">
        <v>1947.64</v>
      </c>
      <c r="Q101" s="26"/>
      <c r="R101" s="26">
        <f>ABS((F101-P101)/F101)*100</f>
        <v>2.617999999999995</v>
      </c>
      <c r="S101" s="26">
        <v>6</v>
      </c>
      <c r="T101" s="5">
        <v>1862.4</v>
      </c>
      <c r="U101" s="5">
        <v>1773.1</v>
      </c>
      <c r="V101" s="27"/>
      <c r="W101" s="27"/>
      <c r="X101" s="27">
        <v>1817.75</v>
      </c>
      <c r="Y101" s="5">
        <v>6.09</v>
      </c>
      <c r="Z101" s="27">
        <f t="shared" si="19"/>
        <v>8.9999999999999858E-2</v>
      </c>
      <c r="AA101" s="22">
        <f t="shared" si="20"/>
        <v>1.2989000000000011</v>
      </c>
      <c r="AB101" s="19"/>
    </row>
    <row r="102" spans="2:28" ht="15" customHeight="1" x14ac:dyDescent="0.35">
      <c r="B102">
        <v>100</v>
      </c>
      <c r="C102" s="28">
        <v>5</v>
      </c>
      <c r="D102" s="28">
        <v>10</v>
      </c>
      <c r="E102" s="27">
        <f t="shared" si="12"/>
        <v>5000</v>
      </c>
      <c r="F102" s="29">
        <v>5000</v>
      </c>
      <c r="G102" s="30">
        <f t="shared" si="22"/>
        <v>9.03125</v>
      </c>
      <c r="H102" s="30">
        <f t="shared" si="23"/>
        <v>3.4687500000000004</v>
      </c>
      <c r="I102" s="30">
        <f>F$1-G102-H102-J102</f>
        <v>10</v>
      </c>
      <c r="J102" s="5">
        <f t="shared" si="14"/>
        <v>2.5</v>
      </c>
      <c r="K102" s="5">
        <v>221</v>
      </c>
      <c r="L102" s="5">
        <v>220</v>
      </c>
      <c r="M102" s="5"/>
      <c r="N102" s="5"/>
      <c r="O102" s="5">
        <f t="shared" si="18"/>
        <v>220.5</v>
      </c>
      <c r="P102" s="5">
        <v>5190.3999999999996</v>
      </c>
      <c r="Q102" s="26"/>
      <c r="R102" s="26">
        <f t="shared" si="21"/>
        <v>3.8079999999999927</v>
      </c>
      <c r="S102" s="26">
        <v>5.95</v>
      </c>
      <c r="T102" s="5">
        <v>3375</v>
      </c>
      <c r="U102" s="5"/>
      <c r="V102" s="27"/>
      <c r="W102" s="27"/>
      <c r="X102" s="27">
        <v>3375</v>
      </c>
      <c r="Y102" s="5">
        <v>6.1</v>
      </c>
      <c r="Z102" s="27">
        <f t="shared" si="19"/>
        <v>0.14999999999999947</v>
      </c>
      <c r="AA102" s="22">
        <f t="shared" si="20"/>
        <v>18.153999999999996</v>
      </c>
      <c r="AB102" s="19"/>
    </row>
    <row r="103" spans="2:28" x14ac:dyDescent="0.3">
      <c r="AA103" s="19"/>
    </row>
  </sheetData>
  <autoFilter ref="C2:F102" xr:uid="{00000000-0009-0000-0000-000000000000}"/>
  <mergeCells count="2">
    <mergeCell ref="P1:S1"/>
    <mergeCell ref="T1:Y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9</v>
      </c>
      <c r="B1" s="72" t="s">
        <v>59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laboratorio'!X43</f>
        <v>126</v>
      </c>
      <c r="C4" s="37">
        <f>'Datos de laboratorio'!AA43</f>
        <v>1.081</v>
      </c>
      <c r="D4" s="5">
        <v>0</v>
      </c>
      <c r="E4" s="47">
        <f t="shared" si="0"/>
        <v>0</v>
      </c>
      <c r="F4" s="42">
        <f t="shared" si="1"/>
        <v>0</v>
      </c>
      <c r="G4" s="42">
        <f t="shared" si="2"/>
        <v>0</v>
      </c>
      <c r="H4" s="42">
        <f t="shared" si="3"/>
        <v>0</v>
      </c>
      <c r="I4" s="42">
        <f t="shared" si="3"/>
        <v>0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laboratorio'!X44</f>
        <v>445.3</v>
      </c>
      <c r="C5" s="37">
        <f>'Datos de laboratorio'!AA44</f>
        <v>1.0540000000000005</v>
      </c>
      <c r="D5" s="5">
        <v>1</v>
      </c>
      <c r="E5" s="47">
        <f t="shared" si="0"/>
        <v>2.2456770716370983E-3</v>
      </c>
      <c r="F5" s="42">
        <f t="shared" si="1"/>
        <v>0.9487666034155593</v>
      </c>
      <c r="G5" s="5">
        <f t="shared" si="2"/>
        <v>2.1306234076253292E-3</v>
      </c>
      <c r="H5" s="5">
        <f t="shared" si="3"/>
        <v>5.0430655100765731E-6</v>
      </c>
      <c r="I5" s="5">
        <f t="shared" si="3"/>
        <v>0.90015806775669716</v>
      </c>
      <c r="S5">
        <f t="shared" ref="S5:S10" si="4">B3</f>
        <v>9.9999999999999995E-7</v>
      </c>
      <c r="T5" s="26">
        <f t="shared" ref="T5:T10" si="5">(($F$19*$F$20)*S5)/(1+$F$20*S5)</f>
        <v>2.6231743494751621E-9</v>
      </c>
    </row>
    <row r="6" spans="1:20" x14ac:dyDescent="0.3">
      <c r="A6" s="41">
        <v>3</v>
      </c>
      <c r="B6" s="26">
        <f>'Datos de laboratorio'!X45</f>
        <v>921.8</v>
      </c>
      <c r="C6" s="37">
        <f>'Datos de laboratorio'!AA45</f>
        <v>2.2370000000000005</v>
      </c>
      <c r="D6" s="5">
        <v>1</v>
      </c>
      <c r="E6" s="47">
        <f t="shared" si="0"/>
        <v>1.0848340203948796E-3</v>
      </c>
      <c r="F6" s="42">
        <f t="shared" si="1"/>
        <v>0.44702726866338838</v>
      </c>
      <c r="G6" s="5">
        <f t="shared" si="2"/>
        <v>4.8495038909024559E-4</v>
      </c>
      <c r="H6" s="5">
        <f t="shared" si="3"/>
        <v>1.1768648518061181E-6</v>
      </c>
      <c r="I6" s="5">
        <f t="shared" si="3"/>
        <v>0.19983337892864922</v>
      </c>
      <c r="S6" s="26">
        <f t="shared" si="4"/>
        <v>126</v>
      </c>
      <c r="T6" s="26">
        <f t="shared" si="5"/>
        <v>0.32295206134501753</v>
      </c>
    </row>
    <row r="7" spans="1:20" x14ac:dyDescent="0.3">
      <c r="A7" s="41">
        <v>4</v>
      </c>
      <c r="B7" s="26">
        <f>'Datos de laboratorio'!X46</f>
        <v>1883.9</v>
      </c>
      <c r="C7" s="37">
        <f>'Datos de laboratorio'!AA46</f>
        <v>4.2640000000000011</v>
      </c>
      <c r="D7" s="5">
        <v>1</v>
      </c>
      <c r="E7" s="47">
        <f t="shared" si="0"/>
        <v>5.308137374595254E-4</v>
      </c>
      <c r="F7" s="42">
        <f t="shared" si="1"/>
        <v>0.23452157598499057</v>
      </c>
      <c r="G7" s="5">
        <f t="shared" si="2"/>
        <v>1.2448727426349094E-4</v>
      </c>
      <c r="H7" s="5">
        <f t="shared" si="3"/>
        <v>2.8176322387574995E-7</v>
      </c>
      <c r="I7" s="5">
        <f t="shared" si="3"/>
        <v>5.5000369602483709E-2</v>
      </c>
      <c r="S7" s="26">
        <f t="shared" si="4"/>
        <v>445.3</v>
      </c>
      <c r="T7" s="26">
        <f t="shared" si="5"/>
        <v>1.0787598112731531</v>
      </c>
    </row>
    <row r="8" spans="1:20" ht="15" thickBot="1" x14ac:dyDescent="0.35">
      <c r="A8" s="41">
        <v>5</v>
      </c>
      <c r="B8" s="26">
        <f>'Datos de laboratorio'!X47</f>
        <v>4435.2</v>
      </c>
      <c r="C8" s="37">
        <f>'Datos de laboratorio'!AA47</f>
        <v>4.7340000000000053</v>
      </c>
      <c r="D8" s="48">
        <v>1</v>
      </c>
      <c r="E8" s="49">
        <f t="shared" si="0"/>
        <v>2.2546897546897547E-4</v>
      </c>
      <c r="F8" s="50">
        <f t="shared" si="1"/>
        <v>0.21123785382340493</v>
      </c>
      <c r="G8" s="48">
        <f t="shared" si="2"/>
        <v>4.7627582481828311E-5</v>
      </c>
      <c r="H8" s="48">
        <f t="shared" si="3"/>
        <v>5.0836258899029463E-8</v>
      </c>
      <c r="I8" s="48">
        <f t="shared" si="3"/>
        <v>4.4621430887918187E-2</v>
      </c>
      <c r="S8" s="26">
        <f t="shared" si="4"/>
        <v>921.8</v>
      </c>
      <c r="T8" s="26">
        <f t="shared" si="5"/>
        <v>2.0641679208663999</v>
      </c>
    </row>
    <row r="9" spans="1:20" ht="15" thickBot="1" x14ac:dyDescent="0.35">
      <c r="D9" s="51" t="s">
        <v>30</v>
      </c>
      <c r="E9" s="52">
        <f>SUM(E3:E8)</f>
        <v>4.0867938049604785E-3</v>
      </c>
      <c r="F9" s="53">
        <f>SUM(F3:F8)</f>
        <v>1.8415533018873431</v>
      </c>
      <c r="G9" s="53">
        <f>SUM(G3:G8)</f>
        <v>2.7876886534608939E-3</v>
      </c>
      <c r="H9" s="53">
        <f>SUM(H3:H8)</f>
        <v>6.5525298446574701E-6</v>
      </c>
      <c r="I9" s="54">
        <f>SUM(I3:I8)</f>
        <v>1.1996132471757484</v>
      </c>
      <c r="S9" s="26">
        <f t="shared" si="4"/>
        <v>1883.9</v>
      </c>
      <c r="T9" s="26">
        <f t="shared" si="5"/>
        <v>3.6595923858591406</v>
      </c>
    </row>
    <row r="10" spans="1:20" ht="15" thickBot="1" x14ac:dyDescent="0.35">
      <c r="S10" s="26">
        <f t="shared" si="4"/>
        <v>4435.2</v>
      </c>
      <c r="T10" s="26">
        <f t="shared" si="5"/>
        <v>6.3754486875331668</v>
      </c>
    </row>
    <row r="11" spans="1:20" ht="16.2" thickBot="1" x14ac:dyDescent="0.4">
      <c r="A11" s="43" t="s">
        <v>38</v>
      </c>
      <c r="B11" s="46">
        <v>4</v>
      </c>
      <c r="E11" s="5" t="s">
        <v>33</v>
      </c>
      <c r="F11" s="5">
        <f>E9/B11</f>
        <v>1.0216984512401196E-3</v>
      </c>
      <c r="H11" s="40" t="s">
        <v>35</v>
      </c>
      <c r="I11" s="5">
        <f>SQRT((I9/B11)-(F12^2))</f>
        <v>0.29655674256906733</v>
      </c>
    </row>
    <row r="12" spans="1:20" ht="15.6" x14ac:dyDescent="0.35">
      <c r="A12" s="68">
        <v>1</v>
      </c>
      <c r="E12" s="5" t="s">
        <v>34</v>
      </c>
      <c r="F12" s="5">
        <f>F9/B11</f>
        <v>0.46038832547183578</v>
      </c>
      <c r="H12" s="40" t="s">
        <v>36</v>
      </c>
      <c r="I12" s="5">
        <f>SQRT(F14)</f>
        <v>7.7088568276879313E-4</v>
      </c>
      <c r="T12" t="s">
        <v>47</v>
      </c>
    </row>
    <row r="13" spans="1:20" ht="15.6" x14ac:dyDescent="0.35">
      <c r="E13" s="40" t="s">
        <v>31</v>
      </c>
      <c r="F13" s="5">
        <f>(G9/B11)-(F11*F12)</f>
        <v>2.2654412426161675E-4</v>
      </c>
      <c r="H13" s="55" t="s">
        <v>37</v>
      </c>
      <c r="I13" s="56">
        <f>F13/(I12*I11)</f>
        <v>0.99095747984174387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5.9426473589790834E-7</v>
      </c>
      <c r="H14" s="66" t="s">
        <v>73</v>
      </c>
      <c r="I14" s="67">
        <f>I13^2</f>
        <v>0.98199672685430017</v>
      </c>
      <c r="S14" s="5">
        <f t="shared" si="6"/>
        <v>0</v>
      </c>
      <c r="T14" s="5">
        <f t="shared" si="7"/>
        <v>0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2.3491282042839297</v>
      </c>
    </row>
    <row r="16" spans="1:20" ht="16.2" thickBot="1" x14ac:dyDescent="0.4">
      <c r="E16" s="5" t="s">
        <v>46</v>
      </c>
      <c r="F16" s="5">
        <f>(F13/F14)</f>
        <v>381.21751229158559</v>
      </c>
      <c r="H16" s="35" t="s">
        <v>25</v>
      </c>
      <c r="I16" s="36" t="s">
        <v>42</v>
      </c>
      <c r="S16" s="5">
        <f>D6</f>
        <v>1</v>
      </c>
      <c r="T16" s="5">
        <f t="shared" si="7"/>
        <v>7.7260652272508095</v>
      </c>
    </row>
    <row r="17" spans="1:20" ht="15.6" x14ac:dyDescent="0.35">
      <c r="E17" s="5" t="s">
        <v>40</v>
      </c>
      <c r="F17" s="5">
        <f>(F12-(F16*F11))</f>
        <v>7.0898983577911523E-2</v>
      </c>
      <c r="H17" s="26">
        <f t="shared" ref="H17:H22" si="8">E3</f>
        <v>0</v>
      </c>
      <c r="I17" s="26">
        <f t="shared" ref="I17:I22" si="9">$F$16*H17+$F$17</f>
        <v>7.0898983577911523E-2</v>
      </c>
      <c r="S17" s="5">
        <f>D7</f>
        <v>1</v>
      </c>
      <c r="T17" s="5">
        <f t="shared" si="7"/>
        <v>14.174662620564268</v>
      </c>
    </row>
    <row r="18" spans="1:20" x14ac:dyDescent="0.3">
      <c r="H18" s="26">
        <f t="shared" si="8"/>
        <v>0</v>
      </c>
      <c r="I18" s="26">
        <f t="shared" si="9"/>
        <v>7.0898983577911523E-2</v>
      </c>
      <c r="S18" s="5">
        <f>D8</f>
        <v>1</v>
      </c>
      <c r="T18" s="5">
        <f t="shared" si="7"/>
        <v>34.673609791574982</v>
      </c>
    </row>
    <row r="19" spans="1:20" ht="15.6" x14ac:dyDescent="0.35">
      <c r="E19" s="5" t="s">
        <v>44</v>
      </c>
      <c r="F19" s="5">
        <f>1/F17</f>
        <v>14.104574558549082</v>
      </c>
      <c r="H19" s="26">
        <f t="shared" si="8"/>
        <v>2.2456770716370983E-3</v>
      </c>
      <c r="I19" s="26">
        <f t="shared" si="9"/>
        <v>0.92699041023765893</v>
      </c>
      <c r="S19" s="56" t="s">
        <v>48</v>
      </c>
      <c r="T19" s="56">
        <f>SUM(T13:T18)/B11</f>
        <v>14.730866460918497</v>
      </c>
    </row>
    <row r="20" spans="1:20" ht="15.6" x14ac:dyDescent="0.35">
      <c r="E20" s="5" t="s">
        <v>45</v>
      </c>
      <c r="F20" s="5">
        <f>1/(F19*F16)</f>
        <v>1.8598039516002697E-4</v>
      </c>
      <c r="H20" s="26">
        <f t="shared" si="8"/>
        <v>1.0848340203948796E-3</v>
      </c>
      <c r="I20" s="26">
        <f t="shared" si="9"/>
        <v>0.48445671008212676</v>
      </c>
    </row>
    <row r="21" spans="1:20" x14ac:dyDescent="0.3">
      <c r="H21" s="26">
        <f t="shared" si="8"/>
        <v>5.308137374595254E-4</v>
      </c>
      <c r="I21" s="26">
        <f t="shared" si="9"/>
        <v>0.27325447606243064</v>
      </c>
    </row>
    <row r="22" spans="1:20" x14ac:dyDescent="0.3">
      <c r="H22" s="26">
        <f t="shared" si="8"/>
        <v>2.2546897546897547E-4</v>
      </c>
      <c r="I22" s="26">
        <f t="shared" si="9"/>
        <v>0.15685170550512689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9</v>
      </c>
      <c r="B26" s="72" t="str">
        <f>'10'!B1</f>
        <v>sal=1 dur=2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126</v>
      </c>
      <c r="C29" s="26">
        <f t="shared" si="14"/>
        <v>1.081</v>
      </c>
      <c r="D29" s="61">
        <v>1</v>
      </c>
      <c r="E29" s="47">
        <f t="shared" si="10"/>
        <v>7.9365079365079361E-3</v>
      </c>
      <c r="F29" s="42">
        <f t="shared" si="11"/>
        <v>0.92506938020351526</v>
      </c>
      <c r="G29" s="42">
        <f t="shared" si="12"/>
        <v>7.3418204778056759E-3</v>
      </c>
      <c r="H29" s="42">
        <f t="shared" si="13"/>
        <v>6.2988158226253457E-5</v>
      </c>
      <c r="I29" s="42">
        <f t="shared" si="13"/>
        <v>0.85575335819011589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445.3</v>
      </c>
      <c r="C30" s="26">
        <f t="shared" si="14"/>
        <v>1.0540000000000005</v>
      </c>
      <c r="D30" s="5">
        <v>1</v>
      </c>
      <c r="E30" s="47">
        <f t="shared" si="10"/>
        <v>2.2456770716370983E-3</v>
      </c>
      <c r="F30" s="42">
        <f t="shared" si="11"/>
        <v>0.9487666034155593</v>
      </c>
      <c r="G30" s="5">
        <f t="shared" si="12"/>
        <v>2.1306234076253292E-3</v>
      </c>
      <c r="H30" s="5">
        <f t="shared" si="13"/>
        <v>5.0430655100765731E-6</v>
      </c>
      <c r="I30" s="5">
        <f t="shared" si="13"/>
        <v>0.90015806775669716</v>
      </c>
      <c r="S30" s="26">
        <f t="shared" ref="S30:S35" si="15">B28</f>
        <v>9.9999999999999995E-7</v>
      </c>
      <c r="T30" s="63">
        <f t="shared" ref="T30:T35" si="16">(($F$44*$F$45)*S30)/(1+$F$45*S30)</f>
        <v>9.9999999999999763E-7</v>
      </c>
    </row>
    <row r="31" spans="1:20" x14ac:dyDescent="0.3">
      <c r="A31" s="41">
        <v>3</v>
      </c>
      <c r="B31" s="26">
        <f t="shared" si="14"/>
        <v>921.8</v>
      </c>
      <c r="C31" s="26">
        <f t="shared" si="14"/>
        <v>2.2370000000000005</v>
      </c>
      <c r="D31" s="5">
        <v>1</v>
      </c>
      <c r="E31" s="47">
        <f t="shared" si="10"/>
        <v>1.0848340203948796E-3</v>
      </c>
      <c r="F31" s="42">
        <f t="shared" si="11"/>
        <v>0.44702726866338838</v>
      </c>
      <c r="G31" s="5">
        <f t="shared" si="12"/>
        <v>4.8495038909024559E-4</v>
      </c>
      <c r="H31" s="5">
        <f t="shared" si="13"/>
        <v>1.1768648518061181E-6</v>
      </c>
      <c r="I31" s="5">
        <f t="shared" si="13"/>
        <v>0.19983337892864922</v>
      </c>
      <c r="S31" s="26">
        <f t="shared" si="15"/>
        <v>126</v>
      </c>
      <c r="T31" s="26">
        <f t="shared" si="16"/>
        <v>1.5531971907994337</v>
      </c>
    </row>
    <row r="32" spans="1:20" x14ac:dyDescent="0.3">
      <c r="A32" s="41">
        <v>4</v>
      </c>
      <c r="B32" s="26">
        <f t="shared" si="14"/>
        <v>1883.9</v>
      </c>
      <c r="C32" s="26">
        <f t="shared" si="14"/>
        <v>4.2640000000000011</v>
      </c>
      <c r="D32" s="5">
        <v>1</v>
      </c>
      <c r="E32" s="47">
        <f t="shared" si="10"/>
        <v>5.308137374595254E-4</v>
      </c>
      <c r="F32" s="42">
        <f t="shared" si="11"/>
        <v>0.23452157598499057</v>
      </c>
      <c r="G32" s="5">
        <f t="shared" si="12"/>
        <v>1.2448727426349094E-4</v>
      </c>
      <c r="H32" s="5">
        <f t="shared" si="13"/>
        <v>2.8176322387574995E-7</v>
      </c>
      <c r="I32" s="5">
        <f t="shared" si="13"/>
        <v>5.5000369602483709E-2</v>
      </c>
      <c r="S32" s="26">
        <f t="shared" si="15"/>
        <v>445.3</v>
      </c>
      <c r="T32" s="26">
        <f t="shared" si="16"/>
        <v>1.5670482944627626</v>
      </c>
    </row>
    <row r="33" spans="1:20" ht="15" thickBot="1" x14ac:dyDescent="0.35">
      <c r="A33" s="41">
        <v>5</v>
      </c>
      <c r="B33" s="26">
        <f t="shared" si="14"/>
        <v>4435.2</v>
      </c>
      <c r="C33" s="26">
        <f t="shared" si="14"/>
        <v>4.7340000000000053</v>
      </c>
      <c r="D33" s="48">
        <v>0</v>
      </c>
      <c r="E33" s="49">
        <f t="shared" si="10"/>
        <v>0</v>
      </c>
      <c r="F33" s="50">
        <f t="shared" si="11"/>
        <v>0</v>
      </c>
      <c r="G33" s="48">
        <f t="shared" si="12"/>
        <v>0</v>
      </c>
      <c r="H33" s="48">
        <f t="shared" si="13"/>
        <v>0</v>
      </c>
      <c r="I33" s="48">
        <f t="shared" si="13"/>
        <v>0</v>
      </c>
      <c r="S33" s="26">
        <f t="shared" si="15"/>
        <v>921.8</v>
      </c>
      <c r="T33" s="26">
        <f t="shared" si="16"/>
        <v>1.5699041006806209</v>
      </c>
    </row>
    <row r="34" spans="1:20" ht="15" thickBot="1" x14ac:dyDescent="0.35">
      <c r="D34" s="51" t="s">
        <v>30</v>
      </c>
      <c r="E34" s="52">
        <f>SUM(E28:E33)</f>
        <v>1000000.0117978327</v>
      </c>
      <c r="F34" s="53">
        <f>SUM(F28:F33)</f>
        <v>1000002.5553848282</v>
      </c>
      <c r="G34" s="53">
        <f>SUM(G28:G33)</f>
        <v>1000000000000.01</v>
      </c>
      <c r="H34" s="53">
        <f>SUM(H28:H33)</f>
        <v>1000000000000.0001</v>
      </c>
      <c r="I34" s="54">
        <f>SUM(I28:I33)</f>
        <v>1000000000002.0107</v>
      </c>
      <c r="S34" s="26">
        <f t="shared" si="15"/>
        <v>1883.9</v>
      </c>
      <c r="T34" s="26">
        <f t="shared" si="16"/>
        <v>1.571270726217832</v>
      </c>
    </row>
    <row r="35" spans="1:20" ht="15" thickBot="1" x14ac:dyDescent="0.35">
      <c r="S35" s="26">
        <f t="shared" si="15"/>
        <v>4435.2</v>
      </c>
      <c r="T35" s="26">
        <f t="shared" si="16"/>
        <v>1.57202495074654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200000.00235956654</v>
      </c>
      <c r="H36" s="40" t="s">
        <v>35</v>
      </c>
      <c r="I36" s="5">
        <f>SQRT((I34/B36)-(F37^2))</f>
        <v>399999.74446161179</v>
      </c>
    </row>
    <row r="37" spans="1:20" ht="15.6" x14ac:dyDescent="0.35">
      <c r="A37" s="60" t="s">
        <v>50</v>
      </c>
      <c r="E37" s="5" t="s">
        <v>34</v>
      </c>
      <c r="F37" s="5">
        <f>F34/B36</f>
        <v>200000.51107696566</v>
      </c>
      <c r="H37" s="40" t="s">
        <v>36</v>
      </c>
      <c r="I37" s="5">
        <f>SQRT(F39)</f>
        <v>399999.99882021674</v>
      </c>
      <c r="T37" t="s">
        <v>47</v>
      </c>
    </row>
    <row r="38" spans="1:20" ht="15.6" x14ac:dyDescent="0.35">
      <c r="A38" s="60">
        <v>5</v>
      </c>
      <c r="E38" s="40" t="s">
        <v>31</v>
      </c>
      <c r="F38" s="5">
        <f>(G34/B36)-(F36*F37)</f>
        <v>159999897312.69437</v>
      </c>
      <c r="H38" s="55" t="s">
        <v>37</v>
      </c>
      <c r="I38" s="56">
        <f>F38/(I37*I36)</f>
        <v>0.99999999999976652</v>
      </c>
      <c r="S38" s="5">
        <f t="shared" ref="S38:S43" si="17">D28</f>
        <v>1</v>
      </c>
      <c r="T38" s="5">
        <f t="shared" ref="T38:T43" si="18">(ABS((C28-T30)/C28)*100)*S38</f>
        <v>2.3293406049493259E-13</v>
      </c>
    </row>
    <row r="39" spans="1:20" ht="16.8" x14ac:dyDescent="0.35">
      <c r="E39" s="5" t="s">
        <v>32</v>
      </c>
      <c r="F39" s="5">
        <f>(H34/B36)-(F36^2)</f>
        <v>159999999056.1734</v>
      </c>
      <c r="S39" s="5">
        <f t="shared" si="17"/>
        <v>1</v>
      </c>
      <c r="T39" s="5">
        <f t="shared" si="18"/>
        <v>43.681516262667323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48.676308772558052</v>
      </c>
    </row>
    <row r="41" spans="1:20" ht="16.2" thickBot="1" x14ac:dyDescent="0.4">
      <c r="E41" s="5" t="s">
        <v>46</v>
      </c>
      <c r="F41" s="5">
        <f>(F38/F39)</f>
        <v>0.9999993641032523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29.8210057809289</v>
      </c>
    </row>
    <row r="42" spans="1:20" ht="15.6" x14ac:dyDescent="0.35">
      <c r="E42" s="5" t="s">
        <v>40</v>
      </c>
      <c r="F42" s="5">
        <f>(F37-(F41*F36))</f>
        <v>0.63589675017283298</v>
      </c>
      <c r="H42" s="26">
        <f>E29</f>
        <v>7.9365079365079361E-3</v>
      </c>
      <c r="I42" s="26">
        <f>$F$41*H42+$F$42</f>
        <v>0.64383325306254136</v>
      </c>
      <c r="S42" s="5">
        <f t="shared" si="17"/>
        <v>1</v>
      </c>
      <c r="T42" s="5">
        <f t="shared" si="18"/>
        <v>63.15031129883134</v>
      </c>
    </row>
    <row r="43" spans="1:20" x14ac:dyDescent="0.3">
      <c r="H43" s="26">
        <f>E30</f>
        <v>2.2456770716370983E-3</v>
      </c>
      <c r="I43" s="26">
        <f>$F$41*H43+$F$42</f>
        <v>0.63814242581645131</v>
      </c>
      <c r="S43" s="5">
        <f t="shared" si="17"/>
        <v>0</v>
      </c>
      <c r="T43" s="5">
        <f t="shared" si="18"/>
        <v>0</v>
      </c>
    </row>
    <row r="44" spans="1:20" ht="15.6" x14ac:dyDescent="0.35">
      <c r="E44" s="5" t="s">
        <v>44</v>
      </c>
      <c r="F44" s="5">
        <f>1/F42</f>
        <v>1.5725823409668407</v>
      </c>
      <c r="H44" s="26">
        <f>E31</f>
        <v>1.0848340203948796E-3</v>
      </c>
      <c r="I44" s="26">
        <f>$F$41*H44+$F$42</f>
        <v>0.63698158350338541</v>
      </c>
      <c r="S44" s="56" t="s">
        <v>48</v>
      </c>
      <c r="T44" s="56">
        <f>SUM(T38:T43)/B36</f>
        <v>37.065828422997171</v>
      </c>
    </row>
    <row r="45" spans="1:20" ht="15.6" x14ac:dyDescent="0.35">
      <c r="E45" s="5" t="s">
        <v>45</v>
      </c>
      <c r="F45" s="5">
        <f>1/(F44*F41)</f>
        <v>0.63589715453776552</v>
      </c>
      <c r="H45" s="26">
        <f>E32</f>
        <v>5.308137374595254E-4</v>
      </c>
      <c r="I45" s="26">
        <f>$F$41*H45+$F$42</f>
        <v>0.63642756357274977</v>
      </c>
    </row>
    <row r="46" spans="1:20" x14ac:dyDescent="0.3">
      <c r="H46" s="26">
        <f>E33</f>
        <v>0</v>
      </c>
      <c r="I46" s="26">
        <f>$F$41*H46+$F$42</f>
        <v>0.63589675017283298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10</v>
      </c>
      <c r="B1" s="72" t="s">
        <v>60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laboratorio'!X48</f>
        <v>120</v>
      </c>
      <c r="C4" s="37">
        <f>'Datos de laboratorio'!AA48</f>
        <v>1.2909999999999999</v>
      </c>
      <c r="D4" s="5">
        <v>0</v>
      </c>
      <c r="E4" s="47">
        <f t="shared" si="0"/>
        <v>0</v>
      </c>
      <c r="F4" s="42">
        <f t="shared" si="1"/>
        <v>0</v>
      </c>
      <c r="G4" s="42">
        <f t="shared" si="2"/>
        <v>0</v>
      </c>
      <c r="H4" s="42">
        <f t="shared" si="3"/>
        <v>0</v>
      </c>
      <c r="I4" s="42">
        <f t="shared" si="3"/>
        <v>0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laboratorio'!X49</f>
        <v>455.9</v>
      </c>
      <c r="C5" s="37">
        <f>'Datos de laboratorio'!AA49</f>
        <v>0.8460000000000002</v>
      </c>
      <c r="D5" s="5">
        <v>1</v>
      </c>
      <c r="E5" s="47">
        <f t="shared" si="0"/>
        <v>2.1934634788330775E-3</v>
      </c>
      <c r="F5" s="42">
        <f t="shared" si="1"/>
        <v>1.1820330969267137</v>
      </c>
      <c r="G5" s="5">
        <f t="shared" si="2"/>
        <v>2.5927464288807056E-3</v>
      </c>
      <c r="H5" s="5">
        <f t="shared" si="3"/>
        <v>4.8112820329745064E-6</v>
      </c>
      <c r="I5" s="5">
        <f t="shared" si="3"/>
        <v>1.3972022422301575</v>
      </c>
      <c r="S5">
        <f t="shared" ref="S5:S10" si="4">B3</f>
        <v>9.9999999999999995E-7</v>
      </c>
      <c r="T5" s="26">
        <f t="shared" ref="T5:T10" si="5">(($F$19*$F$20)*S5)/(1+$F$20*S5)</f>
        <v>2.0402902800773143E-9</v>
      </c>
    </row>
    <row r="6" spans="1:20" x14ac:dyDescent="0.3">
      <c r="A6" s="41">
        <v>3</v>
      </c>
      <c r="B6" s="26">
        <f>'Datos de laboratorio'!X50</f>
        <v>678.2</v>
      </c>
      <c r="C6" s="37">
        <f>'Datos de laboratorio'!AA50</f>
        <v>1.9009999999999991</v>
      </c>
      <c r="D6" s="5">
        <v>1</v>
      </c>
      <c r="E6" s="47">
        <f t="shared" si="0"/>
        <v>1.474491300501327E-3</v>
      </c>
      <c r="F6" s="42">
        <f t="shared" si="1"/>
        <v>0.5260389268805894</v>
      </c>
      <c r="G6" s="5">
        <f t="shared" si="2"/>
        <v>7.7563982141048277E-4</v>
      </c>
      <c r="H6" s="5">
        <f t="shared" si="3"/>
        <v>2.1741245952540947E-6</v>
      </c>
      <c r="I6" s="5">
        <f t="shared" si="3"/>
        <v>0.27671695259368206</v>
      </c>
      <c r="S6" s="26">
        <f t="shared" si="4"/>
        <v>120</v>
      </c>
      <c r="T6" s="26">
        <f t="shared" si="5"/>
        <v>0.24594196399411791</v>
      </c>
    </row>
    <row r="7" spans="1:20" x14ac:dyDescent="0.3">
      <c r="A7" s="41">
        <v>4</v>
      </c>
      <c r="B7" s="26">
        <f>'Datos de laboratorio'!X51</f>
        <v>1741.1</v>
      </c>
      <c r="C7" s="37">
        <f>'Datos de laboratorio'!AA51</f>
        <v>5.0820000000000025</v>
      </c>
      <c r="D7" s="5">
        <v>1</v>
      </c>
      <c r="E7" s="47">
        <f t="shared" si="0"/>
        <v>5.74349549135604E-4</v>
      </c>
      <c r="F7" s="42">
        <f t="shared" si="1"/>
        <v>0.19677292404565122</v>
      </c>
      <c r="G7" s="5">
        <f t="shared" si="2"/>
        <v>1.1301644020771422E-4</v>
      </c>
      <c r="H7" s="5">
        <f t="shared" si="3"/>
        <v>3.2987740459227158E-7</v>
      </c>
      <c r="I7" s="5">
        <f t="shared" si="3"/>
        <v>3.8719583637475623E-2</v>
      </c>
      <c r="S7" s="26">
        <f t="shared" si="4"/>
        <v>455.9</v>
      </c>
      <c r="T7" s="26">
        <f t="shared" si="5"/>
        <v>0.94635315278356569</v>
      </c>
    </row>
    <row r="8" spans="1:20" ht="15" thickBot="1" x14ac:dyDescent="0.35">
      <c r="A8" s="41">
        <v>5</v>
      </c>
      <c r="B8" s="26">
        <f>'Datos de laboratorio'!X52</f>
        <v>4585.1000000000004</v>
      </c>
      <c r="C8" s="37">
        <f>'Datos de laboratorio'!AA52</f>
        <v>4.8129999999999926</v>
      </c>
      <c r="D8" s="48">
        <v>1</v>
      </c>
      <c r="E8" s="49">
        <f t="shared" si="0"/>
        <v>2.1809775141218293E-4</v>
      </c>
      <c r="F8" s="50">
        <f t="shared" si="1"/>
        <v>0.20777062123415782</v>
      </c>
      <c r="G8" s="48">
        <f t="shared" si="2"/>
        <v>4.5314305300682169E-5</v>
      </c>
      <c r="H8" s="48">
        <f t="shared" si="3"/>
        <v>4.7566629171050345E-8</v>
      </c>
      <c r="I8" s="48">
        <f t="shared" si="3"/>
        <v>4.3168631048027872E-2</v>
      </c>
      <c r="S8" s="26">
        <f t="shared" si="4"/>
        <v>678.2</v>
      </c>
      <c r="T8" s="26">
        <f t="shared" si="5"/>
        <v>1.4198479258219938</v>
      </c>
    </row>
    <row r="9" spans="1:20" ht="15" thickBot="1" x14ac:dyDescent="0.35">
      <c r="D9" s="51" t="s">
        <v>30</v>
      </c>
      <c r="E9" s="52">
        <f>SUM(E3:E8)</f>
        <v>4.4604020798821916E-3</v>
      </c>
      <c r="F9" s="53">
        <f>SUM(F3:F8)</f>
        <v>2.112615569087112</v>
      </c>
      <c r="G9" s="53">
        <f>SUM(G3:G8)</f>
        <v>3.5267169957995848E-3</v>
      </c>
      <c r="H9" s="53">
        <f>SUM(H3:H8)</f>
        <v>7.3628506619919229E-6</v>
      </c>
      <c r="I9" s="54">
        <f>SUM(I3:I8)</f>
        <v>1.7558074095093432</v>
      </c>
      <c r="S9" s="26">
        <f t="shared" si="4"/>
        <v>1741.1</v>
      </c>
      <c r="T9" s="26">
        <f t="shared" si="5"/>
        <v>3.8005819441544539</v>
      </c>
    </row>
    <row r="10" spans="1:20" ht="15" thickBot="1" x14ac:dyDescent="0.35">
      <c r="S10" s="26">
        <f t="shared" si="4"/>
        <v>4585.1000000000004</v>
      </c>
      <c r="T10" s="26">
        <f t="shared" si="5"/>
        <v>11.298259034663678</v>
      </c>
    </row>
    <row r="11" spans="1:20" ht="16.2" thickBot="1" x14ac:dyDescent="0.4">
      <c r="A11" s="43" t="s">
        <v>38</v>
      </c>
      <c r="B11" s="46">
        <v>4</v>
      </c>
      <c r="E11" s="5" t="s">
        <v>33</v>
      </c>
      <c r="F11" s="5">
        <f>E9/B11</f>
        <v>1.1151005199705479E-3</v>
      </c>
      <c r="H11" s="40" t="s">
        <v>35</v>
      </c>
      <c r="I11" s="5">
        <f>SQRT((I9/B11)-(F12^2))</f>
        <v>0.40000664801413854</v>
      </c>
    </row>
    <row r="12" spans="1:20" ht="15.6" x14ac:dyDescent="0.35">
      <c r="E12" s="5" t="s">
        <v>34</v>
      </c>
      <c r="F12" s="5">
        <f>F9/B11</f>
        <v>0.528153892271778</v>
      </c>
      <c r="H12" s="40" t="s">
        <v>36</v>
      </c>
      <c r="I12" s="5">
        <f>SQRT(F14)</f>
        <v>7.7282824473449106E-4</v>
      </c>
      <c r="T12" t="s">
        <v>47</v>
      </c>
    </row>
    <row r="13" spans="1:20" ht="15.6" x14ac:dyDescent="0.35">
      <c r="A13" s="68">
        <v>1</v>
      </c>
      <c r="E13" s="40" t="s">
        <v>31</v>
      </c>
      <c r="F13" s="5">
        <f>(G9/B11)-(F11*F12)</f>
        <v>2.9273456905316777E-4</v>
      </c>
      <c r="H13" s="55" t="s">
        <v>37</v>
      </c>
      <c r="I13" s="56">
        <f>F13/(I12*I11)</f>
        <v>0.94694295229760639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5.9726349585939435E-7</v>
      </c>
      <c r="H14" s="66" t="s">
        <v>73</v>
      </c>
      <c r="I14" s="67">
        <f>I13^2</f>
        <v>0.8967009549061068</v>
      </c>
      <c r="S14" s="5">
        <f t="shared" si="6"/>
        <v>0</v>
      </c>
      <c r="T14" s="5">
        <f t="shared" si="7"/>
        <v>0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11.862074797111758</v>
      </c>
    </row>
    <row r="16" spans="1:20" ht="16.2" thickBot="1" x14ac:dyDescent="0.4">
      <c r="E16" s="5" t="s">
        <v>46</v>
      </c>
      <c r="F16" s="5">
        <f>(F13/F14)</f>
        <v>490.12633633662136</v>
      </c>
      <c r="H16" s="35" t="s">
        <v>25</v>
      </c>
      <c r="I16" s="36" t="s">
        <v>42</v>
      </c>
      <c r="S16" s="5">
        <f>D6</f>
        <v>1</v>
      </c>
      <c r="T16" s="5">
        <f t="shared" si="7"/>
        <v>25.310472076696765</v>
      </c>
    </row>
    <row r="17" spans="1:20" ht="15.6" x14ac:dyDescent="0.35">
      <c r="E17" s="5" t="s">
        <v>40</v>
      </c>
      <c r="F17" s="5">
        <f>(F12-(F16*F11))</f>
        <v>-1.8386240228448147E-2</v>
      </c>
      <c r="H17" s="26">
        <f t="shared" ref="H17:H22" si="8">E3</f>
        <v>0</v>
      </c>
      <c r="I17" s="26">
        <f t="shared" ref="I17:I22" si="9">$F$16*H17+$F$17</f>
        <v>-1.8386240228448147E-2</v>
      </c>
      <c r="S17" s="5">
        <f>D7</f>
        <v>1</v>
      </c>
      <c r="T17" s="5">
        <f t="shared" si="7"/>
        <v>25.21483777736222</v>
      </c>
    </row>
    <row r="18" spans="1:20" x14ac:dyDescent="0.3">
      <c r="H18" s="26">
        <f t="shared" si="8"/>
        <v>0</v>
      </c>
      <c r="I18" s="26">
        <f t="shared" si="9"/>
        <v>-1.8386240228448147E-2</v>
      </c>
      <c r="S18" s="5">
        <f>D8</f>
        <v>1</v>
      </c>
      <c r="T18" s="5">
        <f t="shared" si="7"/>
        <v>134.74462984965086</v>
      </c>
    </row>
    <row r="19" spans="1:20" ht="15.6" x14ac:dyDescent="0.35">
      <c r="E19" s="5" t="s">
        <v>44</v>
      </c>
      <c r="F19" s="5">
        <f>1/F17</f>
        <v>-54.388498549733292</v>
      </c>
      <c r="H19" s="26">
        <f t="shared" si="8"/>
        <v>2.1934634788330775E-3</v>
      </c>
      <c r="I19" s="26">
        <f t="shared" si="9"/>
        <v>1.0566879785401881</v>
      </c>
      <c r="S19" s="56" t="s">
        <v>48</v>
      </c>
      <c r="T19" s="56">
        <f>SUM(T13:T18)/B11</f>
        <v>49.283003625205403</v>
      </c>
    </row>
    <row r="20" spans="1:20" ht="15.6" x14ac:dyDescent="0.35">
      <c r="E20" s="5" t="s">
        <v>45</v>
      </c>
      <c r="F20" s="5">
        <f>1/(F19*F16)</f>
        <v>-3.7513267223862014E-5</v>
      </c>
      <c r="H20" s="26">
        <f t="shared" si="8"/>
        <v>1.474491300501327E-3</v>
      </c>
      <c r="I20" s="26">
        <f t="shared" si="9"/>
        <v>0.70430077884648745</v>
      </c>
    </row>
    <row r="21" spans="1:20" x14ac:dyDescent="0.3">
      <c r="H21" s="26">
        <f t="shared" si="8"/>
        <v>5.74349549135604E-4</v>
      </c>
      <c r="I21" s="26">
        <f t="shared" si="9"/>
        <v>0.26311760006597573</v>
      </c>
    </row>
    <row r="22" spans="1:20" x14ac:dyDescent="0.3">
      <c r="H22" s="26">
        <f t="shared" si="8"/>
        <v>2.1809775141218293E-4</v>
      </c>
      <c r="I22" s="26">
        <f t="shared" si="9"/>
        <v>8.8509211634460266E-2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10</v>
      </c>
      <c r="B26" s="72" t="e">
        <f>#REF!</f>
        <v>#REF!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120</v>
      </c>
      <c r="C29" s="26">
        <f t="shared" si="14"/>
        <v>1.2909999999999999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455.9</v>
      </c>
      <c r="C30" s="26">
        <f t="shared" si="14"/>
        <v>0.8460000000000002</v>
      </c>
      <c r="D30" s="5">
        <v>1</v>
      </c>
      <c r="E30" s="47">
        <f t="shared" si="10"/>
        <v>2.1934634788330775E-3</v>
      </c>
      <c r="F30" s="42">
        <f t="shared" si="11"/>
        <v>1.1820330969267137</v>
      </c>
      <c r="G30" s="5">
        <f t="shared" si="12"/>
        <v>2.5927464288807056E-3</v>
      </c>
      <c r="H30" s="5">
        <f t="shared" si="13"/>
        <v>4.8112820329745064E-6</v>
      </c>
      <c r="I30" s="5">
        <f t="shared" si="13"/>
        <v>1.3972022422301575</v>
      </c>
      <c r="S30" s="26">
        <f t="shared" ref="S30:S35" si="15">B28</f>
        <v>9.9999999999999995E-7</v>
      </c>
      <c r="T30" s="63">
        <f t="shared" ref="T30:T35" si="16">(($F$44*$F$45)*S30)/(1+$F$45*S30)</f>
        <v>9.9999999999999911E-7</v>
      </c>
    </row>
    <row r="31" spans="1:20" x14ac:dyDescent="0.3">
      <c r="A31" s="41">
        <v>3</v>
      </c>
      <c r="B31" s="26">
        <f t="shared" si="14"/>
        <v>678.2</v>
      </c>
      <c r="C31" s="26">
        <f t="shared" si="14"/>
        <v>1.9009999999999991</v>
      </c>
      <c r="D31" s="5">
        <v>0</v>
      </c>
      <c r="E31" s="47">
        <f t="shared" si="10"/>
        <v>0</v>
      </c>
      <c r="F31" s="42">
        <f t="shared" si="11"/>
        <v>0</v>
      </c>
      <c r="G31" s="5">
        <f t="shared" si="12"/>
        <v>0</v>
      </c>
      <c r="H31" s="5">
        <f t="shared" si="13"/>
        <v>0</v>
      </c>
      <c r="I31" s="5">
        <f t="shared" si="13"/>
        <v>0</v>
      </c>
      <c r="S31" s="26">
        <f t="shared" si="15"/>
        <v>120</v>
      </c>
      <c r="T31" s="26">
        <f t="shared" si="16"/>
        <v>1.8649865158113579</v>
      </c>
    </row>
    <row r="32" spans="1:20" x14ac:dyDescent="0.3">
      <c r="A32" s="41">
        <v>4</v>
      </c>
      <c r="B32" s="26">
        <f t="shared" si="14"/>
        <v>1741.1</v>
      </c>
      <c r="C32" s="26">
        <f t="shared" si="14"/>
        <v>5.0820000000000025</v>
      </c>
      <c r="D32" s="5">
        <v>1</v>
      </c>
      <c r="E32" s="47">
        <f t="shared" si="10"/>
        <v>5.74349549135604E-4</v>
      </c>
      <c r="F32" s="42">
        <f t="shared" si="11"/>
        <v>0.19677292404565122</v>
      </c>
      <c r="G32" s="5">
        <f t="shared" si="12"/>
        <v>1.1301644020771422E-4</v>
      </c>
      <c r="H32" s="5">
        <f t="shared" si="13"/>
        <v>3.2987740459227158E-7</v>
      </c>
      <c r="I32" s="5">
        <f t="shared" si="13"/>
        <v>3.8719583637475623E-2</v>
      </c>
      <c r="S32" s="26">
        <f t="shared" si="15"/>
        <v>455.9</v>
      </c>
      <c r="T32" s="26">
        <f t="shared" si="16"/>
        <v>1.8865894143420658</v>
      </c>
    </row>
    <row r="33" spans="1:20" ht="15" thickBot="1" x14ac:dyDescent="0.35">
      <c r="A33" s="41">
        <v>5</v>
      </c>
      <c r="B33" s="26">
        <f t="shared" si="14"/>
        <v>4585.1000000000004</v>
      </c>
      <c r="C33" s="26">
        <f t="shared" si="14"/>
        <v>4.8129999999999926</v>
      </c>
      <c r="D33" s="48">
        <v>1</v>
      </c>
      <c r="E33" s="49">
        <f t="shared" si="10"/>
        <v>2.1809775141218293E-4</v>
      </c>
      <c r="F33" s="50">
        <f t="shared" si="11"/>
        <v>0.20777062123415782</v>
      </c>
      <c r="G33" s="48">
        <f t="shared" si="12"/>
        <v>4.5314305300682169E-5</v>
      </c>
      <c r="H33" s="48">
        <f t="shared" si="13"/>
        <v>4.7566629171050345E-8</v>
      </c>
      <c r="I33" s="48">
        <f t="shared" si="13"/>
        <v>4.3168631048027872E-2</v>
      </c>
      <c r="S33" s="26">
        <f t="shared" si="15"/>
        <v>678.2</v>
      </c>
      <c r="T33" s="26">
        <f t="shared" si="16"/>
        <v>1.8891518685981108</v>
      </c>
    </row>
    <row r="34" spans="1:20" ht="15" thickBot="1" x14ac:dyDescent="0.35">
      <c r="D34" s="51" t="s">
        <v>30</v>
      </c>
      <c r="E34" s="52">
        <f>SUM(E28:E33)</f>
        <v>1000000.0029859107</v>
      </c>
      <c r="F34" s="53">
        <f>SUM(F28:F33)</f>
        <v>1000001.5865766422</v>
      </c>
      <c r="G34" s="53">
        <f>SUM(G28:G33)</f>
        <v>1000000000000.0027</v>
      </c>
      <c r="H34" s="53">
        <f>SUM(H28:H33)</f>
        <v>1000000000000</v>
      </c>
      <c r="I34" s="54">
        <f>SUM(I28:I33)</f>
        <v>1000000000001.4791</v>
      </c>
      <c r="S34" s="26">
        <f t="shared" si="15"/>
        <v>1741.1</v>
      </c>
      <c r="T34" s="26">
        <f t="shared" si="16"/>
        <v>1.8923698502917887</v>
      </c>
    </row>
    <row r="35" spans="1:20" ht="15" thickBot="1" x14ac:dyDescent="0.35">
      <c r="S35" s="26">
        <f t="shared" si="15"/>
        <v>4585.1000000000004</v>
      </c>
      <c r="T35" s="26">
        <f t="shared" si="16"/>
        <v>1.8936464706276572</v>
      </c>
    </row>
    <row r="36" spans="1:20" ht="16.2" thickBot="1" x14ac:dyDescent="0.4">
      <c r="A36" s="43" t="s">
        <v>38</v>
      </c>
      <c r="B36" s="46">
        <v>4</v>
      </c>
      <c r="E36" s="5" t="s">
        <v>33</v>
      </c>
      <c r="F36" s="5">
        <f>E34/B36</f>
        <v>250000.00074647769</v>
      </c>
      <c r="H36" s="40" t="s">
        <v>35</v>
      </c>
      <c r="I36" s="5">
        <f>SQRT((I34/B36)-(F37^2))</f>
        <v>433012.47288979124</v>
      </c>
    </row>
    <row r="37" spans="1:20" ht="15.6" x14ac:dyDescent="0.35">
      <c r="A37" s="60" t="s">
        <v>50</v>
      </c>
      <c r="E37" s="5" t="s">
        <v>34</v>
      </c>
      <c r="F37" s="5">
        <f>F34/B36</f>
        <v>250000.39664416056</v>
      </c>
      <c r="H37" s="40" t="s">
        <v>36</v>
      </c>
      <c r="I37" s="5">
        <f>SQRT(F39)</f>
        <v>433012.70146124024</v>
      </c>
      <c r="T37" t="s">
        <v>47</v>
      </c>
    </row>
    <row r="38" spans="1:20" ht="15.6" x14ac:dyDescent="0.35">
      <c r="A38" s="60">
        <v>1.3</v>
      </c>
      <c r="E38" s="40" t="s">
        <v>31</v>
      </c>
      <c r="F38" s="5">
        <f>(G34/B36)-(F36*F37)</f>
        <v>187499900652.34082</v>
      </c>
      <c r="H38" s="55" t="s">
        <v>37</v>
      </c>
      <c r="I38" s="56">
        <f>F38/(I37*I36)</f>
        <v>0.99999999999957467</v>
      </c>
      <c r="S38" s="5">
        <f t="shared" ref="S38:S43" si="17">D28</f>
        <v>1</v>
      </c>
      <c r="T38" s="5">
        <f t="shared" ref="T38:T43" si="18">(ABS((C28-T30)/C28)*100)*S38</f>
        <v>8.4703294725430034E-14</v>
      </c>
    </row>
    <row r="39" spans="1:20" ht="16.8" x14ac:dyDescent="0.35">
      <c r="E39" s="5" t="s">
        <v>32</v>
      </c>
      <c r="F39" s="5">
        <f>(H34/B36)-(F36^2)</f>
        <v>187499999626.76117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123.00111280639072</v>
      </c>
    </row>
    <row r="41" spans="1:20" ht="16.2" thickBot="1" x14ac:dyDescent="0.4">
      <c r="E41" s="5" t="s">
        <v>46</v>
      </c>
      <c r="F41" s="5">
        <f>(F38/F39)</f>
        <v>0.99999947213642371</v>
      </c>
      <c r="H41" s="35" t="s">
        <v>25</v>
      </c>
      <c r="I41" s="36" t="s">
        <v>42</v>
      </c>
      <c r="S41" s="5">
        <f t="shared" si="17"/>
        <v>0</v>
      </c>
      <c r="T41" s="5">
        <f t="shared" si="18"/>
        <v>0</v>
      </c>
    </row>
    <row r="42" spans="1:20" ht="15.6" x14ac:dyDescent="0.35">
      <c r="E42" s="5" t="s">
        <v>40</v>
      </c>
      <c r="F42" s="5">
        <f>(F37-(F41*F36))</f>
        <v>0.52786357732838951</v>
      </c>
      <c r="H42" s="26">
        <f>E29</f>
        <v>0</v>
      </c>
      <c r="I42" s="26">
        <f>$F$41*H42+$F$42</f>
        <v>0.52786357732838951</v>
      </c>
      <c r="S42" s="5">
        <f t="shared" si="17"/>
        <v>1</v>
      </c>
      <c r="T42" s="5">
        <f t="shared" si="18"/>
        <v>62.763285118225355</v>
      </c>
    </row>
    <row r="43" spans="1:20" x14ac:dyDescent="0.3">
      <c r="H43" s="26">
        <f>E30</f>
        <v>2.1934634788330775E-3</v>
      </c>
      <c r="I43" s="26">
        <f>$F$41*H43+$F$42</f>
        <v>0.53005703964937312</v>
      </c>
      <c r="S43" s="5">
        <f t="shared" si="17"/>
        <v>1</v>
      </c>
      <c r="T43" s="5">
        <f t="shared" si="18"/>
        <v>60.655589639982132</v>
      </c>
    </row>
    <row r="44" spans="1:20" ht="15.6" x14ac:dyDescent="0.35">
      <c r="E44" s="5" t="s">
        <v>44</v>
      </c>
      <c r="F44" s="5">
        <f>1/F42</f>
        <v>1.894428869408221</v>
      </c>
      <c r="H44" s="26">
        <f>E31</f>
        <v>0</v>
      </c>
      <c r="I44" s="26">
        <f>$F$41*H44+$F$42</f>
        <v>0.52786357732838951</v>
      </c>
      <c r="S44" s="56" t="s">
        <v>48</v>
      </c>
      <c r="T44" s="56">
        <f>SUM(T38:T43)/B36</f>
        <v>61.604996891149575</v>
      </c>
    </row>
    <row r="45" spans="1:20" ht="15.6" x14ac:dyDescent="0.35">
      <c r="E45" s="5" t="s">
        <v>45</v>
      </c>
      <c r="F45" s="5">
        <f>1/(F44*F41)</f>
        <v>0.52786385596849239</v>
      </c>
      <c r="H45" s="26">
        <f>E32</f>
        <v>5.74349549135604E-4</v>
      </c>
      <c r="I45" s="26">
        <f>$F$41*H45+$F$42</f>
        <v>0.52843792657434696</v>
      </c>
    </row>
    <row r="46" spans="1:20" x14ac:dyDescent="0.3">
      <c r="H46" s="26">
        <f>E33</f>
        <v>2.1809775141218293E-4</v>
      </c>
      <c r="I46" s="26">
        <f>$F$41*H46+$F$42</f>
        <v>0.52808167496467584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11</v>
      </c>
      <c r="B1" s="72" t="s">
        <v>61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laboratorio'!X53</f>
        <v>36</v>
      </c>
      <c r="C4" s="37">
        <f>'Datos de laboratorio'!AA53</f>
        <v>1.9790000000000001</v>
      </c>
      <c r="D4" s="5">
        <v>0</v>
      </c>
      <c r="E4" s="47">
        <f t="shared" si="0"/>
        <v>0</v>
      </c>
      <c r="F4" s="42">
        <f t="shared" si="1"/>
        <v>0</v>
      </c>
      <c r="G4" s="42">
        <f t="shared" si="2"/>
        <v>0</v>
      </c>
      <c r="H4" s="42">
        <f t="shared" si="3"/>
        <v>0</v>
      </c>
      <c r="I4" s="42">
        <f t="shared" si="3"/>
        <v>0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laboratorio'!X54</f>
        <v>466.6</v>
      </c>
      <c r="C5" s="37">
        <f>'Datos de laboratorio'!AA54</f>
        <v>0.98600000000000021</v>
      </c>
      <c r="D5" s="5">
        <v>1</v>
      </c>
      <c r="E5" s="47">
        <f t="shared" si="0"/>
        <v>2.1431633090441492E-3</v>
      </c>
      <c r="F5" s="42">
        <f t="shared" si="1"/>
        <v>1.0141987829614603</v>
      </c>
      <c r="G5" s="5">
        <f t="shared" si="2"/>
        <v>2.1735936197202323E-3</v>
      </c>
      <c r="H5" s="5">
        <f t="shared" si="3"/>
        <v>4.5931489692330672E-6</v>
      </c>
      <c r="I5" s="5">
        <f t="shared" si="3"/>
        <v>1.0285991713605072</v>
      </c>
      <c r="S5">
        <f t="shared" ref="S5:S10" si="4">B3</f>
        <v>9.9999999999999995E-7</v>
      </c>
      <c r="T5" s="26">
        <f t="shared" ref="T5:T10" si="5">(($F$19*$F$20)*S5)/(1+$F$20*S5)</f>
        <v>2.3099108420497572E-9</v>
      </c>
    </row>
    <row r="6" spans="1:20" x14ac:dyDescent="0.3">
      <c r="A6" s="41">
        <v>3</v>
      </c>
      <c r="B6" s="26">
        <f>'Datos de laboratorio'!X55</f>
        <v>755.6</v>
      </c>
      <c r="C6" s="37">
        <f>'Datos de laboratorio'!AA55</f>
        <v>1.7369999999999992</v>
      </c>
      <c r="D6" s="5">
        <v>1</v>
      </c>
      <c r="E6" s="47">
        <f t="shared" si="0"/>
        <v>1.3234515616728428E-3</v>
      </c>
      <c r="F6" s="42">
        <f t="shared" si="1"/>
        <v>0.57570523891767444</v>
      </c>
      <c r="G6" s="5">
        <f t="shared" si="2"/>
        <v>7.6191799750883332E-4</v>
      </c>
      <c r="H6" s="5">
        <f t="shared" si="3"/>
        <v>1.7515240360942864E-6</v>
      </c>
      <c r="I6" s="5">
        <f t="shared" si="3"/>
        <v>0.3314365221172566</v>
      </c>
      <c r="S6" s="26">
        <f t="shared" si="4"/>
        <v>36</v>
      </c>
      <c r="T6" s="26">
        <f t="shared" si="5"/>
        <v>8.2746528339392153E-2</v>
      </c>
    </row>
    <row r="7" spans="1:20" x14ac:dyDescent="0.3">
      <c r="A7" s="41">
        <v>4</v>
      </c>
      <c r="B7" s="26">
        <f>'Datos de laboratorio'!X56</f>
        <v>1904.4</v>
      </c>
      <c r="C7" s="37">
        <f>'Datos de laboratorio'!AA56</f>
        <v>3.0909999999999993</v>
      </c>
      <c r="D7" s="5">
        <v>1</v>
      </c>
      <c r="E7" s="47">
        <f t="shared" si="0"/>
        <v>5.250997689561016E-4</v>
      </c>
      <c r="F7" s="42">
        <f t="shared" si="1"/>
        <v>0.32351989647363322</v>
      </c>
      <c r="G7" s="5">
        <f t="shared" si="2"/>
        <v>1.6988022289100672E-4</v>
      </c>
      <c r="H7" s="5">
        <f t="shared" si="3"/>
        <v>2.757297673577513E-7</v>
      </c>
      <c r="I7" s="5">
        <f t="shared" si="3"/>
        <v>0.10466512341431035</v>
      </c>
      <c r="S7" s="26">
        <f t="shared" si="4"/>
        <v>466.6</v>
      </c>
      <c r="T7" s="26">
        <f t="shared" si="5"/>
        <v>1.012724756859831</v>
      </c>
    </row>
    <row r="8" spans="1:20" ht="15" thickBot="1" x14ac:dyDescent="0.35">
      <c r="A8" s="41">
        <v>5</v>
      </c>
      <c r="B8" s="26">
        <f>'Datos de laboratorio'!X57</f>
        <v>4948.8999999999996</v>
      </c>
      <c r="C8" s="37">
        <f>'Datos de laboratorio'!AA57</f>
        <v>7.1110000000000033</v>
      </c>
      <c r="D8" s="48">
        <v>1</v>
      </c>
      <c r="E8" s="49">
        <f t="shared" si="0"/>
        <v>2.0206510537695247E-4</v>
      </c>
      <c r="F8" s="50">
        <f t="shared" si="1"/>
        <v>0.14062719729995773</v>
      </c>
      <c r="G8" s="48">
        <f t="shared" si="2"/>
        <v>2.8415849441281445E-5</v>
      </c>
      <c r="H8" s="48">
        <f t="shared" si="3"/>
        <v>4.0830306810998902E-8</v>
      </c>
      <c r="I8" s="48">
        <f t="shared" si="3"/>
        <v>1.9776008620441241E-2</v>
      </c>
      <c r="S8" s="26">
        <f t="shared" si="4"/>
        <v>755.6</v>
      </c>
      <c r="T8" s="26">
        <f t="shared" si="5"/>
        <v>1.5808580570391579</v>
      </c>
    </row>
    <row r="9" spans="1:20" ht="15" thickBot="1" x14ac:dyDescent="0.35">
      <c r="D9" s="51" t="s">
        <v>30</v>
      </c>
      <c r="E9" s="52">
        <f>SUM(E3:E8)</f>
        <v>4.1937797450500459E-3</v>
      </c>
      <c r="F9" s="53">
        <f>SUM(F3:F8)</f>
        <v>2.0540511156527255</v>
      </c>
      <c r="G9" s="53">
        <f>SUM(G3:G8)</f>
        <v>3.1338076895613539E-3</v>
      </c>
      <c r="H9" s="53">
        <f>SUM(H3:H8)</f>
        <v>6.6612330794961031E-6</v>
      </c>
      <c r="I9" s="54">
        <f>SUM(I3:I8)</f>
        <v>1.4844768255125154</v>
      </c>
      <c r="S9" s="26">
        <f t="shared" si="4"/>
        <v>1904.4</v>
      </c>
      <c r="T9" s="26">
        <f t="shared" si="5"/>
        <v>3.4849558049741201</v>
      </c>
    </row>
    <row r="10" spans="1:20" ht="15" thickBot="1" x14ac:dyDescent="0.35">
      <c r="S10" s="26">
        <f t="shared" si="4"/>
        <v>4948.8999999999996</v>
      </c>
      <c r="T10" s="26">
        <f t="shared" si="5"/>
        <v>6.7980761278488391</v>
      </c>
    </row>
    <row r="11" spans="1:20" ht="16.2" thickBot="1" x14ac:dyDescent="0.4">
      <c r="A11" s="43" t="s">
        <v>38</v>
      </c>
      <c r="B11" s="46">
        <v>4</v>
      </c>
      <c r="E11" s="5" t="s">
        <v>33</v>
      </c>
      <c r="F11" s="5">
        <f>E9/B11</f>
        <v>1.0484449362625115E-3</v>
      </c>
      <c r="H11" s="40" t="s">
        <v>35</v>
      </c>
      <c r="I11" s="5">
        <f>SQRT((I9/B11)-(F12^2))</f>
        <v>0.32775575093503845</v>
      </c>
    </row>
    <row r="12" spans="1:20" ht="15.6" x14ac:dyDescent="0.35">
      <c r="E12" s="5" t="s">
        <v>34</v>
      </c>
      <c r="F12" s="5">
        <f>F9/B11</f>
        <v>0.51351277891318137</v>
      </c>
      <c r="H12" s="40" t="s">
        <v>36</v>
      </c>
      <c r="I12" s="5">
        <f>SQRT(F14)</f>
        <v>7.5237722287395446E-4</v>
      </c>
      <c r="T12" t="s">
        <v>47</v>
      </c>
    </row>
    <row r="13" spans="1:20" ht="15.6" x14ac:dyDescent="0.35">
      <c r="A13" s="68">
        <v>1</v>
      </c>
      <c r="E13" s="40" t="s">
        <v>31</v>
      </c>
      <c r="F13" s="5">
        <f>(G9/B11)-(F11*F12)</f>
        <v>2.4506204963272295E-4</v>
      </c>
      <c r="H13" s="55" t="s">
        <v>37</v>
      </c>
      <c r="I13" s="56">
        <f>F13/(I12*I11)</f>
        <v>0.99377965467737561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5.660714854995241E-7</v>
      </c>
      <c r="H14" s="66" t="s">
        <v>73</v>
      </c>
      <c r="I14" s="67">
        <f>I13^2</f>
        <v>0.98759800205068393</v>
      </c>
      <c r="S14" s="5">
        <f t="shared" si="6"/>
        <v>0</v>
      </c>
      <c r="T14" s="5">
        <f t="shared" si="7"/>
        <v>0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2.7104215882181313</v>
      </c>
    </row>
    <row r="16" spans="1:20" ht="16.2" thickBot="1" x14ac:dyDescent="0.4">
      <c r="E16" s="5" t="s">
        <v>46</v>
      </c>
      <c r="F16" s="5">
        <f>(F13/F14)</f>
        <v>432.9171419338856</v>
      </c>
      <c r="H16" s="35" t="s">
        <v>25</v>
      </c>
      <c r="I16" s="36" t="s">
        <v>42</v>
      </c>
      <c r="S16" s="5">
        <f>D6</f>
        <v>1</v>
      </c>
      <c r="T16" s="5">
        <f t="shared" si="7"/>
        <v>8.9891734577341005</v>
      </c>
    </row>
    <row r="17" spans="1:20" ht="15.6" x14ac:dyDescent="0.35">
      <c r="E17" s="5" t="s">
        <v>40</v>
      </c>
      <c r="F17" s="5">
        <f>(F12-(F16*F11))</f>
        <v>5.9622993631360033E-2</v>
      </c>
      <c r="H17" s="26">
        <f t="shared" ref="H17:H22" si="8">E3</f>
        <v>0</v>
      </c>
      <c r="I17" s="26">
        <f t="shared" ref="I17:I22" si="9">$F$16*H17+$F$17</f>
        <v>5.9622993631360033E-2</v>
      </c>
      <c r="S17" s="5">
        <f>D7</f>
        <v>1</v>
      </c>
      <c r="T17" s="5">
        <f t="shared" si="7"/>
        <v>12.745254124041438</v>
      </c>
    </row>
    <row r="18" spans="1:20" x14ac:dyDescent="0.3">
      <c r="H18" s="26">
        <f t="shared" si="8"/>
        <v>0</v>
      </c>
      <c r="I18" s="26">
        <f t="shared" si="9"/>
        <v>5.9622993631360033E-2</v>
      </c>
      <c r="S18" s="5">
        <f>D8</f>
        <v>1</v>
      </c>
      <c r="T18" s="5">
        <f t="shared" si="7"/>
        <v>4.400560710886853</v>
      </c>
    </row>
    <row r="19" spans="1:20" ht="15.6" x14ac:dyDescent="0.35">
      <c r="E19" s="5" t="s">
        <v>44</v>
      </c>
      <c r="F19" s="5">
        <f>1/F17</f>
        <v>16.772052845632828</v>
      </c>
      <c r="H19" s="26">
        <f t="shared" si="8"/>
        <v>2.1431633090441492E-3</v>
      </c>
      <c r="I19" s="26">
        <f t="shared" si="9"/>
        <v>0.98743512808032197</v>
      </c>
      <c r="S19" s="56" t="s">
        <v>48</v>
      </c>
      <c r="T19" s="56">
        <f>SUM(T13:T18)/B11</f>
        <v>7.211352470220131</v>
      </c>
    </row>
    <row r="20" spans="1:20" ht="15.6" x14ac:dyDescent="0.35">
      <c r="E20" s="5" t="s">
        <v>45</v>
      </c>
      <c r="F20" s="5">
        <f>1/(F19*F16)</f>
        <v>1.3772379944351003E-4</v>
      </c>
      <c r="H20" s="26">
        <f t="shared" si="8"/>
        <v>1.3234515616728428E-3</v>
      </c>
      <c r="I20" s="26">
        <f t="shared" si="9"/>
        <v>0.63256786119870467</v>
      </c>
    </row>
    <row r="21" spans="1:20" x14ac:dyDescent="0.3">
      <c r="H21" s="26">
        <f t="shared" si="8"/>
        <v>5.250997689561016E-4</v>
      </c>
      <c r="I21" s="26">
        <f t="shared" si="9"/>
        <v>0.28694768483797917</v>
      </c>
    </row>
    <row r="22" spans="1:20" x14ac:dyDescent="0.3">
      <c r="H22" s="26">
        <f t="shared" si="8"/>
        <v>2.0206510537695247E-4</v>
      </c>
      <c r="I22" s="26">
        <f t="shared" si="9"/>
        <v>0.14710044153571972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11</v>
      </c>
      <c r="B26" s="72" t="str">
        <f>B1</f>
        <v>sal=1 dur=5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36</v>
      </c>
      <c r="C29" s="26">
        <f t="shared" si="14"/>
        <v>1.9790000000000001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466.6</v>
      </c>
      <c r="C30" s="26">
        <f t="shared" si="14"/>
        <v>0.98600000000000021</v>
      </c>
      <c r="D30" s="5">
        <v>1</v>
      </c>
      <c r="E30" s="47">
        <f t="shared" si="10"/>
        <v>2.1431633090441492E-3</v>
      </c>
      <c r="F30" s="42">
        <f t="shared" si="11"/>
        <v>1.0141987829614603</v>
      </c>
      <c r="G30" s="5">
        <f t="shared" si="12"/>
        <v>2.1735936197202323E-3</v>
      </c>
      <c r="H30" s="5">
        <f t="shared" si="13"/>
        <v>4.5931489692330672E-6</v>
      </c>
      <c r="I30" s="5">
        <f t="shared" si="13"/>
        <v>1.0285991713605072</v>
      </c>
      <c r="S30" s="26">
        <f t="shared" ref="S30:S35" si="15">B28</f>
        <v>9.9999999999999995E-7</v>
      </c>
      <c r="T30" s="63">
        <f t="shared" ref="T30:T35" si="16">(($F$44*$F$45)*S30)/(1+$F$45*S30)</f>
        <v>9.9999999999999953E-7</v>
      </c>
    </row>
    <row r="31" spans="1:20" x14ac:dyDescent="0.3">
      <c r="A31" s="41">
        <v>3</v>
      </c>
      <c r="B31" s="26">
        <f t="shared" si="14"/>
        <v>755.6</v>
      </c>
      <c r="C31" s="26">
        <f t="shared" si="14"/>
        <v>1.7369999999999992</v>
      </c>
      <c r="D31" s="5">
        <v>1</v>
      </c>
      <c r="E31" s="47">
        <f t="shared" si="10"/>
        <v>1.3234515616728428E-3</v>
      </c>
      <c r="F31" s="42">
        <f t="shared" si="11"/>
        <v>0.57570523891767444</v>
      </c>
      <c r="G31" s="5">
        <f t="shared" si="12"/>
        <v>7.6191799750883332E-4</v>
      </c>
      <c r="H31" s="5">
        <f t="shared" si="13"/>
        <v>1.7515240360942864E-6</v>
      </c>
      <c r="I31" s="5">
        <f t="shared" si="13"/>
        <v>0.3314365221172566</v>
      </c>
      <c r="S31" s="26">
        <f t="shared" si="15"/>
        <v>36</v>
      </c>
      <c r="T31" s="26">
        <f t="shared" si="16"/>
        <v>1.5054455834765161</v>
      </c>
    </row>
    <row r="32" spans="1:20" x14ac:dyDescent="0.3">
      <c r="A32" s="41">
        <v>4</v>
      </c>
      <c r="B32" s="26">
        <f t="shared" si="14"/>
        <v>1904.4</v>
      </c>
      <c r="C32" s="26">
        <f t="shared" si="14"/>
        <v>3.0909999999999993</v>
      </c>
      <c r="D32" s="5">
        <v>1</v>
      </c>
      <c r="E32" s="47">
        <f t="shared" si="10"/>
        <v>5.250997689561016E-4</v>
      </c>
      <c r="F32" s="42">
        <f t="shared" si="11"/>
        <v>0.32351989647363322</v>
      </c>
      <c r="G32" s="5">
        <f t="shared" si="12"/>
        <v>1.6988022289100672E-4</v>
      </c>
      <c r="H32" s="5">
        <f t="shared" si="13"/>
        <v>2.757297673577513E-7</v>
      </c>
      <c r="I32" s="5">
        <f t="shared" si="13"/>
        <v>0.10466512341431035</v>
      </c>
      <c r="S32" s="26">
        <f t="shared" si="15"/>
        <v>466.6</v>
      </c>
      <c r="T32" s="26">
        <f t="shared" si="16"/>
        <v>1.5658750383915541</v>
      </c>
    </row>
    <row r="33" spans="1:20" ht="15" thickBot="1" x14ac:dyDescent="0.35">
      <c r="A33" s="41">
        <v>5</v>
      </c>
      <c r="B33" s="26">
        <f t="shared" si="14"/>
        <v>4948.8999999999996</v>
      </c>
      <c r="C33" s="26">
        <f t="shared" si="14"/>
        <v>7.1110000000000033</v>
      </c>
      <c r="D33" s="48">
        <v>0</v>
      </c>
      <c r="E33" s="49">
        <f t="shared" si="10"/>
        <v>0</v>
      </c>
      <c r="F33" s="50">
        <f t="shared" si="11"/>
        <v>0</v>
      </c>
      <c r="G33" s="48">
        <f t="shared" si="12"/>
        <v>0</v>
      </c>
      <c r="H33" s="48">
        <f t="shared" si="13"/>
        <v>0</v>
      </c>
      <c r="I33" s="48">
        <f t="shared" si="13"/>
        <v>0</v>
      </c>
      <c r="S33" s="26">
        <f t="shared" si="15"/>
        <v>755.6</v>
      </c>
      <c r="T33" s="26">
        <f t="shared" si="16"/>
        <v>1.5678875244858588</v>
      </c>
    </row>
    <row r="34" spans="1:20" ht="15" thickBot="1" x14ac:dyDescent="0.35">
      <c r="D34" s="51" t="s">
        <v>30</v>
      </c>
      <c r="E34" s="52">
        <f>SUM(E28:E33)</f>
        <v>1000000.0039917147</v>
      </c>
      <c r="F34" s="53">
        <f>SUM(F28:F33)</f>
        <v>1000001.9134239184</v>
      </c>
      <c r="G34" s="53">
        <f>SUM(G28:G33)</f>
        <v>1000000000000.0031</v>
      </c>
      <c r="H34" s="53">
        <f>SUM(H28:H33)</f>
        <v>1000000000000</v>
      </c>
      <c r="I34" s="54">
        <f>SUM(I28:I33)</f>
        <v>1000000000001.4646</v>
      </c>
      <c r="S34" s="26">
        <f t="shared" si="15"/>
        <v>1904.4</v>
      </c>
      <c r="T34" s="26">
        <f t="shared" si="16"/>
        <v>1.5698525481969803</v>
      </c>
    </row>
    <row r="35" spans="1:20" ht="15" thickBot="1" x14ac:dyDescent="0.35">
      <c r="S35" s="26">
        <f t="shared" si="15"/>
        <v>4948.8999999999996</v>
      </c>
      <c r="T35" s="26">
        <f t="shared" si="16"/>
        <v>1.5706490501942232</v>
      </c>
    </row>
    <row r="36" spans="1:20" ht="16.2" thickBot="1" x14ac:dyDescent="0.4">
      <c r="A36" s="43" t="s">
        <v>38</v>
      </c>
      <c r="B36" s="46">
        <v>4</v>
      </c>
      <c r="E36" s="5" t="s">
        <v>33</v>
      </c>
      <c r="F36" s="5">
        <f>E34/B36</f>
        <v>250000.00099792867</v>
      </c>
      <c r="H36" s="40" t="s">
        <v>35</v>
      </c>
      <c r="I36" s="5">
        <f>SQRT((I34/B36)-(F37^2))</f>
        <v>433012.42571333621</v>
      </c>
    </row>
    <row r="37" spans="1:20" ht="15.6" x14ac:dyDescent="0.35">
      <c r="A37" s="60" t="s">
        <v>50</v>
      </c>
      <c r="E37" s="5" t="s">
        <v>34</v>
      </c>
      <c r="F37" s="5">
        <f>F34/B36</f>
        <v>250000.47835597961</v>
      </c>
      <c r="H37" s="40" t="s">
        <v>36</v>
      </c>
      <c r="I37" s="5">
        <f>SQRT(F39)</f>
        <v>433012.70131606492</v>
      </c>
      <c r="T37" t="s">
        <v>47</v>
      </c>
    </row>
    <row r="38" spans="1:20" ht="15.6" x14ac:dyDescent="0.35">
      <c r="A38" s="60">
        <v>1.5</v>
      </c>
      <c r="E38" s="40" t="s">
        <v>31</v>
      </c>
      <c r="F38" s="5">
        <f>(G34/B36)-(F36*F37)</f>
        <v>187499880161.52322</v>
      </c>
      <c r="H38" s="55" t="s">
        <v>37</v>
      </c>
      <c r="I38" s="56">
        <f>F38/(I37*I36)</f>
        <v>0.99999999999983802</v>
      </c>
      <c r="S38" s="5">
        <f t="shared" ref="S38:S43" si="17">D28</f>
        <v>1</v>
      </c>
      <c r="T38" s="5">
        <f t="shared" ref="T38:T43" si="18">(ABS((C28-T30)/C28)*100)*S38</f>
        <v>4.2351647362715017E-14</v>
      </c>
    </row>
    <row r="39" spans="1:20" ht="16.8" x14ac:dyDescent="0.35">
      <c r="E39" s="5" t="s">
        <v>32</v>
      </c>
      <c r="F39" s="5">
        <f>(H34/B36)-(F36^2)</f>
        <v>187499999501.03568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58.810855820644392</v>
      </c>
    </row>
    <row r="41" spans="1:20" ht="16.2" thickBot="1" x14ac:dyDescent="0.4">
      <c r="E41" s="5" t="s">
        <v>46</v>
      </c>
      <c r="F41" s="5">
        <f>(F38/F39)</f>
        <v>0.99999936352259855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9.7358938119827592</v>
      </c>
    </row>
    <row r="42" spans="1:20" ht="15.6" x14ac:dyDescent="0.35">
      <c r="E42" s="5" t="s">
        <v>40</v>
      </c>
      <c r="F42" s="5">
        <f>(F37-(F41*F36))</f>
        <v>0.63647740194573998</v>
      </c>
      <c r="H42" s="26">
        <f>E29</f>
        <v>0</v>
      </c>
      <c r="I42" s="26">
        <f>$F$41*H42+$F$42</f>
        <v>0.63647740194573998</v>
      </c>
      <c r="S42" s="5">
        <f t="shared" si="17"/>
        <v>1</v>
      </c>
      <c r="T42" s="5">
        <f t="shared" si="18"/>
        <v>49.212146612844364</v>
      </c>
    </row>
    <row r="43" spans="1:20" x14ac:dyDescent="0.3">
      <c r="H43" s="26">
        <f>E30</f>
        <v>2.1431633090441492E-3</v>
      </c>
      <c r="I43" s="26">
        <f>$F$41*H43+$F$42</f>
        <v>0.63862056389070909</v>
      </c>
      <c r="S43" s="5">
        <f t="shared" si="17"/>
        <v>0</v>
      </c>
      <c r="T43" s="5">
        <f t="shared" si="18"/>
        <v>0</v>
      </c>
    </row>
    <row r="44" spans="1:20" ht="15.6" x14ac:dyDescent="0.35">
      <c r="E44" s="5" t="s">
        <v>44</v>
      </c>
      <c r="F44" s="5">
        <f>1/F42</f>
        <v>1.5711476903075507</v>
      </c>
      <c r="H44" s="26">
        <f>E31</f>
        <v>1.3234515616728428E-3</v>
      </c>
      <c r="I44" s="26">
        <f>$F$41*H44+$F$42</f>
        <v>0.63780085266506581</v>
      </c>
      <c r="S44" s="56" t="s">
        <v>48</v>
      </c>
      <c r="T44" s="56">
        <f>SUM(T38:T43)/B36</f>
        <v>29.43972406136789</v>
      </c>
    </row>
    <row r="45" spans="1:20" ht="15.6" x14ac:dyDescent="0.35">
      <c r="E45" s="5" t="s">
        <v>45</v>
      </c>
      <c r="F45" s="5">
        <f>1/(F44*F41)</f>
        <v>0.63647780704948076</v>
      </c>
      <c r="H45" s="26">
        <f>E32</f>
        <v>5.250997689561016E-4</v>
      </c>
      <c r="I45" s="26">
        <f>$F$41*H45+$F$42</f>
        <v>0.63700250138048198</v>
      </c>
    </row>
    <row r="46" spans="1:20" x14ac:dyDescent="0.3">
      <c r="H46" s="26">
        <f>E33</f>
        <v>0</v>
      </c>
      <c r="I46" s="26">
        <f>$F$41*H46+$F$42</f>
        <v>0.63647740194573998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6"/>
  <sheetViews>
    <sheetView topLeftCell="A16"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12</v>
      </c>
      <c r="B1" s="72" t="s">
        <v>62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'Datos de laboratorio'!X58</f>
        <v>33</v>
      </c>
      <c r="C4" s="37">
        <f>'Datos de laboratorio'!AA58</f>
        <v>1.9390000000000001</v>
      </c>
      <c r="D4" s="5">
        <v>1</v>
      </c>
      <c r="E4" s="47">
        <f t="shared" si="0"/>
        <v>3.0303030303030304E-2</v>
      </c>
      <c r="F4" s="42">
        <f t="shared" si="1"/>
        <v>0.51572975760701389</v>
      </c>
      <c r="G4" s="42">
        <f t="shared" si="2"/>
        <v>1.5628174472939814E-2</v>
      </c>
      <c r="H4" s="42">
        <f t="shared" si="3"/>
        <v>9.1827364554637292E-4</v>
      </c>
      <c r="I4" s="42">
        <f t="shared" si="3"/>
        <v>0.26597718288138933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laboratorio'!X59</f>
        <v>354</v>
      </c>
      <c r="C5" s="37">
        <f>'Datos de laboratorio'!AA59</f>
        <v>1.6503999999999996</v>
      </c>
      <c r="D5" s="5">
        <v>1</v>
      </c>
      <c r="E5" s="47">
        <f t="shared" si="0"/>
        <v>2.8248587570621469E-3</v>
      </c>
      <c r="F5" s="42">
        <f t="shared" si="1"/>
        <v>0.60591371788657311</v>
      </c>
      <c r="G5" s="5">
        <f t="shared" si="2"/>
        <v>1.7116206719959691E-3</v>
      </c>
      <c r="H5" s="5">
        <f t="shared" si="3"/>
        <v>7.9798269973506977E-6</v>
      </c>
      <c r="I5" s="5">
        <f t="shared" si="3"/>
        <v>0.36713143352312971</v>
      </c>
      <c r="S5">
        <f t="shared" ref="S5:S10" si="4">B3</f>
        <v>9.9999999999999995E-7</v>
      </c>
      <c r="T5" s="26">
        <f t="shared" ref="T5:T10" si="5">(($F$19*$F$20)*S5)/(1+$F$20*S5)</f>
        <v>9.9999999999999699E-7</v>
      </c>
    </row>
    <row r="6" spans="1:20" x14ac:dyDescent="0.3">
      <c r="A6" s="41">
        <v>3</v>
      </c>
      <c r="B6" s="26">
        <f>'Datos de laboratorio'!X60</f>
        <v>751.3</v>
      </c>
      <c r="C6" s="37">
        <f>'Datos de laboratorio'!AA60</f>
        <v>2.999000000000001</v>
      </c>
      <c r="D6" s="5">
        <v>1</v>
      </c>
      <c r="E6" s="47">
        <f t="shared" si="0"/>
        <v>1.331026221216558E-3</v>
      </c>
      <c r="F6" s="42">
        <f t="shared" si="1"/>
        <v>0.33344448149383116</v>
      </c>
      <c r="G6" s="5">
        <f t="shared" si="2"/>
        <v>4.4382334818824861E-4</v>
      </c>
      <c r="H6" s="5">
        <f t="shared" si="3"/>
        <v>1.7716308015660297E-6</v>
      </c>
      <c r="I6" s="5">
        <f t="shared" si="3"/>
        <v>0.11118522223868992</v>
      </c>
      <c r="S6" s="26">
        <f t="shared" si="4"/>
        <v>33</v>
      </c>
      <c r="T6" s="26">
        <f t="shared" si="5"/>
        <v>2.2964668959456715</v>
      </c>
    </row>
    <row r="7" spans="1:20" x14ac:dyDescent="0.3">
      <c r="A7" s="41">
        <v>4</v>
      </c>
      <c r="B7" s="26">
        <f>'Datos de laboratorio'!X61</f>
        <v>1690.3</v>
      </c>
      <c r="C7" s="37">
        <f>'Datos de laboratorio'!AA61</f>
        <v>3.3640000000000008</v>
      </c>
      <c r="D7" s="5">
        <v>1</v>
      </c>
      <c r="E7" s="47">
        <f t="shared" si="0"/>
        <v>5.9161095663491691E-4</v>
      </c>
      <c r="F7" s="42">
        <f t="shared" si="1"/>
        <v>0.29726516052318663</v>
      </c>
      <c r="G7" s="5">
        <f t="shared" si="2"/>
        <v>1.7586532599135458E-4</v>
      </c>
      <c r="H7" s="5">
        <f t="shared" si="3"/>
        <v>3.5000352401048151E-7</v>
      </c>
      <c r="I7" s="5">
        <f t="shared" si="3"/>
        <v>8.8366575660875912E-2</v>
      </c>
      <c r="S7" s="26">
        <f t="shared" si="4"/>
        <v>354</v>
      </c>
      <c r="T7" s="26">
        <f t="shared" si="5"/>
        <v>2.4511404409192514</v>
      </c>
    </row>
    <row r="8" spans="1:20" ht="15" thickBot="1" x14ac:dyDescent="0.35">
      <c r="A8" s="41">
        <v>5</v>
      </c>
      <c r="B8" s="26">
        <f>'Datos de laboratorio'!X62</f>
        <v>4948.8</v>
      </c>
      <c r="C8" s="37">
        <f>'Datos de laboratorio'!AA62</f>
        <v>3.24</v>
      </c>
      <c r="D8" s="48">
        <v>1</v>
      </c>
      <c r="E8" s="49">
        <f t="shared" si="0"/>
        <v>2.02069188490139E-4</v>
      </c>
      <c r="F8" s="50">
        <f t="shared" si="1"/>
        <v>0.30864197530864196</v>
      </c>
      <c r="G8" s="48">
        <f t="shared" si="2"/>
        <v>6.2367033484610803E-5</v>
      </c>
      <c r="H8" s="48">
        <f t="shared" si="3"/>
        <v>4.0831956937063322E-8</v>
      </c>
      <c r="I8" s="48">
        <f t="shared" si="3"/>
        <v>9.5259868922420346E-2</v>
      </c>
      <c r="S8" s="26">
        <f t="shared" si="4"/>
        <v>751.3</v>
      </c>
      <c r="T8" s="26">
        <f t="shared" si="5"/>
        <v>2.460148500636397</v>
      </c>
    </row>
    <row r="9" spans="1:20" ht="15" thickBot="1" x14ac:dyDescent="0.35">
      <c r="D9" s="51" t="s">
        <v>30</v>
      </c>
      <c r="E9" s="52">
        <f>SUM(E3:E8)</f>
        <v>1000000.0352525953</v>
      </c>
      <c r="F9" s="53">
        <f>SUM(F3:F8)</f>
        <v>1000002.0609950927</v>
      </c>
      <c r="G9" s="53">
        <f>SUM(G3:G8)</f>
        <v>1000000000000.0181</v>
      </c>
      <c r="H9" s="53">
        <f>SUM(H3:H8)</f>
        <v>1000000000000.001</v>
      </c>
      <c r="I9" s="54">
        <f>SUM(I3:I8)</f>
        <v>1000000000000.928</v>
      </c>
      <c r="S9" s="26">
        <f t="shared" si="4"/>
        <v>1690.3</v>
      </c>
      <c r="T9" s="26">
        <f t="shared" si="5"/>
        <v>2.4646318399995297</v>
      </c>
    </row>
    <row r="10" spans="1:20" ht="15" thickBot="1" x14ac:dyDescent="0.35">
      <c r="S10" s="26">
        <f t="shared" si="4"/>
        <v>4948.8</v>
      </c>
      <c r="T10" s="26">
        <f t="shared" si="5"/>
        <v>2.4670003494448962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166666.67254209923</v>
      </c>
      <c r="H11" s="40" t="s">
        <v>35</v>
      </c>
      <c r="I11" s="5">
        <f>SQRT((I9/B11)-(F12^2))</f>
        <v>372677.84263247822</v>
      </c>
    </row>
    <row r="12" spans="1:20" ht="15.6" x14ac:dyDescent="0.35">
      <c r="E12" s="5" t="s">
        <v>34</v>
      </c>
      <c r="F12" s="5">
        <f>F9/B11</f>
        <v>166667.0101658488</v>
      </c>
      <c r="H12" s="40" t="s">
        <v>36</v>
      </c>
      <c r="I12" s="5">
        <f>SQRT(F14)</f>
        <v>372677.99362239178</v>
      </c>
      <c r="T12" t="s">
        <v>47</v>
      </c>
    </row>
    <row r="13" spans="1:20" ht="15.6" x14ac:dyDescent="0.35">
      <c r="E13" s="40" t="s">
        <v>31</v>
      </c>
      <c r="F13" s="5">
        <f>(G9/B11)-(F11*F12)</f>
        <v>138888830659.78745</v>
      </c>
      <c r="H13" s="55" t="s">
        <v>37</v>
      </c>
      <c r="I13" s="56">
        <f>F13/(I12*I11)</f>
        <v>0.9999999999999567</v>
      </c>
      <c r="S13" s="5">
        <f t="shared" ref="S13:S15" si="6">D3</f>
        <v>1</v>
      </c>
      <c r="T13" s="5">
        <f t="shared" ref="T13:T18" si="7">(ABS((C3-T5)/C3)*100)*S13</f>
        <v>2.9646153153900512E-13</v>
      </c>
    </row>
    <row r="14" spans="1:20" ht="16.8" x14ac:dyDescent="0.35">
      <c r="E14" s="5" t="s">
        <v>32</v>
      </c>
      <c r="F14" s="5">
        <f>(H9/B11)-(F11^2)</f>
        <v>138888886930.4115</v>
      </c>
      <c r="S14" s="5">
        <f t="shared" si="6"/>
        <v>1</v>
      </c>
      <c r="T14" s="5">
        <f t="shared" si="7"/>
        <v>18.435631559859285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48.517961761951767</v>
      </c>
    </row>
    <row r="16" spans="1:20" ht="16.2" thickBot="1" x14ac:dyDescent="0.4">
      <c r="E16" s="5" t="s">
        <v>46</v>
      </c>
      <c r="F16" s="5">
        <f>(F13/F14)</f>
        <v>0.99999959485150114</v>
      </c>
      <c r="H16" s="35" t="s">
        <v>25</v>
      </c>
      <c r="I16" s="36" t="s">
        <v>42</v>
      </c>
      <c r="S16" s="5">
        <f>D6</f>
        <v>1</v>
      </c>
      <c r="T16" s="5">
        <f t="shared" si="7"/>
        <v>17.967705880747044</v>
      </c>
    </row>
    <row r="17" spans="1:20" ht="15.6" x14ac:dyDescent="0.35">
      <c r="E17" s="5" t="s">
        <v>40</v>
      </c>
      <c r="F17" s="5">
        <f>(F12-(F16*F11))</f>
        <v>0.40514850176987238</v>
      </c>
      <c r="H17" s="26">
        <f t="shared" ref="H17:H22" si="8">E3</f>
        <v>1000000</v>
      </c>
      <c r="I17" s="26">
        <f t="shared" ref="I17:I22" si="9">$F$16*H17+$F$17</f>
        <v>1000000.0000000029</v>
      </c>
      <c r="S17" s="5">
        <f>D7</f>
        <v>1</v>
      </c>
      <c r="T17" s="5">
        <f t="shared" si="7"/>
        <v>26.7350820451983</v>
      </c>
    </row>
    <row r="18" spans="1:20" x14ac:dyDescent="0.3">
      <c r="H18" s="26">
        <f t="shared" si="8"/>
        <v>3.0303030303030304E-2</v>
      </c>
      <c r="I18" s="26">
        <f t="shared" si="9"/>
        <v>0.43545151979567542</v>
      </c>
      <c r="S18" s="5">
        <f>D8</f>
        <v>1</v>
      </c>
      <c r="T18" s="5">
        <f t="shared" si="7"/>
        <v>23.858013906021728</v>
      </c>
    </row>
    <row r="19" spans="1:20" ht="15.6" x14ac:dyDescent="0.35">
      <c r="E19" s="5" t="s">
        <v>44</v>
      </c>
      <c r="F19" s="5">
        <f>1/F17</f>
        <v>2.4682307737324622</v>
      </c>
      <c r="H19" s="26">
        <f t="shared" si="8"/>
        <v>2.8248587570621469E-3</v>
      </c>
      <c r="I19" s="26">
        <f t="shared" si="9"/>
        <v>0.40797335938244722</v>
      </c>
      <c r="S19" s="56" t="s">
        <v>48</v>
      </c>
      <c r="T19" s="56">
        <f>SUM(T13:T18)/B11</f>
        <v>22.585732525629737</v>
      </c>
    </row>
    <row r="20" spans="1:20" ht="15.6" x14ac:dyDescent="0.35">
      <c r="E20" s="5" t="s">
        <v>45</v>
      </c>
      <c r="F20" s="5">
        <f>1/(F19*F16)</f>
        <v>0.40514866591524623</v>
      </c>
      <c r="H20" s="26">
        <f t="shared" si="8"/>
        <v>1.331026221216558E-3</v>
      </c>
      <c r="I20" s="26">
        <f t="shared" si="9"/>
        <v>0.40647952745182564</v>
      </c>
    </row>
    <row r="21" spans="1:20" x14ac:dyDescent="0.3">
      <c r="H21" s="26">
        <f t="shared" si="8"/>
        <v>5.9161095663491691E-4</v>
      </c>
      <c r="I21" s="26">
        <f t="shared" si="9"/>
        <v>0.40574011248681702</v>
      </c>
    </row>
    <row r="22" spans="1:20" x14ac:dyDescent="0.3">
      <c r="H22" s="26">
        <f t="shared" si="8"/>
        <v>2.02069188490139E-4</v>
      </c>
      <c r="I22" s="26">
        <f t="shared" si="9"/>
        <v>0.40535057087649451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12</v>
      </c>
      <c r="B26" s="72" t="str">
        <f>B1</f>
        <v>sal=1 dur=10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33</v>
      </c>
      <c r="C29" s="26">
        <f t="shared" si="14"/>
        <v>1.9390000000000001</v>
      </c>
      <c r="D29" s="61">
        <v>1</v>
      </c>
      <c r="E29" s="47">
        <f t="shared" si="10"/>
        <v>3.0303030303030304E-2</v>
      </c>
      <c r="F29" s="42">
        <f t="shared" si="11"/>
        <v>0.51572975760701389</v>
      </c>
      <c r="G29" s="42">
        <f t="shared" si="12"/>
        <v>1.5628174472939814E-2</v>
      </c>
      <c r="H29" s="42">
        <f t="shared" si="13"/>
        <v>9.1827364554637292E-4</v>
      </c>
      <c r="I29" s="42">
        <f t="shared" si="13"/>
        <v>0.26597718288138933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354</v>
      </c>
      <c r="C30" s="26">
        <f t="shared" si="14"/>
        <v>1.6503999999999996</v>
      </c>
      <c r="D30" s="5">
        <v>1</v>
      </c>
      <c r="E30" s="47">
        <f t="shared" si="10"/>
        <v>2.8248587570621469E-3</v>
      </c>
      <c r="F30" s="42">
        <f t="shared" si="11"/>
        <v>0.60591371788657311</v>
      </c>
      <c r="G30" s="5">
        <f t="shared" si="12"/>
        <v>1.7116206719959691E-3</v>
      </c>
      <c r="H30" s="5">
        <f t="shared" si="13"/>
        <v>7.9798269973506977E-6</v>
      </c>
      <c r="I30" s="5">
        <f t="shared" si="13"/>
        <v>0.36713143352312971</v>
      </c>
      <c r="S30" s="26">
        <f t="shared" ref="S30:S35" si="15">B28</f>
        <v>9.9999999999999995E-7</v>
      </c>
      <c r="T30" s="63">
        <f t="shared" ref="T30:T35" si="16">(($F$44*$F$45)*S30)/(1+$F$45*S30)</f>
        <v>9.9999999999999699E-7</v>
      </c>
    </row>
    <row r="31" spans="1:20" x14ac:dyDescent="0.3">
      <c r="A31" s="41">
        <v>3</v>
      </c>
      <c r="B31" s="26">
        <f t="shared" si="14"/>
        <v>751.3</v>
      </c>
      <c r="C31" s="26">
        <f t="shared" si="14"/>
        <v>2.999000000000001</v>
      </c>
      <c r="D31" s="5">
        <v>1</v>
      </c>
      <c r="E31" s="47">
        <f t="shared" si="10"/>
        <v>1.331026221216558E-3</v>
      </c>
      <c r="F31" s="42">
        <f t="shared" si="11"/>
        <v>0.33344448149383116</v>
      </c>
      <c r="G31" s="5">
        <f t="shared" si="12"/>
        <v>4.4382334818824861E-4</v>
      </c>
      <c r="H31" s="5">
        <f t="shared" si="13"/>
        <v>1.7716308015660297E-6</v>
      </c>
      <c r="I31" s="5">
        <f t="shared" si="13"/>
        <v>0.11118522223868992</v>
      </c>
      <c r="S31" s="26">
        <f t="shared" si="15"/>
        <v>33</v>
      </c>
      <c r="T31" s="26">
        <f t="shared" si="16"/>
        <v>2.2964668959456715</v>
      </c>
    </row>
    <row r="32" spans="1:20" x14ac:dyDescent="0.3">
      <c r="A32" s="41">
        <v>4</v>
      </c>
      <c r="B32" s="26">
        <f t="shared" si="14"/>
        <v>1690.3</v>
      </c>
      <c r="C32" s="26">
        <f t="shared" si="14"/>
        <v>3.3640000000000008</v>
      </c>
      <c r="D32" s="5">
        <v>1</v>
      </c>
      <c r="E32" s="47">
        <f t="shared" si="10"/>
        <v>5.9161095663491691E-4</v>
      </c>
      <c r="F32" s="42">
        <f t="shared" si="11"/>
        <v>0.29726516052318663</v>
      </c>
      <c r="G32" s="5">
        <f t="shared" si="12"/>
        <v>1.7586532599135458E-4</v>
      </c>
      <c r="H32" s="5">
        <f t="shared" si="13"/>
        <v>3.5000352401048151E-7</v>
      </c>
      <c r="I32" s="5">
        <f t="shared" si="13"/>
        <v>8.8366575660875912E-2</v>
      </c>
      <c r="S32" s="26">
        <f t="shared" si="15"/>
        <v>354</v>
      </c>
      <c r="T32" s="26">
        <f t="shared" si="16"/>
        <v>2.4511404409192514</v>
      </c>
    </row>
    <row r="33" spans="1:20" ht="15" thickBot="1" x14ac:dyDescent="0.35">
      <c r="A33" s="41">
        <v>5</v>
      </c>
      <c r="B33" s="26">
        <f t="shared" si="14"/>
        <v>4948.8</v>
      </c>
      <c r="C33" s="26">
        <f t="shared" si="14"/>
        <v>3.24</v>
      </c>
      <c r="D33" s="48">
        <v>1</v>
      </c>
      <c r="E33" s="49">
        <f t="shared" si="10"/>
        <v>2.02069188490139E-4</v>
      </c>
      <c r="F33" s="50">
        <f t="shared" si="11"/>
        <v>0.30864197530864196</v>
      </c>
      <c r="G33" s="48">
        <f t="shared" si="12"/>
        <v>6.2367033484610803E-5</v>
      </c>
      <c r="H33" s="48">
        <f t="shared" si="13"/>
        <v>4.0831956937063322E-8</v>
      </c>
      <c r="I33" s="48">
        <f t="shared" si="13"/>
        <v>9.5259868922420346E-2</v>
      </c>
      <c r="S33" s="26">
        <f t="shared" si="15"/>
        <v>751.3</v>
      </c>
      <c r="T33" s="26">
        <f t="shared" si="16"/>
        <v>2.460148500636397</v>
      </c>
    </row>
    <row r="34" spans="1:20" ht="15" thickBot="1" x14ac:dyDescent="0.35">
      <c r="D34" s="51" t="s">
        <v>30</v>
      </c>
      <c r="E34" s="52">
        <f>SUM(E28:E33)</f>
        <v>1000000.0352525953</v>
      </c>
      <c r="F34" s="53">
        <f>SUM(F28:F33)</f>
        <v>1000002.0609950927</v>
      </c>
      <c r="G34" s="53">
        <f>SUM(G28:G33)</f>
        <v>1000000000000.0181</v>
      </c>
      <c r="H34" s="53">
        <f>SUM(H28:H33)</f>
        <v>1000000000000.001</v>
      </c>
      <c r="I34" s="54">
        <f>SUM(I28:I33)</f>
        <v>1000000000000.928</v>
      </c>
      <c r="S34" s="26">
        <f t="shared" si="15"/>
        <v>1690.3</v>
      </c>
      <c r="T34" s="26">
        <f t="shared" si="16"/>
        <v>2.4646318399995297</v>
      </c>
    </row>
    <row r="35" spans="1:20" ht="15" thickBot="1" x14ac:dyDescent="0.35">
      <c r="S35" s="26">
        <f t="shared" si="15"/>
        <v>4948.8</v>
      </c>
      <c r="T35" s="26">
        <f t="shared" si="16"/>
        <v>2.4670003494448962</v>
      </c>
    </row>
    <row r="36" spans="1:20" ht="16.2" thickBot="1" x14ac:dyDescent="0.4">
      <c r="A36" s="43" t="s">
        <v>38</v>
      </c>
      <c r="B36" s="46">
        <v>6</v>
      </c>
      <c r="E36" s="5" t="s">
        <v>33</v>
      </c>
      <c r="F36" s="5">
        <f>E34/B36</f>
        <v>166666.67254209923</v>
      </c>
      <c r="H36" s="40" t="s">
        <v>35</v>
      </c>
      <c r="I36" s="5">
        <f>SQRT((I34/B36)-(F37^2))</f>
        <v>372677.84263247822</v>
      </c>
    </row>
    <row r="37" spans="1:20" ht="15.6" x14ac:dyDescent="0.35">
      <c r="A37" s="60" t="s">
        <v>50</v>
      </c>
      <c r="E37" s="5" t="s">
        <v>34</v>
      </c>
      <c r="F37" s="5">
        <f>F34/B36</f>
        <v>166667.0101658488</v>
      </c>
      <c r="H37" s="40" t="s">
        <v>36</v>
      </c>
      <c r="I37" s="5">
        <f>SQRT(F39)</f>
        <v>372677.99362239178</v>
      </c>
      <c r="T37" t="s">
        <v>47</v>
      </c>
    </row>
    <row r="38" spans="1:20" ht="15.6" x14ac:dyDescent="0.35">
      <c r="A38" s="60" t="s">
        <v>70</v>
      </c>
      <c r="E38" s="40" t="s">
        <v>31</v>
      </c>
      <c r="F38" s="5">
        <f>(G34/B36)-(F36*F37)</f>
        <v>138888830659.78745</v>
      </c>
      <c r="H38" s="55" t="s">
        <v>37</v>
      </c>
      <c r="I38" s="56">
        <f>F38/(I37*I36)</f>
        <v>0.9999999999999567</v>
      </c>
      <c r="S38" s="5">
        <f t="shared" ref="S38:S43" si="17">D28</f>
        <v>1</v>
      </c>
      <c r="T38" s="5">
        <f t="shared" ref="T38:T43" si="18">(ABS((C28-T30)/C28)*100)*S38</f>
        <v>2.9646153153900512E-13</v>
      </c>
    </row>
    <row r="39" spans="1:20" ht="16.8" x14ac:dyDescent="0.35">
      <c r="E39" s="5" t="s">
        <v>32</v>
      </c>
      <c r="F39" s="5">
        <f>(H34/B36)-(F36^2)</f>
        <v>138888886930.4115</v>
      </c>
      <c r="S39" s="5">
        <f t="shared" si="17"/>
        <v>1</v>
      </c>
      <c r="T39" s="5">
        <f t="shared" si="18"/>
        <v>18.435631559859285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48.517961761951767</v>
      </c>
    </row>
    <row r="41" spans="1:20" ht="16.2" thickBot="1" x14ac:dyDescent="0.4">
      <c r="E41" s="5" t="s">
        <v>46</v>
      </c>
      <c r="F41" s="5">
        <f>(F38/F39)</f>
        <v>0.99999959485150114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17.967705880747044</v>
      </c>
    </row>
    <row r="42" spans="1:20" ht="15.6" x14ac:dyDescent="0.35">
      <c r="E42" s="5" t="s">
        <v>40</v>
      </c>
      <c r="F42" s="5">
        <f>(F37-(F41*F36))</f>
        <v>0.40514850176987238</v>
      </c>
      <c r="H42" s="26">
        <f>E29</f>
        <v>3.0303030303030304E-2</v>
      </c>
      <c r="I42" s="26">
        <f>$F$41*H42+$F$42</f>
        <v>0.43545151979567542</v>
      </c>
      <c r="S42" s="5">
        <f t="shared" si="17"/>
        <v>1</v>
      </c>
      <c r="T42" s="5">
        <f t="shared" si="18"/>
        <v>26.7350820451983</v>
      </c>
    </row>
    <row r="43" spans="1:20" x14ac:dyDescent="0.3">
      <c r="H43" s="26">
        <f>E30</f>
        <v>2.8248587570621469E-3</v>
      </c>
      <c r="I43" s="26">
        <f>$F$41*H43+$F$42</f>
        <v>0.40797335938244722</v>
      </c>
      <c r="S43" s="5">
        <f t="shared" si="17"/>
        <v>1</v>
      </c>
      <c r="T43" s="5">
        <f t="shared" si="18"/>
        <v>23.858013906021728</v>
      </c>
    </row>
    <row r="44" spans="1:20" ht="15.6" x14ac:dyDescent="0.35">
      <c r="E44" s="5" t="s">
        <v>44</v>
      </c>
      <c r="F44" s="5">
        <f>1/F42</f>
        <v>2.4682307737324622</v>
      </c>
      <c r="H44" s="26">
        <f>E31</f>
        <v>1.331026221216558E-3</v>
      </c>
      <c r="I44" s="26">
        <f>$F$41*H44+$F$42</f>
        <v>0.40647952745182564</v>
      </c>
      <c r="S44" s="56" t="s">
        <v>48</v>
      </c>
      <c r="T44" s="56">
        <f>SUM(T38:T43)/B36</f>
        <v>22.585732525629737</v>
      </c>
    </row>
    <row r="45" spans="1:20" ht="15.6" x14ac:dyDescent="0.35">
      <c r="E45" s="5" t="s">
        <v>45</v>
      </c>
      <c r="F45" s="5">
        <f>1/(F44*F41)</f>
        <v>0.40514866591524623</v>
      </c>
      <c r="H45" s="26">
        <f>E32</f>
        <v>5.9161095663491691E-4</v>
      </c>
      <c r="I45" s="26">
        <f>$F$41*H45+$F$42</f>
        <v>0.40574011248681702</v>
      </c>
    </row>
    <row r="46" spans="1:20" x14ac:dyDescent="0.3">
      <c r="H46" s="26">
        <f>E33</f>
        <v>2.02069188490139E-4</v>
      </c>
      <c r="I46" s="26">
        <f>$F$41*H46+$F$42</f>
        <v>0.40535057087649451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6"/>
  <sheetViews>
    <sheetView topLeftCell="A10"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13</v>
      </c>
      <c r="B1" s="72" t="s">
        <v>63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'Datos de laboratorio'!X63</f>
        <v>21.000000000000004</v>
      </c>
      <c r="C4" s="37">
        <f>'Datos de laboratorio'!AA63</f>
        <v>2.2320000000000002</v>
      </c>
      <c r="D4" s="5">
        <v>1</v>
      </c>
      <c r="E4" s="47">
        <f t="shared" si="0"/>
        <v>4.7619047619047609E-2</v>
      </c>
      <c r="F4" s="42">
        <f t="shared" si="1"/>
        <v>0.4480286738351254</v>
      </c>
      <c r="G4" s="42">
        <f t="shared" si="2"/>
        <v>2.1334698754053586E-2</v>
      </c>
      <c r="H4" s="42">
        <f t="shared" si="3"/>
        <v>2.2675736961451239E-3</v>
      </c>
      <c r="I4" s="42">
        <f t="shared" si="3"/>
        <v>0.20072969257846118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laboratorio'!X64</f>
        <v>180</v>
      </c>
      <c r="C5" s="37">
        <f>'Datos de laboratorio'!AA64</f>
        <v>3.5539999999999998</v>
      </c>
      <c r="D5" s="5">
        <v>1</v>
      </c>
      <c r="E5" s="47">
        <f t="shared" si="0"/>
        <v>5.5555555555555558E-3</v>
      </c>
      <c r="F5" s="42">
        <f t="shared" si="1"/>
        <v>0.28137310073157007</v>
      </c>
      <c r="G5" s="5">
        <f t="shared" si="2"/>
        <v>1.563183892953167E-3</v>
      </c>
      <c r="H5" s="5">
        <f t="shared" si="3"/>
        <v>3.0864197530864198E-5</v>
      </c>
      <c r="I5" s="5">
        <f t="shared" si="3"/>
        <v>7.9170821815298276E-2</v>
      </c>
      <c r="S5">
        <f t="shared" ref="S5:S10" si="4">B3</f>
        <v>9.9999999999999995E-7</v>
      </c>
      <c r="T5" s="26">
        <f t="shared" ref="T5:T10" si="5">(($F$19*$F$20)*S5)/(1+$F$20*S5)</f>
        <v>9.9999999999999657E-7</v>
      </c>
    </row>
    <row r="6" spans="1:20" x14ac:dyDescent="0.3">
      <c r="A6" s="41">
        <v>3</v>
      </c>
      <c r="B6" s="26">
        <f>'Datos de laboratorio'!X65</f>
        <v>804.6</v>
      </c>
      <c r="C6" s="37">
        <f>'Datos de laboratorio'!AA65</f>
        <v>2.608000000000001</v>
      </c>
      <c r="D6" s="5">
        <v>1</v>
      </c>
      <c r="E6" s="47">
        <f t="shared" si="0"/>
        <v>1.2428535918468805E-3</v>
      </c>
      <c r="F6" s="42">
        <f t="shared" si="1"/>
        <v>0.38343558282208573</v>
      </c>
      <c r="G6" s="5">
        <f t="shared" si="2"/>
        <v>4.7655429135233128E-4</v>
      </c>
      <c r="H6" s="5">
        <f t="shared" si="3"/>
        <v>1.5446850507666921E-6</v>
      </c>
      <c r="I6" s="5">
        <f t="shared" si="3"/>
        <v>0.14702284617411257</v>
      </c>
      <c r="S6" s="26">
        <f t="shared" si="4"/>
        <v>21.000000000000004</v>
      </c>
      <c r="T6" s="26">
        <f t="shared" si="5"/>
        <v>2.6576925921104353</v>
      </c>
    </row>
    <row r="7" spans="1:20" x14ac:dyDescent="0.3">
      <c r="A7" s="41">
        <v>4</v>
      </c>
      <c r="B7" s="26">
        <f>'Datos de laboratorio'!X66</f>
        <v>1681</v>
      </c>
      <c r="C7" s="37">
        <f>'Datos de laboratorio'!AA66</f>
        <v>3.61</v>
      </c>
      <c r="D7" s="5">
        <v>1</v>
      </c>
      <c r="E7" s="47">
        <f t="shared" si="0"/>
        <v>5.9488399762046404E-4</v>
      </c>
      <c r="F7" s="42">
        <f t="shared" si="1"/>
        <v>0.2770083102493075</v>
      </c>
      <c r="G7" s="5">
        <f t="shared" si="2"/>
        <v>1.6478781097519781E-4</v>
      </c>
      <c r="H7" s="5">
        <f t="shared" si="3"/>
        <v>3.5388697062490424E-7</v>
      </c>
      <c r="I7" s="5">
        <f t="shared" si="3"/>
        <v>7.6733603947176598E-2</v>
      </c>
      <c r="S7" s="26">
        <f t="shared" si="4"/>
        <v>180</v>
      </c>
      <c r="T7" s="26">
        <f t="shared" si="5"/>
        <v>2.9921954961678336</v>
      </c>
    </row>
    <row r="8" spans="1:20" ht="15" thickBot="1" x14ac:dyDescent="0.35">
      <c r="A8" s="41">
        <v>5</v>
      </c>
      <c r="B8" s="26">
        <f>'Datos de laboratorio'!X67</f>
        <v>4179.3</v>
      </c>
      <c r="C8" s="37">
        <f>'Datos de laboratorio'!AA67</f>
        <v>3.24</v>
      </c>
      <c r="D8" s="48">
        <v>1</v>
      </c>
      <c r="E8" s="49">
        <f t="shared" si="0"/>
        <v>2.3927451965640177E-4</v>
      </c>
      <c r="F8" s="50">
        <f t="shared" si="1"/>
        <v>0.30864197530864196</v>
      </c>
      <c r="G8" s="48">
        <f t="shared" si="2"/>
        <v>7.3850160387778314E-5</v>
      </c>
      <c r="H8" s="48">
        <f t="shared" si="3"/>
        <v>5.7252295756801797E-8</v>
      </c>
      <c r="I8" s="48">
        <f t="shared" si="3"/>
        <v>9.5259868922420346E-2</v>
      </c>
      <c r="S8" s="26">
        <f t="shared" si="4"/>
        <v>804.6</v>
      </c>
      <c r="T8" s="26">
        <f t="shared" si="5"/>
        <v>3.0313129011742714</v>
      </c>
    </row>
    <row r="9" spans="1:20" ht="15" thickBot="1" x14ac:dyDescent="0.35">
      <c r="D9" s="51" t="s">
        <v>30</v>
      </c>
      <c r="E9" s="52">
        <f>SUM(E3:E8)</f>
        <v>1000000.0552516152</v>
      </c>
      <c r="F9" s="53">
        <f>SUM(F3:F8)</f>
        <v>1000001.6984876429</v>
      </c>
      <c r="G9" s="53">
        <f>SUM(G3:G8)</f>
        <v>1000000000000.0237</v>
      </c>
      <c r="H9" s="53">
        <f>SUM(H3:H8)</f>
        <v>1000000000000.0023</v>
      </c>
      <c r="I9" s="54">
        <f>SUM(I3:I8)</f>
        <v>1000000000000.5989</v>
      </c>
      <c r="S9" s="26">
        <f t="shared" si="4"/>
        <v>1681</v>
      </c>
      <c r="T9" s="26">
        <f t="shared" si="5"/>
        <v>3.0372787177902048</v>
      </c>
    </row>
    <row r="10" spans="1:20" ht="15" thickBot="1" x14ac:dyDescent="0.35">
      <c r="S10" s="26">
        <f t="shared" si="4"/>
        <v>4179.3</v>
      </c>
      <c r="T10" s="26">
        <f t="shared" si="5"/>
        <v>3.0405627832664899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166666.6758752692</v>
      </c>
      <c r="H11" s="40" t="s">
        <v>35</v>
      </c>
      <c r="I11" s="5">
        <f>SQRT((I9/B11)-(F12^2))</f>
        <v>372677.86965217552</v>
      </c>
    </row>
    <row r="12" spans="1:20" ht="15.6" x14ac:dyDescent="0.35">
      <c r="E12" s="5" t="s">
        <v>34</v>
      </c>
      <c r="F12" s="5">
        <f>F9/B11</f>
        <v>166666.9497479405</v>
      </c>
      <c r="H12" s="40" t="s">
        <v>36</v>
      </c>
      <c r="I12" s="5">
        <f>SQRT(F14)</f>
        <v>372677.99213175307</v>
      </c>
      <c r="T12" t="s">
        <v>47</v>
      </c>
    </row>
    <row r="13" spans="1:20" ht="15.6" x14ac:dyDescent="0.35">
      <c r="E13" s="40" t="s">
        <v>31</v>
      </c>
      <c r="F13" s="5">
        <f>(G9/B11)-(F11*F12)</f>
        <v>138888840173.91086</v>
      </c>
      <c r="H13" s="55" t="s">
        <v>37</v>
      </c>
      <c r="I13" s="56">
        <f>F13/(I12*I11)</f>
        <v>0.99999999999999212</v>
      </c>
      <c r="S13" s="5">
        <f t="shared" ref="S13:S15" si="6">D3</f>
        <v>1</v>
      </c>
      <c r="T13" s="5">
        <f t="shared" ref="T13:T18" si="7">(ABS((C3-T5)/C3)*100)*S13</f>
        <v>3.3881317890172014E-13</v>
      </c>
    </row>
    <row r="14" spans="1:20" ht="16.8" x14ac:dyDescent="0.35">
      <c r="E14" s="5" t="s">
        <v>32</v>
      </c>
      <c r="F14" s="5">
        <f>(H9/B11)-(F11^2)</f>
        <v>138888885819.35501</v>
      </c>
      <c r="S14" s="5">
        <f t="shared" si="6"/>
        <v>1</v>
      </c>
      <c r="T14" s="5">
        <f t="shared" si="7"/>
        <v>19.072248750467519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15.807667524821783</v>
      </c>
    </row>
    <row r="16" spans="1:20" ht="16.2" thickBot="1" x14ac:dyDescent="0.4">
      <c r="E16" s="5" t="s">
        <v>46</v>
      </c>
      <c r="F16" s="5">
        <f>(F13/F14)</f>
        <v>0.99999967135279488</v>
      </c>
      <c r="H16" s="35" t="s">
        <v>25</v>
      </c>
      <c r="I16" s="36" t="s">
        <v>42</v>
      </c>
      <c r="S16" s="5">
        <f>D6</f>
        <v>1</v>
      </c>
      <c r="T16" s="5">
        <f t="shared" si="7"/>
        <v>16.231322897786438</v>
      </c>
    </row>
    <row r="17" spans="1:20" ht="15.6" x14ac:dyDescent="0.35">
      <c r="E17" s="5" t="s">
        <v>40</v>
      </c>
      <c r="F17" s="5">
        <f>(F12-(F16*F11))</f>
        <v>0.32864720851648599</v>
      </c>
      <c r="H17" s="26">
        <f t="shared" ref="H17:H22" si="8">E3</f>
        <v>1000000</v>
      </c>
      <c r="I17" s="26">
        <f t="shared" ref="I17:I22" si="9">$F$16*H17+$F$17</f>
        <v>1000000.0000000034</v>
      </c>
      <c r="S17" s="5">
        <f>D7</f>
        <v>1</v>
      </c>
      <c r="T17" s="5">
        <f t="shared" si="7"/>
        <v>15.864855462875212</v>
      </c>
    </row>
    <row r="18" spans="1:20" x14ac:dyDescent="0.3">
      <c r="H18" s="26">
        <f t="shared" si="8"/>
        <v>4.7619047619047609E-2</v>
      </c>
      <c r="I18" s="26">
        <f t="shared" si="9"/>
        <v>0.3762662404856667</v>
      </c>
      <c r="S18" s="5">
        <f>D8</f>
        <v>1</v>
      </c>
      <c r="T18" s="5">
        <f t="shared" si="7"/>
        <v>6.1554696522688372</v>
      </c>
    </row>
    <row r="19" spans="1:20" ht="15.6" x14ac:dyDescent="0.35">
      <c r="E19" s="5" t="s">
        <v>44</v>
      </c>
      <c r="F19" s="5">
        <f>1/F17</f>
        <v>3.0427764912837736</v>
      </c>
      <c r="H19" s="26">
        <f t="shared" si="8"/>
        <v>5.5555555555555558E-3</v>
      </c>
      <c r="I19" s="26">
        <f t="shared" si="9"/>
        <v>0.33420276224622375</v>
      </c>
      <c r="S19" s="56" t="s">
        <v>48</v>
      </c>
      <c r="T19" s="56">
        <f>SUM(T13:T18)/B11</f>
        <v>12.188594048036686</v>
      </c>
    </row>
    <row r="20" spans="1:20" ht="15.6" x14ac:dyDescent="0.35">
      <c r="E20" s="5" t="s">
        <v>45</v>
      </c>
      <c r="F20" s="5">
        <f>1/(F19*F16)</f>
        <v>0.32864731652550805</v>
      </c>
      <c r="H20" s="26">
        <f t="shared" si="8"/>
        <v>1.2428535918468805E-3</v>
      </c>
      <c r="I20" s="26">
        <f t="shared" si="9"/>
        <v>0.32989006169987251</v>
      </c>
    </row>
    <row r="21" spans="1:20" x14ac:dyDescent="0.3">
      <c r="H21" s="26">
        <f t="shared" si="8"/>
        <v>5.9488399762046404E-4</v>
      </c>
      <c r="I21" s="26">
        <f t="shared" si="9"/>
        <v>0.32924209231859947</v>
      </c>
    </row>
    <row r="22" spans="1:20" x14ac:dyDescent="0.3">
      <c r="H22" s="26">
        <f t="shared" si="8"/>
        <v>2.3927451965640177E-4</v>
      </c>
      <c r="I22" s="26">
        <f t="shared" si="9"/>
        <v>0.3288864829575055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13</v>
      </c>
      <c r="B26" s="72" t="str">
        <f>B1</f>
        <v>sal=2 dur=0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21.000000000000004</v>
      </c>
      <c r="C29" s="26">
        <f t="shared" si="14"/>
        <v>2.2320000000000002</v>
      </c>
      <c r="D29" s="61">
        <v>1</v>
      </c>
      <c r="E29" s="47">
        <f t="shared" si="10"/>
        <v>4.7619047619047609E-2</v>
      </c>
      <c r="F29" s="42">
        <f t="shared" si="11"/>
        <v>0.4480286738351254</v>
      </c>
      <c r="G29" s="42">
        <f t="shared" si="12"/>
        <v>2.1334698754053586E-2</v>
      </c>
      <c r="H29" s="42">
        <f t="shared" si="13"/>
        <v>2.2675736961451239E-3</v>
      </c>
      <c r="I29" s="42">
        <f t="shared" si="13"/>
        <v>0.20072969257846118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180</v>
      </c>
      <c r="C30" s="26">
        <f t="shared" si="14"/>
        <v>3.5539999999999998</v>
      </c>
      <c r="D30" s="5">
        <v>1</v>
      </c>
      <c r="E30" s="47">
        <f t="shared" si="10"/>
        <v>5.5555555555555558E-3</v>
      </c>
      <c r="F30" s="42">
        <f t="shared" si="11"/>
        <v>0.28137310073157007</v>
      </c>
      <c r="G30" s="5">
        <f t="shared" si="12"/>
        <v>1.563183892953167E-3</v>
      </c>
      <c r="H30" s="5">
        <f t="shared" si="13"/>
        <v>3.0864197530864198E-5</v>
      </c>
      <c r="I30" s="5">
        <f t="shared" si="13"/>
        <v>7.9170821815298276E-2</v>
      </c>
      <c r="S30" s="26">
        <f t="shared" ref="S30:S35" si="15">B28</f>
        <v>9.9999999999999995E-7</v>
      </c>
      <c r="T30" s="63">
        <f t="shared" ref="T30:T35" si="16">(($F$44*$F$45)*S30)/(1+$F$45*S30)</f>
        <v>9.9999999999999593E-7</v>
      </c>
    </row>
    <row r="31" spans="1:20" x14ac:dyDescent="0.3">
      <c r="A31" s="41">
        <v>3</v>
      </c>
      <c r="B31" s="26">
        <f t="shared" si="14"/>
        <v>804.6</v>
      </c>
      <c r="C31" s="26">
        <f t="shared" si="14"/>
        <v>2.608000000000001</v>
      </c>
      <c r="D31" s="5">
        <v>0</v>
      </c>
      <c r="E31" s="47">
        <f t="shared" si="10"/>
        <v>0</v>
      </c>
      <c r="F31" s="42">
        <f t="shared" si="11"/>
        <v>0</v>
      </c>
      <c r="G31" s="5">
        <f t="shared" si="12"/>
        <v>0</v>
      </c>
      <c r="H31" s="5">
        <f t="shared" si="13"/>
        <v>0</v>
      </c>
      <c r="I31" s="5">
        <f t="shared" si="13"/>
        <v>0</v>
      </c>
      <c r="S31" s="26">
        <f t="shared" si="15"/>
        <v>21.000000000000004</v>
      </c>
      <c r="T31" s="26">
        <f t="shared" si="16"/>
        <v>2.7557329820122387</v>
      </c>
    </row>
    <row r="32" spans="1:20" x14ac:dyDescent="0.3">
      <c r="A32" s="41">
        <v>4</v>
      </c>
      <c r="B32" s="26">
        <f t="shared" si="14"/>
        <v>1681</v>
      </c>
      <c r="C32" s="26">
        <f t="shared" si="14"/>
        <v>3.61</v>
      </c>
      <c r="D32" s="5">
        <v>1</v>
      </c>
      <c r="E32" s="47">
        <f t="shared" si="10"/>
        <v>5.9488399762046404E-4</v>
      </c>
      <c r="F32" s="42">
        <f t="shared" si="11"/>
        <v>0.2770083102493075</v>
      </c>
      <c r="G32" s="5">
        <f t="shared" si="12"/>
        <v>1.6478781097519781E-4</v>
      </c>
      <c r="H32" s="5">
        <f t="shared" si="13"/>
        <v>3.5388697062490424E-7</v>
      </c>
      <c r="I32" s="5">
        <f t="shared" si="13"/>
        <v>7.6733603947176598E-2</v>
      </c>
      <c r="S32" s="26">
        <f t="shared" si="15"/>
        <v>180</v>
      </c>
      <c r="T32" s="26">
        <f t="shared" si="16"/>
        <v>3.1170478103650603</v>
      </c>
    </row>
    <row r="33" spans="1:20" ht="15" thickBot="1" x14ac:dyDescent="0.35">
      <c r="A33" s="41">
        <v>5</v>
      </c>
      <c r="B33" s="26">
        <f t="shared" si="14"/>
        <v>4179.3</v>
      </c>
      <c r="C33" s="26">
        <f t="shared" si="14"/>
        <v>3.24</v>
      </c>
      <c r="D33" s="48">
        <v>1</v>
      </c>
      <c r="E33" s="49">
        <f t="shared" si="10"/>
        <v>2.3927451965640177E-4</v>
      </c>
      <c r="F33" s="50">
        <f t="shared" si="11"/>
        <v>0.30864197530864196</v>
      </c>
      <c r="G33" s="48">
        <f t="shared" si="12"/>
        <v>7.3850160387778314E-5</v>
      </c>
      <c r="H33" s="48">
        <f t="shared" si="13"/>
        <v>5.7252295756801797E-8</v>
      </c>
      <c r="I33" s="48">
        <f t="shared" si="13"/>
        <v>9.5259868922420346E-2</v>
      </c>
      <c r="S33" s="26">
        <f t="shared" si="15"/>
        <v>804.6</v>
      </c>
      <c r="T33" s="26">
        <f t="shared" si="16"/>
        <v>3.159520915036798</v>
      </c>
    </row>
    <row r="34" spans="1:20" ht="15" thickBot="1" x14ac:dyDescent="0.35">
      <c r="D34" s="51" t="s">
        <v>30</v>
      </c>
      <c r="E34" s="52">
        <f>SUM(E28:E33)</f>
        <v>1000000.0540087617</v>
      </c>
      <c r="F34" s="53">
        <f>SUM(F28:F33)</f>
        <v>1000001.3150520601</v>
      </c>
      <c r="G34" s="53">
        <f>SUM(G28:G33)</f>
        <v>1000000000000.0232</v>
      </c>
      <c r="H34" s="53">
        <f>SUM(H28:H33)</f>
        <v>1000000000000.0023</v>
      </c>
      <c r="I34" s="54">
        <f>SUM(I28:I33)</f>
        <v>1000000000000.4519</v>
      </c>
      <c r="S34" s="26">
        <f t="shared" si="15"/>
        <v>1681</v>
      </c>
      <c r="T34" s="26">
        <f t="shared" si="16"/>
        <v>3.1660025861422736</v>
      </c>
    </row>
    <row r="35" spans="1:20" ht="15" thickBot="1" x14ac:dyDescent="0.35">
      <c r="S35" s="26">
        <f t="shared" si="15"/>
        <v>4179.3</v>
      </c>
      <c r="T35" s="26">
        <f t="shared" si="16"/>
        <v>3.1695710799833958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200000.01080175233</v>
      </c>
      <c r="H36" s="40" t="s">
        <v>35</v>
      </c>
      <c r="I36" s="5">
        <f>SQRT((I34/B36)-(F37^2))</f>
        <v>399999.86849479889</v>
      </c>
    </row>
    <row r="37" spans="1:20" ht="15.6" x14ac:dyDescent="0.35">
      <c r="A37" s="60" t="s">
        <v>50</v>
      </c>
      <c r="E37" s="5" t="s">
        <v>34</v>
      </c>
      <c r="F37" s="5">
        <f>F34/B36</f>
        <v>200000.26301041202</v>
      </c>
      <c r="H37" s="40" t="s">
        <v>36</v>
      </c>
      <c r="I37" s="5">
        <f>SQRT(F39)</f>
        <v>399999.99459912424</v>
      </c>
      <c r="T37" t="s">
        <v>47</v>
      </c>
    </row>
    <row r="38" spans="1:20" ht="15.6" x14ac:dyDescent="0.35">
      <c r="A38" s="60">
        <v>3</v>
      </c>
      <c r="E38" s="40" t="s">
        <v>31</v>
      </c>
      <c r="F38" s="5">
        <f>(G34/B36)-(F36*F37)</f>
        <v>159999945237.56894</v>
      </c>
      <c r="H38" s="55" t="s">
        <v>37</v>
      </c>
      <c r="I38" s="56">
        <f>F38/(I37*I36)</f>
        <v>0.99999999999999356</v>
      </c>
      <c r="S38" s="5">
        <f t="shared" ref="S38:S43" si="17">D28</f>
        <v>1</v>
      </c>
      <c r="T38" s="5">
        <f t="shared" ref="T38:T43" si="18">(ABS((C28-T30)/C28)*100)*S38</f>
        <v>4.0234064994579266E-13</v>
      </c>
    </row>
    <row r="39" spans="1:20" ht="16.8" x14ac:dyDescent="0.35">
      <c r="E39" s="5" t="s">
        <v>32</v>
      </c>
      <c r="F39" s="5">
        <f>(H34/B36)-(F36^2)</f>
        <v>159999995679.29941</v>
      </c>
      <c r="S39" s="5">
        <f t="shared" si="17"/>
        <v>1</v>
      </c>
      <c r="T39" s="5">
        <f t="shared" si="18"/>
        <v>23.464739337465883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12.294659246903194</v>
      </c>
    </row>
    <row r="41" spans="1:20" ht="16.2" thickBot="1" x14ac:dyDescent="0.4">
      <c r="E41" s="5" t="s">
        <v>46</v>
      </c>
      <c r="F41" s="5">
        <f>(F38/F39)</f>
        <v>0.99999968473917611</v>
      </c>
      <c r="H41" s="35" t="s">
        <v>25</v>
      </c>
      <c r="I41" s="36" t="s">
        <v>42</v>
      </c>
      <c r="S41" s="5">
        <f t="shared" si="17"/>
        <v>0</v>
      </c>
      <c r="T41" s="5">
        <f t="shared" si="18"/>
        <v>0</v>
      </c>
    </row>
    <row r="42" spans="1:20" ht="15.6" x14ac:dyDescent="0.35">
      <c r="E42" s="5" t="s">
        <v>40</v>
      </c>
      <c r="F42" s="5">
        <f>(F37-(F41*F36))</f>
        <v>0.31526082786149345</v>
      </c>
      <c r="H42" s="26">
        <f>E29</f>
        <v>4.7619047619047609E-2</v>
      </c>
      <c r="I42" s="26">
        <f>$F$41*H42+$F$42</f>
        <v>0.36287986046812087</v>
      </c>
      <c r="S42" s="5">
        <f t="shared" si="17"/>
        <v>1</v>
      </c>
      <c r="T42" s="5">
        <f t="shared" si="18"/>
        <v>12.299097336779122</v>
      </c>
    </row>
    <row r="43" spans="1:20" x14ac:dyDescent="0.3">
      <c r="H43" s="26">
        <f>E30</f>
        <v>5.5555555555555558E-3</v>
      </c>
      <c r="I43" s="26">
        <f>$F$41*H43+$F$42</f>
        <v>0.3208163816656</v>
      </c>
      <c r="S43" s="5">
        <f t="shared" si="17"/>
        <v>1</v>
      </c>
      <c r="T43" s="5">
        <f t="shared" si="18"/>
        <v>2.1737320992779132</v>
      </c>
    </row>
    <row r="44" spans="1:20" ht="15.6" x14ac:dyDescent="0.35">
      <c r="E44" s="5" t="s">
        <v>44</v>
      </c>
      <c r="F44" s="5">
        <f>1/F42</f>
        <v>3.1719766987332139</v>
      </c>
      <c r="H44" s="26">
        <f>E31</f>
        <v>0</v>
      </c>
      <c r="I44" s="26">
        <f>$F$41*H44+$F$42</f>
        <v>0.31526082786149345</v>
      </c>
      <c r="S44" s="56" t="s">
        <v>48</v>
      </c>
      <c r="T44" s="56">
        <f>SUM(T38:T43)/B36</f>
        <v>10.046445604085303</v>
      </c>
    </row>
    <row r="45" spans="1:20" ht="15.6" x14ac:dyDescent="0.35">
      <c r="E45" s="5" t="s">
        <v>45</v>
      </c>
      <c r="F45" s="5">
        <f>1/(F44*F41)</f>
        <v>0.31526092725091309</v>
      </c>
      <c r="H45" s="26">
        <f>E32</f>
        <v>5.9488399762046404E-4</v>
      </c>
      <c r="I45" s="26">
        <f>$F$41*H45+$F$42</f>
        <v>0.31585571167157028</v>
      </c>
    </row>
    <row r="46" spans="1:20" x14ac:dyDescent="0.3">
      <c r="H46" s="26">
        <f>E33</f>
        <v>2.3927451965640177E-4</v>
      </c>
      <c r="I46" s="26">
        <f>$F$41*H46+$F$42</f>
        <v>0.31550010230571596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6"/>
  <sheetViews>
    <sheetView topLeftCell="A19"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14</v>
      </c>
      <c r="B1" s="72" t="s">
        <v>64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0.000001</f>
        <v>9.9999999999999995E-7</v>
      </c>
      <c r="C4" s="37">
        <f>'Datos de laboratorio'!AA68</f>
        <v>1.611</v>
      </c>
      <c r="D4" s="5">
        <v>1</v>
      </c>
      <c r="E4" s="47">
        <f t="shared" si="0"/>
        <v>1000000</v>
      </c>
      <c r="F4" s="42">
        <f t="shared" si="1"/>
        <v>0.62073246430788331</v>
      </c>
      <c r="G4" s="42">
        <f t="shared" si="2"/>
        <v>620732.46430788329</v>
      </c>
      <c r="H4" s="42">
        <f t="shared" si="3"/>
        <v>1000000000000</v>
      </c>
      <c r="I4" s="42">
        <f t="shared" si="3"/>
        <v>0.38530879224573761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laboratorio'!X69</f>
        <v>378.7</v>
      </c>
      <c r="C5" s="37">
        <f>'Datos de laboratorio'!AA69</f>
        <v>1.2629999999999999</v>
      </c>
      <c r="D5" s="5">
        <v>1</v>
      </c>
      <c r="E5" s="47">
        <f t="shared" si="0"/>
        <v>2.6406126221283337E-3</v>
      </c>
      <c r="F5" s="42">
        <f t="shared" si="1"/>
        <v>0.79176563737133809</v>
      </c>
      <c r="G5" s="5">
        <f t="shared" si="2"/>
        <v>2.0907463358102404E-3</v>
      </c>
      <c r="H5" s="5">
        <f t="shared" si="3"/>
        <v>6.9728350201434746E-6</v>
      </c>
      <c r="I5" s="5">
        <f t="shared" si="3"/>
        <v>0.6268928245220412</v>
      </c>
      <c r="S5">
        <f t="shared" ref="S5:S10" si="4">B3</f>
        <v>9.9999999999999995E-7</v>
      </c>
      <c r="T5" s="26">
        <f t="shared" ref="T5:T10" si="5">(($F$19*$F$20)*S5)/(1+$F$20*S5)</f>
        <v>1.9999987585358405E-6</v>
      </c>
    </row>
    <row r="6" spans="1:20" x14ac:dyDescent="0.3">
      <c r="A6" s="41">
        <v>3</v>
      </c>
      <c r="B6" s="26">
        <f>'Datos de laboratorio'!X70</f>
        <v>760.4</v>
      </c>
      <c r="C6" s="37">
        <f>'Datos de laboratorio'!AA70</f>
        <v>1.9530000000000007</v>
      </c>
      <c r="D6" s="5">
        <v>1</v>
      </c>
      <c r="E6" s="47">
        <f t="shared" si="0"/>
        <v>1.3150973172014729E-3</v>
      </c>
      <c r="F6" s="42">
        <f t="shared" si="1"/>
        <v>0.51203277009728598</v>
      </c>
      <c r="G6" s="5">
        <f t="shared" si="2"/>
        <v>6.7337292227417933E-4</v>
      </c>
      <c r="H6" s="5">
        <f t="shared" si="3"/>
        <v>1.7294809537105113E-6</v>
      </c>
      <c r="I6" s="5">
        <f t="shared" si="3"/>
        <v>0.26217755765350015</v>
      </c>
      <c r="S6" s="26">
        <f t="shared" si="4"/>
        <v>9.9999999999999995E-7</v>
      </c>
      <c r="T6" s="26">
        <f t="shared" si="5"/>
        <v>1.9999987585358405E-6</v>
      </c>
    </row>
    <row r="7" spans="1:20" x14ac:dyDescent="0.3">
      <c r="A7" s="41">
        <v>4</v>
      </c>
      <c r="B7" s="26">
        <f>'Datos de laboratorio'!X71</f>
        <v>1679.8</v>
      </c>
      <c r="C7" s="37">
        <f>'Datos de laboratorio'!AA71</f>
        <v>2.3149999999999999</v>
      </c>
      <c r="D7" s="5">
        <v>1</v>
      </c>
      <c r="E7" s="47">
        <f t="shared" si="0"/>
        <v>5.9530896535301824E-4</v>
      </c>
      <c r="F7" s="42">
        <f t="shared" si="1"/>
        <v>0.43196544276457882</v>
      </c>
      <c r="G7" s="5">
        <f t="shared" si="2"/>
        <v>2.5715290080043985E-4</v>
      </c>
      <c r="H7" s="5">
        <f t="shared" si="3"/>
        <v>3.5439276422968109E-7</v>
      </c>
      <c r="I7" s="5">
        <f t="shared" si="3"/>
        <v>0.18659414374279862</v>
      </c>
      <c r="S7" s="26">
        <f t="shared" si="4"/>
        <v>378.7</v>
      </c>
      <c r="T7" s="26">
        <f t="shared" si="5"/>
        <v>2.0390372848197997</v>
      </c>
    </row>
    <row r="8" spans="1:20" ht="15" thickBot="1" x14ac:dyDescent="0.35">
      <c r="A8" s="41">
        <v>5</v>
      </c>
      <c r="B8" s="26">
        <f>'Datos de laboratorio'!X72</f>
        <v>4019.5</v>
      </c>
      <c r="C8" s="37">
        <f>'Datos de laboratorio'!AA72</f>
        <v>4.4830000000000014</v>
      </c>
      <c r="D8" s="48">
        <v>1</v>
      </c>
      <c r="E8" s="49">
        <f t="shared" si="0"/>
        <v>2.4878716258241074E-4</v>
      </c>
      <c r="F8" s="50">
        <f t="shared" si="1"/>
        <v>0.22306491188935973</v>
      </c>
      <c r="G8" s="48">
        <f t="shared" si="2"/>
        <v>5.5495686500649265E-5</v>
      </c>
      <c r="H8" s="48">
        <f t="shared" si="3"/>
        <v>6.1895052265806869E-8</v>
      </c>
      <c r="I8" s="48">
        <f t="shared" si="3"/>
        <v>4.9757954916207818E-2</v>
      </c>
      <c r="S8" s="26">
        <f t="shared" si="4"/>
        <v>760.4</v>
      </c>
      <c r="T8" s="26">
        <f t="shared" si="5"/>
        <v>2.0417965422892346</v>
      </c>
    </row>
    <row r="9" spans="1:20" ht="15" thickBot="1" x14ac:dyDescent="0.35">
      <c r="D9" s="51" t="s">
        <v>30</v>
      </c>
      <c r="E9" s="52">
        <f>SUM(E3:E8)</f>
        <v>2000000.0047998063</v>
      </c>
      <c r="F9" s="53">
        <f>SUM(F3:F8)</f>
        <v>1000002.5795612264</v>
      </c>
      <c r="G9" s="53">
        <f>SUM(G3:G8)</f>
        <v>1000000620732.4674</v>
      </c>
      <c r="H9" s="53">
        <f>SUM(H3:H8)</f>
        <v>2000000000000</v>
      </c>
      <c r="I9" s="54">
        <f>SUM(I3:I8)</f>
        <v>1000000000001.5109</v>
      </c>
      <c r="S9" s="26">
        <f t="shared" si="4"/>
        <v>1679.8</v>
      </c>
      <c r="T9" s="26">
        <f t="shared" si="5"/>
        <v>2.0432980198339981</v>
      </c>
    </row>
    <row r="10" spans="1:20" ht="15" thickBot="1" x14ac:dyDescent="0.35">
      <c r="S10" s="26">
        <f t="shared" si="4"/>
        <v>4019.5</v>
      </c>
      <c r="T10" s="26">
        <f t="shared" si="5"/>
        <v>2.0440216515948153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333333.33413330105</v>
      </c>
      <c r="H11" s="40" t="s">
        <v>35</v>
      </c>
      <c r="I11" s="5">
        <f>SQRT((I9/B11)-(F12^2))</f>
        <v>372677.80398086342</v>
      </c>
    </row>
    <row r="12" spans="1:20" ht="15.6" x14ac:dyDescent="0.35">
      <c r="E12" s="5" t="s">
        <v>34</v>
      </c>
      <c r="F12" s="5">
        <f>F9/B11</f>
        <v>166667.09659353775</v>
      </c>
      <c r="H12" s="40" t="s">
        <v>36</v>
      </c>
      <c r="I12" s="5">
        <f>SQRT(F14)</f>
        <v>471404.52022536908</v>
      </c>
      <c r="T12" t="s">
        <v>47</v>
      </c>
    </row>
    <row r="13" spans="1:20" ht="15.6" x14ac:dyDescent="0.35">
      <c r="E13" s="40" t="s">
        <v>31</v>
      </c>
      <c r="F13" s="5">
        <f>(G9/B11)-(F11*F12)</f>
        <v>111111071124.23703</v>
      </c>
      <c r="H13" s="55" t="s">
        <v>37</v>
      </c>
      <c r="I13" s="56">
        <f>F13/(I12*I11)</f>
        <v>0.63245563147485062</v>
      </c>
      <c r="S13" s="5">
        <f t="shared" ref="S13:S15" si="6">D3</f>
        <v>1</v>
      </c>
      <c r="T13" s="5">
        <f t="shared" ref="T13:T18" si="7">(ABS((C3-T5)/C3)*100)*S13</f>
        <v>99.999875853584058</v>
      </c>
    </row>
    <row r="14" spans="1:20" ht="16.8" x14ac:dyDescent="0.35">
      <c r="E14" s="5" t="s">
        <v>32</v>
      </c>
      <c r="F14" s="5">
        <f>(H9/B11)-(F11^2)</f>
        <v>222222221688.9104</v>
      </c>
      <c r="S14" s="5">
        <f t="shared" si="6"/>
        <v>1</v>
      </c>
      <c r="T14" s="5">
        <f t="shared" si="7"/>
        <v>99.9998758535842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61.443965543927149</v>
      </c>
    </row>
    <row r="16" spans="1:20" ht="16.2" thickBot="1" x14ac:dyDescent="0.4">
      <c r="E16" s="5" t="s">
        <v>46</v>
      </c>
      <c r="F16" s="5">
        <f>(F13/F14)</f>
        <v>0.49999982125901782</v>
      </c>
      <c r="H16" s="35" t="s">
        <v>25</v>
      </c>
      <c r="I16" s="36" t="s">
        <v>42</v>
      </c>
      <c r="S16" s="5">
        <f>D6</f>
        <v>1</v>
      </c>
      <c r="T16" s="5">
        <f t="shared" si="7"/>
        <v>4.5466739523417203</v>
      </c>
    </row>
    <row r="17" spans="1:20" ht="15.6" x14ac:dyDescent="0.35">
      <c r="E17" s="5" t="s">
        <v>40</v>
      </c>
      <c r="F17" s="5">
        <f>(F12-(F16*F11))</f>
        <v>0.48910721475840546</v>
      </c>
      <c r="H17" s="26">
        <f t="shared" ref="H17:H22" si="8">E3</f>
        <v>1000000</v>
      </c>
      <c r="I17" s="26">
        <f t="shared" ref="I17:I22" si="9">$F$16*H17+$F$17</f>
        <v>500000.31036623253</v>
      </c>
      <c r="S17" s="5">
        <f>D7</f>
        <v>1</v>
      </c>
      <c r="T17" s="5">
        <f t="shared" si="7"/>
        <v>11.736586616241983</v>
      </c>
    </row>
    <row r="18" spans="1:20" x14ac:dyDescent="0.3">
      <c r="H18" s="26">
        <f t="shared" si="8"/>
        <v>1000000</v>
      </c>
      <c r="I18" s="26">
        <f t="shared" si="9"/>
        <v>500000.31036623253</v>
      </c>
      <c r="S18" s="5">
        <f>D8</f>
        <v>1</v>
      </c>
      <c r="T18" s="5">
        <f t="shared" si="7"/>
        <v>54.405049038705897</v>
      </c>
    </row>
    <row r="19" spans="1:20" ht="15.6" x14ac:dyDescent="0.35">
      <c r="E19" s="5" t="s">
        <v>44</v>
      </c>
      <c r="F19" s="5">
        <f>1/F17</f>
        <v>2.0445415030198442</v>
      </c>
      <c r="H19" s="26">
        <f t="shared" si="8"/>
        <v>2.6406126221283337E-3</v>
      </c>
      <c r="I19" s="26">
        <f t="shared" si="9"/>
        <v>0.49042752059748396</v>
      </c>
      <c r="S19" s="56" t="s">
        <v>48</v>
      </c>
      <c r="T19" s="56">
        <f>SUM(T13:T18)/B11</f>
        <v>55.355337809730834</v>
      </c>
    </row>
    <row r="20" spans="1:20" ht="15.6" x14ac:dyDescent="0.35">
      <c r="E20" s="5" t="s">
        <v>45</v>
      </c>
      <c r="F20" s="5">
        <f>1/(F19*F16)</f>
        <v>0.9782147792109519</v>
      </c>
      <c r="H20" s="26">
        <f t="shared" si="8"/>
        <v>1.3150973172014729E-3</v>
      </c>
      <c r="I20" s="26">
        <f t="shared" si="9"/>
        <v>0.4897647631819444</v>
      </c>
    </row>
    <row r="21" spans="1:20" x14ac:dyDescent="0.3">
      <c r="H21" s="26">
        <f t="shared" si="8"/>
        <v>5.9530896535301824E-4</v>
      </c>
      <c r="I21" s="26">
        <f t="shared" si="9"/>
        <v>0.48940486913467585</v>
      </c>
    </row>
    <row r="22" spans="1:20" x14ac:dyDescent="0.3">
      <c r="H22" s="26">
        <f t="shared" si="8"/>
        <v>2.4878716258241074E-4</v>
      </c>
      <c r="I22" s="26">
        <f t="shared" si="9"/>
        <v>0.48923160829522822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14</v>
      </c>
      <c r="B26" s="72" t="str">
        <f>B1</f>
        <v>sal=2 dur=2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9.9999999999999995E-7</v>
      </c>
      <c r="C29" s="26">
        <f t="shared" si="14"/>
        <v>1.611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378.7</v>
      </c>
      <c r="C30" s="26">
        <f t="shared" si="14"/>
        <v>1.2629999999999999</v>
      </c>
      <c r="D30" s="5">
        <v>1</v>
      </c>
      <c r="E30" s="47">
        <f t="shared" si="10"/>
        <v>2.6406126221283337E-3</v>
      </c>
      <c r="F30" s="42">
        <f t="shared" si="11"/>
        <v>0.79176563737133809</v>
      </c>
      <c r="G30" s="5">
        <f t="shared" si="12"/>
        <v>2.0907463358102404E-3</v>
      </c>
      <c r="H30" s="5">
        <f t="shared" si="13"/>
        <v>6.9728350201434746E-6</v>
      </c>
      <c r="I30" s="5">
        <f t="shared" si="13"/>
        <v>0.6268928245220412</v>
      </c>
      <c r="S30" s="26">
        <f t="shared" ref="S30:S35" si="15">B28</f>
        <v>9.9999999999999995E-7</v>
      </c>
      <c r="T30" s="63">
        <f t="shared" ref="T30:T35" si="16">(($F$44*$F$45)*S30)/(1+$F$45*S30)</f>
        <v>9.9999999999999911E-7</v>
      </c>
    </row>
    <row r="31" spans="1:20" x14ac:dyDescent="0.3">
      <c r="A31" s="41">
        <v>3</v>
      </c>
      <c r="B31" s="26">
        <f t="shared" si="14"/>
        <v>760.4</v>
      </c>
      <c r="C31" s="26">
        <f t="shared" si="14"/>
        <v>1.9530000000000007</v>
      </c>
      <c r="D31" s="5">
        <v>1</v>
      </c>
      <c r="E31" s="47">
        <f t="shared" si="10"/>
        <v>1.3150973172014729E-3</v>
      </c>
      <c r="F31" s="42">
        <f t="shared" si="11"/>
        <v>0.51203277009728598</v>
      </c>
      <c r="G31" s="5">
        <f t="shared" si="12"/>
        <v>6.7337292227417933E-4</v>
      </c>
      <c r="H31" s="5">
        <f t="shared" si="13"/>
        <v>1.7294809537105113E-6</v>
      </c>
      <c r="I31" s="5">
        <f t="shared" si="13"/>
        <v>0.26217755765350015</v>
      </c>
      <c r="S31" s="26">
        <f t="shared" si="15"/>
        <v>9.9999999999999995E-7</v>
      </c>
      <c r="T31" s="26">
        <f t="shared" si="16"/>
        <v>9.9999999999999911E-7</v>
      </c>
    </row>
    <row r="32" spans="1:20" x14ac:dyDescent="0.3">
      <c r="A32" s="41">
        <v>4</v>
      </c>
      <c r="B32" s="26">
        <f t="shared" si="14"/>
        <v>1679.8</v>
      </c>
      <c r="C32" s="26">
        <f t="shared" si="14"/>
        <v>2.3149999999999999</v>
      </c>
      <c r="D32" s="5">
        <v>1</v>
      </c>
      <c r="E32" s="47">
        <f t="shared" si="10"/>
        <v>5.9530896535301824E-4</v>
      </c>
      <c r="F32" s="42">
        <f t="shared" si="11"/>
        <v>0.43196544276457882</v>
      </c>
      <c r="G32" s="5">
        <f t="shared" si="12"/>
        <v>2.5715290080043985E-4</v>
      </c>
      <c r="H32" s="5">
        <f t="shared" si="13"/>
        <v>3.5439276422968109E-7</v>
      </c>
      <c r="I32" s="5">
        <f t="shared" si="13"/>
        <v>0.18659414374279862</v>
      </c>
      <c r="S32" s="26">
        <f t="shared" si="15"/>
        <v>378.7</v>
      </c>
      <c r="T32" s="26">
        <f t="shared" si="16"/>
        <v>2.0360467801055329</v>
      </c>
    </row>
    <row r="33" spans="1:20" ht="15" thickBot="1" x14ac:dyDescent="0.35">
      <c r="A33" s="41">
        <v>5</v>
      </c>
      <c r="B33" s="26">
        <f t="shared" si="14"/>
        <v>4019.5</v>
      </c>
      <c r="C33" s="26">
        <f t="shared" si="14"/>
        <v>4.4830000000000014</v>
      </c>
      <c r="D33" s="48">
        <v>1</v>
      </c>
      <c r="E33" s="49">
        <f t="shared" si="10"/>
        <v>2.4878716258241074E-4</v>
      </c>
      <c r="F33" s="50">
        <f t="shared" si="11"/>
        <v>0.22306491188935973</v>
      </c>
      <c r="G33" s="48">
        <f t="shared" si="12"/>
        <v>5.5495686500649265E-5</v>
      </c>
      <c r="H33" s="48">
        <f t="shared" si="13"/>
        <v>6.1895052265806869E-8</v>
      </c>
      <c r="I33" s="48">
        <f t="shared" si="13"/>
        <v>4.9757954916207818E-2</v>
      </c>
      <c r="S33" s="26">
        <f t="shared" si="15"/>
        <v>760.4</v>
      </c>
      <c r="T33" s="26">
        <f t="shared" si="16"/>
        <v>2.041556553040595</v>
      </c>
    </row>
    <row r="34" spans="1:20" ht="15" thickBot="1" x14ac:dyDescent="0.35">
      <c r="D34" s="51" t="s">
        <v>30</v>
      </c>
      <c r="E34" s="52">
        <f>SUM(E28:E33)</f>
        <v>1000000.004799806</v>
      </c>
      <c r="F34" s="53">
        <f>SUM(F28:F33)</f>
        <v>1000001.9588287621</v>
      </c>
      <c r="G34" s="53">
        <f>SUM(G28:G33)</f>
        <v>1000000000000.0031</v>
      </c>
      <c r="H34" s="53">
        <f>SUM(H28:H33)</f>
        <v>1000000000000</v>
      </c>
      <c r="I34" s="54">
        <f>SUM(I28:I33)</f>
        <v>1000000000001.1256</v>
      </c>
      <c r="S34" s="26">
        <f t="shared" si="15"/>
        <v>1679.8</v>
      </c>
      <c r="T34" s="26">
        <f t="shared" si="16"/>
        <v>2.0445610107243777</v>
      </c>
    </row>
    <row r="35" spans="1:20" ht="15" thickBot="1" x14ac:dyDescent="0.35">
      <c r="S35" s="26">
        <f t="shared" si="15"/>
        <v>4019.5</v>
      </c>
      <c r="T35" s="26">
        <f t="shared" si="16"/>
        <v>2.0460105777535502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200000.00095996121</v>
      </c>
      <c r="H36" s="40" t="s">
        <v>35</v>
      </c>
      <c r="I36" s="5">
        <f>SQRT((I34/B36)-(F37^2))</f>
        <v>399999.80411716539</v>
      </c>
    </row>
    <row r="37" spans="1:20" ht="15.6" x14ac:dyDescent="0.35">
      <c r="A37" s="60" t="s">
        <v>50</v>
      </c>
      <c r="E37" s="5" t="s">
        <v>34</v>
      </c>
      <c r="F37" s="5">
        <f>F34/B36</f>
        <v>200000.3917657524</v>
      </c>
      <c r="H37" s="40" t="s">
        <v>36</v>
      </c>
      <c r="I37" s="5">
        <f>SQRT(F39)</f>
        <v>399999.9995200194</v>
      </c>
      <c r="T37" t="s">
        <v>47</v>
      </c>
    </row>
    <row r="38" spans="1:20" ht="15.6" x14ac:dyDescent="0.35">
      <c r="A38" s="60">
        <v>1</v>
      </c>
      <c r="E38" s="40" t="s">
        <v>31</v>
      </c>
      <c r="F38" s="5">
        <f>(G34/B36)-(F36*F37)</f>
        <v>159999921454.85751</v>
      </c>
      <c r="H38" s="55" t="s">
        <v>37</v>
      </c>
      <c r="I38" s="56">
        <f>F38/(I37*I36)</f>
        <v>0.99999999999989697</v>
      </c>
      <c r="S38" s="5">
        <f t="shared" ref="S38:S43" si="17">D28</f>
        <v>1</v>
      </c>
      <c r="T38" s="5">
        <f t="shared" ref="T38:T43" si="18">(ABS((C28-T30)/C28)*100)*S38</f>
        <v>8.4703294725430034E-14</v>
      </c>
    </row>
    <row r="39" spans="1:20" ht="16.8" x14ac:dyDescent="0.35">
      <c r="E39" s="5" t="s">
        <v>32</v>
      </c>
      <c r="F39" s="5">
        <f>(H34/B36)-(F36^2)</f>
        <v>159999999616.0155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61.207187656811804</v>
      </c>
    </row>
    <row r="41" spans="1:20" ht="16.2" thickBot="1" x14ac:dyDescent="0.4">
      <c r="E41" s="5" t="s">
        <v>46</v>
      </c>
      <c r="F41" s="5">
        <f>(F38/F39)</f>
        <v>0.99999951149276134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4.5343857163642731</v>
      </c>
    </row>
    <row r="42" spans="1:20" ht="15.6" x14ac:dyDescent="0.35">
      <c r="E42" s="5" t="s">
        <v>40</v>
      </c>
      <c r="F42" s="5">
        <f>(F37-(F41*F36))</f>
        <v>0.48850723938085139</v>
      </c>
      <c r="H42" s="26">
        <f>E29</f>
        <v>0</v>
      </c>
      <c r="I42" s="26">
        <f>$F$41*H42+$F$42</f>
        <v>0.48850723938085139</v>
      </c>
      <c r="S42" s="5">
        <f t="shared" si="17"/>
        <v>1</v>
      </c>
      <c r="T42" s="5">
        <f t="shared" si="18"/>
        <v>11.682029774324937</v>
      </c>
    </row>
    <row r="43" spans="1:20" x14ac:dyDescent="0.3">
      <c r="H43" s="26">
        <f>E30</f>
        <v>2.6406126221283337E-3</v>
      </c>
      <c r="I43" s="26">
        <f>$F$41*H43+$F$42</f>
        <v>0.49114785071302136</v>
      </c>
      <c r="S43" s="5">
        <f t="shared" si="17"/>
        <v>1</v>
      </c>
      <c r="T43" s="5">
        <f t="shared" si="18"/>
        <v>54.360683074870629</v>
      </c>
    </row>
    <row r="44" spans="1:20" ht="15.6" x14ac:dyDescent="0.35">
      <c r="E44" s="5" t="s">
        <v>44</v>
      </c>
      <c r="F44" s="5">
        <f>1/F42</f>
        <v>2.0470525703312603</v>
      </c>
      <c r="H44" s="26">
        <f>E31</f>
        <v>1.3150973172014729E-3</v>
      </c>
      <c r="I44" s="26">
        <f>$F$41*H44+$F$42</f>
        <v>0.48982233605561831</v>
      </c>
      <c r="S44" s="56" t="s">
        <v>48</v>
      </c>
      <c r="T44" s="56">
        <f>SUM(T38:T43)/B36</f>
        <v>26.356857244474345</v>
      </c>
    </row>
    <row r="45" spans="1:20" ht="15.6" x14ac:dyDescent="0.35">
      <c r="E45" s="5" t="s">
        <v>45</v>
      </c>
      <c r="F45" s="5">
        <f>1/(F44*F41)</f>
        <v>0.48850747802029043</v>
      </c>
      <c r="H45" s="26">
        <f>E32</f>
        <v>5.9530896535301824E-4</v>
      </c>
      <c r="I45" s="26">
        <f>$F$41*H45+$F$42</f>
        <v>0.48910254805539166</v>
      </c>
    </row>
    <row r="46" spans="1:20" x14ac:dyDescent="0.3">
      <c r="H46" s="26">
        <f>E33</f>
        <v>2.4878716258241074E-4</v>
      </c>
      <c r="I46" s="26">
        <f>$F$41*H46+$F$42</f>
        <v>0.48875602642189947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15</v>
      </c>
      <c r="B1" s="72" t="s">
        <v>65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'Datos de laboratorio'!X73</f>
        <v>18</v>
      </c>
      <c r="C4" s="37">
        <f>'Datos de laboratorio'!AA73</f>
        <v>1.9950000000000001</v>
      </c>
      <c r="D4" s="5">
        <v>1</v>
      </c>
      <c r="E4" s="47">
        <f t="shared" si="0"/>
        <v>5.5555555555555552E-2</v>
      </c>
      <c r="F4" s="42">
        <f t="shared" si="1"/>
        <v>0.50125313283208017</v>
      </c>
      <c r="G4" s="42">
        <f t="shared" si="2"/>
        <v>2.7847396268448898E-2</v>
      </c>
      <c r="H4" s="42">
        <f t="shared" si="3"/>
        <v>3.0864197530864196E-3</v>
      </c>
      <c r="I4" s="42">
        <f t="shared" si="3"/>
        <v>0.25125470317397502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laboratorio'!X74</f>
        <v>259.39999999999998</v>
      </c>
      <c r="C5" s="37">
        <f>'Datos de laboratorio'!AA74</f>
        <v>2.2669000000000001</v>
      </c>
      <c r="D5" s="5">
        <v>1</v>
      </c>
      <c r="E5" s="47">
        <f t="shared" si="0"/>
        <v>3.8550501156515036E-3</v>
      </c>
      <c r="F5" s="42">
        <f t="shared" si="1"/>
        <v>0.44113106003793723</v>
      </c>
      <c r="G5" s="5">
        <f t="shared" si="2"/>
        <v>1.7005823440167202E-3</v>
      </c>
      <c r="H5" s="5">
        <f t="shared" si="3"/>
        <v>1.4861411394184671E-5</v>
      </c>
      <c r="I5" s="5">
        <f t="shared" si="3"/>
        <v>0.19459661213019419</v>
      </c>
      <c r="S5">
        <f t="shared" ref="S5:S10" si="4">B3</f>
        <v>9.9999999999999995E-7</v>
      </c>
      <c r="T5" s="26">
        <f t="shared" ref="T5:T10" si="5">(($F$19*$F$20)*S5)/(1+$F$20*S5)</f>
        <v>9.9999999999999318E-7</v>
      </c>
    </row>
    <row r="6" spans="1:20" x14ac:dyDescent="0.3">
      <c r="A6" s="41">
        <v>3</v>
      </c>
      <c r="B6" s="26">
        <f>'Datos de laboratorio'!X75</f>
        <v>759.4</v>
      </c>
      <c r="C6" s="37">
        <f>'Datos de laboratorio'!AA75</f>
        <v>2.6763999999999997</v>
      </c>
      <c r="D6" s="5">
        <v>1</v>
      </c>
      <c r="E6" s="47">
        <f t="shared" si="0"/>
        <v>1.3168290755859889E-3</v>
      </c>
      <c r="F6" s="42">
        <f t="shared" si="1"/>
        <v>0.37363622776864447</v>
      </c>
      <c r="G6" s="5">
        <f t="shared" si="2"/>
        <v>4.9201504841802008E-4</v>
      </c>
      <c r="H6" s="5">
        <f t="shared" si="3"/>
        <v>1.7340388143086501E-6</v>
      </c>
      <c r="I6" s="5">
        <f t="shared" si="3"/>
        <v>0.13960403070118238</v>
      </c>
      <c r="S6" s="26">
        <f t="shared" si="4"/>
        <v>18</v>
      </c>
      <c r="T6" s="26">
        <f t="shared" si="5"/>
        <v>2.594055149450051</v>
      </c>
    </row>
    <row r="7" spans="1:20" x14ac:dyDescent="0.3">
      <c r="A7" s="41">
        <v>4</v>
      </c>
      <c r="B7" s="26">
        <f>'Datos de laboratorio'!X76</f>
        <v>1714.7</v>
      </c>
      <c r="C7" s="37">
        <f>'Datos de laboratorio'!AA76</f>
        <v>5.4269999999999996</v>
      </c>
      <c r="D7" s="5">
        <v>1</v>
      </c>
      <c r="E7" s="47">
        <f t="shared" si="0"/>
        <v>5.831923951711669E-4</v>
      </c>
      <c r="F7" s="42">
        <f t="shared" si="1"/>
        <v>0.18426386585590568</v>
      </c>
      <c r="G7" s="5">
        <f t="shared" si="2"/>
        <v>1.0746128527200423E-4</v>
      </c>
      <c r="H7" s="5">
        <f t="shared" si="3"/>
        <v>3.4011336978548249E-7</v>
      </c>
      <c r="I7" s="5">
        <f t="shared" si="3"/>
        <v>3.39531722601632E-2</v>
      </c>
      <c r="S7" s="26">
        <f t="shared" si="4"/>
        <v>259.39999999999998</v>
      </c>
      <c r="T7" s="26">
        <f t="shared" si="5"/>
        <v>2.9958388334471877</v>
      </c>
    </row>
    <row r="8" spans="1:20" ht="15" thickBot="1" x14ac:dyDescent="0.35">
      <c r="A8" s="41">
        <v>5</v>
      </c>
      <c r="B8" s="26">
        <f>'Datos de laboratorio'!X77</f>
        <v>4206.2</v>
      </c>
      <c r="C8" s="37">
        <f>'Datos de laboratorio'!AA77</f>
        <v>4.74</v>
      </c>
      <c r="D8" s="48">
        <v>1</v>
      </c>
      <c r="E8" s="49">
        <f t="shared" si="0"/>
        <v>2.377442822500119E-4</v>
      </c>
      <c r="F8" s="50">
        <f t="shared" si="1"/>
        <v>0.21097046413502107</v>
      </c>
      <c r="G8" s="48">
        <f t="shared" si="2"/>
        <v>5.0157021571732466E-5</v>
      </c>
      <c r="H8" s="48">
        <f t="shared" si="3"/>
        <v>5.6522343742573325E-8</v>
      </c>
      <c r="I8" s="48">
        <f t="shared" si="3"/>
        <v>4.4508536737346213E-2</v>
      </c>
      <c r="S8" s="26">
        <f t="shared" si="4"/>
        <v>759.4</v>
      </c>
      <c r="T8" s="26">
        <f t="shared" si="5"/>
        <v>3.0187940411424643</v>
      </c>
    </row>
    <row r="9" spans="1:20" ht="15" thickBot="1" x14ac:dyDescent="0.35">
      <c r="D9" s="51" t="s">
        <v>30</v>
      </c>
      <c r="E9" s="52">
        <f>SUM(E3:E8)</f>
        <v>1000000.0615483715</v>
      </c>
      <c r="F9" s="53">
        <f>SUM(F3:F8)</f>
        <v>1000001.7112547506</v>
      </c>
      <c r="G9" s="53">
        <f>SUM(G3:G8)</f>
        <v>1000000000000.0302</v>
      </c>
      <c r="H9" s="53">
        <f>SUM(H3:H8)</f>
        <v>1000000000000.0031</v>
      </c>
      <c r="I9" s="54">
        <f>SUM(I3:I8)</f>
        <v>1000000000000.6639</v>
      </c>
      <c r="S9" s="26">
        <f t="shared" si="4"/>
        <v>1714.7</v>
      </c>
      <c r="T9" s="26">
        <f t="shared" si="5"/>
        <v>3.0254945958807804</v>
      </c>
    </row>
    <row r="10" spans="1:20" ht="15" thickBot="1" x14ac:dyDescent="0.35">
      <c r="S10" s="26">
        <f t="shared" si="4"/>
        <v>4206.2</v>
      </c>
      <c r="T10" s="26">
        <f t="shared" si="5"/>
        <v>3.0286600030750854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166666.67692472858</v>
      </c>
      <c r="H11" s="40" t="s">
        <v>35</v>
      </c>
      <c r="I11" s="5">
        <f>SQRT((I9/B11)-(F12^2))</f>
        <v>372677.86870058416</v>
      </c>
    </row>
    <row r="12" spans="1:20" ht="15.6" x14ac:dyDescent="0.35">
      <c r="E12" s="5" t="s">
        <v>34</v>
      </c>
      <c r="F12" s="5">
        <f>F9/B11</f>
        <v>166666.95187579177</v>
      </c>
      <c r="H12" s="40" t="s">
        <v>36</v>
      </c>
      <c r="I12" s="5">
        <f>SQRT(F14)</f>
        <v>372677.99166242068</v>
      </c>
      <c r="T12" t="s">
        <v>47</v>
      </c>
    </row>
    <row r="13" spans="1:20" ht="15.6" x14ac:dyDescent="0.35">
      <c r="E13" s="40" t="s">
        <v>31</v>
      </c>
      <c r="F13" s="5">
        <f>(G9/B11)-(F11*F12)</f>
        <v>138888839644.3598</v>
      </c>
      <c r="H13" s="55" t="s">
        <v>37</v>
      </c>
      <c r="I13" s="56">
        <f>F13/(I12*I11)</f>
        <v>0.99999999999996247</v>
      </c>
      <c r="S13" s="5">
        <f t="shared" ref="S13:S15" si="6">D3</f>
        <v>1</v>
      </c>
      <c r="T13" s="5">
        <f t="shared" ref="T13:T18" si="7">(ABS((C3-T5)/C3)*100)*S13</f>
        <v>6.7762635780344027E-13</v>
      </c>
    </row>
    <row r="14" spans="1:20" ht="16.8" x14ac:dyDescent="0.35">
      <c r="E14" s="5" t="s">
        <v>32</v>
      </c>
      <c r="F14" s="5">
        <f>(H9/B11)-(F11^2)</f>
        <v>138888885469.53531</v>
      </c>
      <c r="S14" s="5">
        <f t="shared" si="6"/>
        <v>1</v>
      </c>
      <c r="T14" s="5">
        <f t="shared" si="7"/>
        <v>30.0278270401028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32.155756030137525</v>
      </c>
    </row>
    <row r="16" spans="1:20" ht="16.2" thickBot="1" x14ac:dyDescent="0.4">
      <c r="E16" s="5" t="s">
        <v>46</v>
      </c>
      <c r="F16" s="5">
        <f>(F13/F14)</f>
        <v>0.99999967005872825</v>
      </c>
      <c r="H16" s="35" t="s">
        <v>25</v>
      </c>
      <c r="I16" s="36" t="s">
        <v>42</v>
      </c>
      <c r="S16" s="5">
        <f>D6</f>
        <v>1</v>
      </c>
      <c r="T16" s="5">
        <f t="shared" si="7"/>
        <v>12.793081794293254</v>
      </c>
    </row>
    <row r="17" spans="1:20" ht="15.6" x14ac:dyDescent="0.35">
      <c r="E17" s="5" t="s">
        <v>40</v>
      </c>
      <c r="F17" s="5">
        <f>(F12-(F16*F11))</f>
        <v>0.32994127852725796</v>
      </c>
      <c r="H17" s="26">
        <f t="shared" ref="H17:H22" si="8">E3</f>
        <v>1000000</v>
      </c>
      <c r="I17" s="26">
        <f t="shared" ref="I17:I22" si="9">$F$16*H17+$F$17</f>
        <v>1000000.0000000068</v>
      </c>
      <c r="S17" s="5">
        <f>D7</f>
        <v>1</v>
      </c>
      <c r="T17" s="5">
        <f t="shared" si="7"/>
        <v>44.251066963685638</v>
      </c>
    </row>
    <row r="18" spans="1:20" x14ac:dyDescent="0.3">
      <c r="H18" s="26">
        <f t="shared" si="8"/>
        <v>5.5555555555555552E-2</v>
      </c>
      <c r="I18" s="26">
        <f t="shared" si="9"/>
        <v>0.38549681575274286</v>
      </c>
      <c r="S18" s="5">
        <f>D8</f>
        <v>1</v>
      </c>
      <c r="T18" s="5">
        <f t="shared" si="7"/>
        <v>36.104219344407483</v>
      </c>
    </row>
    <row r="19" spans="1:20" ht="15.6" x14ac:dyDescent="0.35">
      <c r="E19" s="5" t="s">
        <v>44</v>
      </c>
      <c r="F19" s="5">
        <f>1/F17</f>
        <v>3.0308423500801385</v>
      </c>
      <c r="H19" s="26">
        <f t="shared" si="8"/>
        <v>3.8550501156515036E-3</v>
      </c>
      <c r="I19" s="26">
        <f t="shared" si="9"/>
        <v>0.33379632737096931</v>
      </c>
      <c r="S19" s="56" t="s">
        <v>48</v>
      </c>
      <c r="T19" s="56">
        <f>SUM(T13:T18)/B11</f>
        <v>25.888658528771231</v>
      </c>
    </row>
    <row r="20" spans="1:20" ht="15.6" x14ac:dyDescent="0.35">
      <c r="E20" s="5" t="s">
        <v>45</v>
      </c>
      <c r="F20" s="5">
        <f>1/(F19*F16)</f>
        <v>0.3299413873885389</v>
      </c>
      <c r="H20" s="26">
        <f t="shared" si="8"/>
        <v>1.3168290755859889E-3</v>
      </c>
      <c r="I20" s="26">
        <f t="shared" si="9"/>
        <v>0.33125810716836768</v>
      </c>
    </row>
    <row r="21" spans="1:20" x14ac:dyDescent="0.3">
      <c r="H21" s="26">
        <f t="shared" si="8"/>
        <v>5.831923951711669E-4</v>
      </c>
      <c r="I21" s="26">
        <f t="shared" si="9"/>
        <v>0.3305244707300099</v>
      </c>
    </row>
    <row r="22" spans="1:20" x14ac:dyDescent="0.3">
      <c r="H22" s="26">
        <f t="shared" si="8"/>
        <v>2.377442822500119E-4</v>
      </c>
      <c r="I22" s="26">
        <f t="shared" si="9"/>
        <v>0.33017902273106631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15</v>
      </c>
      <c r="B26" s="72" t="str">
        <f>B1</f>
        <v>sal=2 dur=5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18</v>
      </c>
      <c r="C29" s="26">
        <f t="shared" si="14"/>
        <v>1.9950000000000001</v>
      </c>
      <c r="D29" s="61">
        <v>1</v>
      </c>
      <c r="E29" s="47">
        <f t="shared" si="10"/>
        <v>5.5555555555555552E-2</v>
      </c>
      <c r="F29" s="42">
        <f t="shared" si="11"/>
        <v>0.50125313283208017</v>
      </c>
      <c r="G29" s="42">
        <f t="shared" si="12"/>
        <v>2.7847396268448898E-2</v>
      </c>
      <c r="H29" s="42">
        <f t="shared" si="13"/>
        <v>3.0864197530864196E-3</v>
      </c>
      <c r="I29" s="42">
        <f t="shared" si="13"/>
        <v>0.25125470317397502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259.39999999999998</v>
      </c>
      <c r="C30" s="26">
        <f t="shared" si="14"/>
        <v>2.2669000000000001</v>
      </c>
      <c r="D30" s="5">
        <v>1</v>
      </c>
      <c r="E30" s="47">
        <f t="shared" si="10"/>
        <v>3.8550501156515036E-3</v>
      </c>
      <c r="F30" s="42">
        <f t="shared" si="11"/>
        <v>0.44113106003793723</v>
      </c>
      <c r="G30" s="5">
        <f t="shared" si="12"/>
        <v>1.7005823440167202E-3</v>
      </c>
      <c r="H30" s="5">
        <f t="shared" si="13"/>
        <v>1.4861411394184671E-5</v>
      </c>
      <c r="I30" s="5">
        <f t="shared" si="13"/>
        <v>0.19459661213019419</v>
      </c>
      <c r="S30" s="26">
        <f t="shared" ref="S30:S35" si="15">B28</f>
        <v>9.9999999999999995E-7</v>
      </c>
      <c r="T30" s="63">
        <f t="shared" ref="T30:T35" si="16">(($F$44*$F$45)*S30)/(1+$F$45*S30)</f>
        <v>9.999999999999953E-7</v>
      </c>
    </row>
    <row r="31" spans="1:20" x14ac:dyDescent="0.3">
      <c r="A31" s="41">
        <v>3</v>
      </c>
      <c r="B31" s="26">
        <f t="shared" si="14"/>
        <v>759.4</v>
      </c>
      <c r="C31" s="26">
        <f t="shared" si="14"/>
        <v>2.6763999999999997</v>
      </c>
      <c r="D31" s="5">
        <v>1</v>
      </c>
      <c r="E31" s="47">
        <f t="shared" si="10"/>
        <v>1.3168290755859889E-3</v>
      </c>
      <c r="F31" s="42">
        <f t="shared" si="11"/>
        <v>0.37363622776864447</v>
      </c>
      <c r="G31" s="5">
        <f t="shared" si="12"/>
        <v>4.9201504841802008E-4</v>
      </c>
      <c r="H31" s="5">
        <f t="shared" si="13"/>
        <v>1.7340388143086501E-6</v>
      </c>
      <c r="I31" s="5">
        <f t="shared" si="13"/>
        <v>0.13960403070118238</v>
      </c>
      <c r="S31" s="26">
        <f t="shared" si="15"/>
        <v>18</v>
      </c>
      <c r="T31" s="26">
        <f t="shared" si="16"/>
        <v>2.3693203379264518</v>
      </c>
    </row>
    <row r="32" spans="1:20" x14ac:dyDescent="0.3">
      <c r="A32" s="41">
        <v>4</v>
      </c>
      <c r="B32" s="26">
        <f t="shared" si="14"/>
        <v>1714.7</v>
      </c>
      <c r="C32" s="26">
        <f t="shared" si="14"/>
        <v>5.4269999999999996</v>
      </c>
      <c r="D32" s="5">
        <v>0</v>
      </c>
      <c r="E32" s="47">
        <f t="shared" si="10"/>
        <v>0</v>
      </c>
      <c r="F32" s="42">
        <f t="shared" si="11"/>
        <v>0</v>
      </c>
      <c r="G32" s="5">
        <f t="shared" si="12"/>
        <v>0</v>
      </c>
      <c r="H32" s="5">
        <f t="shared" si="13"/>
        <v>0</v>
      </c>
      <c r="I32" s="5">
        <f t="shared" si="13"/>
        <v>0</v>
      </c>
      <c r="S32" s="26">
        <f t="shared" si="15"/>
        <v>259.39999999999998</v>
      </c>
      <c r="T32" s="26">
        <f t="shared" si="16"/>
        <v>2.7000648156578353</v>
      </c>
    </row>
    <row r="33" spans="1:20" ht="15" thickBot="1" x14ac:dyDescent="0.35">
      <c r="A33" s="41">
        <v>5</v>
      </c>
      <c r="B33" s="26">
        <f t="shared" si="14"/>
        <v>4206.2</v>
      </c>
      <c r="C33" s="26">
        <f t="shared" si="14"/>
        <v>4.74</v>
      </c>
      <c r="D33" s="48">
        <v>1</v>
      </c>
      <c r="E33" s="49">
        <f t="shared" si="10"/>
        <v>2.377442822500119E-4</v>
      </c>
      <c r="F33" s="50">
        <f t="shared" si="11"/>
        <v>0.21097046413502107</v>
      </c>
      <c r="G33" s="48">
        <f t="shared" si="12"/>
        <v>5.0157021571732466E-5</v>
      </c>
      <c r="H33" s="48">
        <f t="shared" si="13"/>
        <v>5.6522343742573325E-8</v>
      </c>
      <c r="I33" s="48">
        <f t="shared" si="13"/>
        <v>4.4508536737346213E-2</v>
      </c>
      <c r="S33" s="26">
        <f t="shared" si="15"/>
        <v>759.4</v>
      </c>
      <c r="T33" s="26">
        <f t="shared" si="16"/>
        <v>2.7186970218519937</v>
      </c>
    </row>
    <row r="34" spans="1:20" ht="15" thickBot="1" x14ac:dyDescent="0.35">
      <c r="D34" s="51" t="s">
        <v>30</v>
      </c>
      <c r="E34" s="52">
        <f>SUM(E28:E33)</f>
        <v>1000000.060965179</v>
      </c>
      <c r="F34" s="53">
        <f>SUM(F28:F33)</f>
        <v>1000001.5269908848</v>
      </c>
      <c r="G34" s="53">
        <f>SUM(G28:G33)</f>
        <v>1000000000000.03</v>
      </c>
      <c r="H34" s="53">
        <f>SUM(H28:H33)</f>
        <v>1000000000000.0031</v>
      </c>
      <c r="I34" s="54">
        <f>SUM(I28:I33)</f>
        <v>1000000000000.63</v>
      </c>
      <c r="S34" s="26">
        <f t="shared" si="15"/>
        <v>1714.7</v>
      </c>
      <c r="T34" s="26">
        <f t="shared" si="16"/>
        <v>2.724130395617002</v>
      </c>
    </row>
    <row r="35" spans="1:20" ht="15" thickBot="1" x14ac:dyDescent="0.35">
      <c r="S35" s="26">
        <f t="shared" si="15"/>
        <v>4206.2</v>
      </c>
      <c r="T35" s="26">
        <f t="shared" si="16"/>
        <v>2.7266963405553684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200000.0121930358</v>
      </c>
      <c r="H36" s="40" t="s">
        <v>35</v>
      </c>
      <c r="I36" s="5">
        <f>SQRT((I34/B36)-(F37^2))</f>
        <v>399999.84730092331</v>
      </c>
    </row>
    <row r="37" spans="1:20" ht="15.6" x14ac:dyDescent="0.35">
      <c r="A37" s="60" t="s">
        <v>50</v>
      </c>
      <c r="E37" s="5" t="s">
        <v>34</v>
      </c>
      <c r="F37" s="5">
        <f>F34/B36</f>
        <v>200000.30539817695</v>
      </c>
      <c r="H37" s="40" t="s">
        <v>36</v>
      </c>
      <c r="I37" s="5">
        <f>SQRT(F39)</f>
        <v>399999.99390348262</v>
      </c>
      <c r="T37" t="s">
        <v>47</v>
      </c>
    </row>
    <row r="38" spans="1:20" ht="15.6" x14ac:dyDescent="0.35">
      <c r="A38" s="60">
        <v>4</v>
      </c>
      <c r="E38" s="40" t="s">
        <v>31</v>
      </c>
      <c r="F38" s="5">
        <f>(G34/B36)-(F36*F37)</f>
        <v>159999936481.75974</v>
      </c>
      <c r="H38" s="55" t="s">
        <v>37</v>
      </c>
      <c r="I38" s="56">
        <f>F38/(I37*I36)</f>
        <v>0.99999999999997768</v>
      </c>
      <c r="S38" s="5">
        <f t="shared" ref="S38:S43" si="17">D28</f>
        <v>1</v>
      </c>
      <c r="T38" s="5">
        <f t="shared" ref="T38:T43" si="18">(ABS((C28-T30)/C28)*100)*S38</f>
        <v>4.6586812098986519E-13</v>
      </c>
    </row>
    <row r="39" spans="1:20" ht="16.8" x14ac:dyDescent="0.35">
      <c r="E39" s="5" t="s">
        <v>32</v>
      </c>
      <c r="F39" s="5">
        <f>(H34/B36)-(F36^2)</f>
        <v>159999995122.78613</v>
      </c>
      <c r="S39" s="5">
        <f t="shared" si="17"/>
        <v>1</v>
      </c>
      <c r="T39" s="5">
        <f t="shared" si="18"/>
        <v>18.762924206839681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19.10824543022785</v>
      </c>
    </row>
    <row r="41" spans="1:20" ht="16.2" thickBot="1" x14ac:dyDescent="0.4">
      <c r="E41" s="5" t="s">
        <v>46</v>
      </c>
      <c r="F41" s="5">
        <f>(F38/F39)</f>
        <v>0.99999963349357379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1.5803699690626969</v>
      </c>
    </row>
    <row r="42" spans="1:20" ht="15.6" x14ac:dyDescent="0.35">
      <c r="E42" s="5" t="s">
        <v>40</v>
      </c>
      <c r="F42" s="5">
        <f>(F37-(F41*F36))</f>
        <v>0.36650643084431067</v>
      </c>
      <c r="H42" s="26">
        <f>E29</f>
        <v>5.5555555555555552E-2</v>
      </c>
      <c r="I42" s="26">
        <f>$F$41*H42+$F$42</f>
        <v>0.42206196603839807</v>
      </c>
      <c r="S42" s="5">
        <f t="shared" si="17"/>
        <v>0</v>
      </c>
      <c r="T42" s="5">
        <f t="shared" si="18"/>
        <v>0</v>
      </c>
    </row>
    <row r="43" spans="1:20" x14ac:dyDescent="0.3">
      <c r="H43" s="26">
        <f>E30</f>
        <v>3.8550501156515036E-3</v>
      </c>
      <c r="I43" s="26">
        <f>$F$41*H43+$F$42</f>
        <v>0.37036147954706156</v>
      </c>
      <c r="S43" s="5">
        <f t="shared" si="17"/>
        <v>1</v>
      </c>
      <c r="T43" s="5">
        <f t="shared" si="18"/>
        <v>42.47476074777704</v>
      </c>
    </row>
    <row r="44" spans="1:20" ht="15.6" x14ac:dyDescent="0.35">
      <c r="E44" s="5" t="s">
        <v>44</v>
      </c>
      <c r="F44" s="5">
        <f>1/F42</f>
        <v>2.7284650850363739</v>
      </c>
      <c r="H44" s="26">
        <f>E31</f>
        <v>1.3168290755859889E-3</v>
      </c>
      <c r="I44" s="26">
        <f>$F$41*H44+$F$42</f>
        <v>0.36782325943727034</v>
      </c>
      <c r="S44" s="56" t="s">
        <v>48</v>
      </c>
      <c r="T44" s="56">
        <f>SUM(T38:T43)/B36</f>
        <v>16.385260070781545</v>
      </c>
    </row>
    <row r="45" spans="1:20" ht="15.6" x14ac:dyDescent="0.35">
      <c r="E45" s="5" t="s">
        <v>45</v>
      </c>
      <c r="F45" s="5">
        <f>1/(F44*F41)</f>
        <v>0.36650656517132202</v>
      </c>
      <c r="H45" s="26">
        <f>E32</f>
        <v>0</v>
      </c>
      <c r="I45" s="26">
        <f>$F$41*H45+$F$42</f>
        <v>0.36650643084431067</v>
      </c>
    </row>
    <row r="46" spans="1:20" x14ac:dyDescent="0.3">
      <c r="H46" s="26">
        <f>E33</f>
        <v>2.377442822500119E-4</v>
      </c>
      <c r="I46" s="26">
        <f>$F$41*H46+$F$42</f>
        <v>0.36674417503942586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16</v>
      </c>
      <c r="B1" s="72" t="s">
        <v>66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0.000001</f>
        <v>9.9999999999999995E-7</v>
      </c>
      <c r="C4" s="37">
        <f>'Datos de laboratorio'!AA78</f>
        <v>1.855</v>
      </c>
      <c r="D4" s="5">
        <v>1</v>
      </c>
      <c r="E4" s="47">
        <f t="shared" si="0"/>
        <v>1000000</v>
      </c>
      <c r="F4" s="42">
        <f t="shared" si="1"/>
        <v>0.53908355795148244</v>
      </c>
      <c r="G4" s="42">
        <f t="shared" si="2"/>
        <v>539083.55795148248</v>
      </c>
      <c r="H4" s="42">
        <f t="shared" si="3"/>
        <v>1000000000000</v>
      </c>
      <c r="I4" s="42">
        <f t="shared" si="3"/>
        <v>0.29061108245362932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laboratorio'!X79</f>
        <v>250</v>
      </c>
      <c r="C5" s="37">
        <f>'Datos de laboratorio'!AA79</f>
        <v>2.2679999999999998</v>
      </c>
      <c r="D5" s="5">
        <v>1</v>
      </c>
      <c r="E5" s="47">
        <f t="shared" si="0"/>
        <v>4.0000000000000001E-3</v>
      </c>
      <c r="F5" s="42">
        <f t="shared" si="1"/>
        <v>0.44091710758377428</v>
      </c>
      <c r="G5" s="5">
        <f t="shared" si="2"/>
        <v>1.7636684303350971E-3</v>
      </c>
      <c r="H5" s="5">
        <f t="shared" si="3"/>
        <v>1.5999999999999999E-5</v>
      </c>
      <c r="I5" s="5">
        <f t="shared" si="3"/>
        <v>0.19440789576004158</v>
      </c>
      <c r="S5">
        <f t="shared" ref="S5:S10" si="4">B3</f>
        <v>9.9999999999999995E-7</v>
      </c>
      <c r="T5" s="26">
        <f t="shared" ref="T5:T10" si="5">(($F$19*$F$20)*S5)/(1+$F$20*S5)</f>
        <v>1.999998921833464E-6</v>
      </c>
    </row>
    <row r="6" spans="1:20" x14ac:dyDescent="0.3">
      <c r="A6" s="41">
        <v>3</v>
      </c>
      <c r="B6" s="26">
        <f>'Datos de laboratorio'!X80</f>
        <v>637.20000000000005</v>
      </c>
      <c r="C6" s="37">
        <f>'Datos de laboratorio'!AA80</f>
        <v>2.2579999999999996</v>
      </c>
      <c r="D6" s="5">
        <v>1</v>
      </c>
      <c r="E6" s="47">
        <f t="shared" si="0"/>
        <v>1.5693659761456371E-3</v>
      </c>
      <c r="F6" s="42">
        <f t="shared" si="1"/>
        <v>0.44286979627989381</v>
      </c>
      <c r="G6" s="5">
        <f t="shared" si="2"/>
        <v>6.9502479014421496E-4</v>
      </c>
      <c r="H6" s="5">
        <f t="shared" si="3"/>
        <v>2.4629095670835482E-6</v>
      </c>
      <c r="I6" s="5">
        <f t="shared" si="3"/>
        <v>0.19613365645699465</v>
      </c>
      <c r="S6" s="26">
        <f t="shared" si="4"/>
        <v>9.9999999999999995E-7</v>
      </c>
      <c r="T6" s="26">
        <f t="shared" si="5"/>
        <v>1.999998921833464E-6</v>
      </c>
    </row>
    <row r="7" spans="1:20" x14ac:dyDescent="0.3">
      <c r="A7" s="41">
        <v>4</v>
      </c>
      <c r="B7" s="26">
        <f>'Datos de laboratorio'!X81</f>
        <v>1688.3</v>
      </c>
      <c r="C7" s="37">
        <f>'Datos de laboratorio'!AA81</f>
        <v>4.407</v>
      </c>
      <c r="D7" s="5">
        <v>1</v>
      </c>
      <c r="E7" s="47">
        <f t="shared" si="0"/>
        <v>5.9231179292779719E-4</v>
      </c>
      <c r="F7" s="42">
        <f t="shared" si="1"/>
        <v>0.2269117313365101</v>
      </c>
      <c r="G7" s="5">
        <f t="shared" si="2"/>
        <v>1.3440249442427894E-4</v>
      </c>
      <c r="H7" s="5">
        <f t="shared" si="3"/>
        <v>3.5083326004134171E-7</v>
      </c>
      <c r="I7" s="5">
        <f t="shared" si="3"/>
        <v>5.1488933818132541E-2</v>
      </c>
      <c r="S7" s="26">
        <f t="shared" si="4"/>
        <v>250</v>
      </c>
      <c r="T7" s="26">
        <f t="shared" si="5"/>
        <v>3.433803275484784</v>
      </c>
    </row>
    <row r="8" spans="1:20" ht="15" thickBot="1" x14ac:dyDescent="0.35">
      <c r="A8" s="41">
        <v>5</v>
      </c>
      <c r="B8" s="26">
        <f>'Datos de laboratorio'!X82</f>
        <v>3553.8</v>
      </c>
      <c r="C8" s="37">
        <f>'Datos de laboratorio'!AA82</f>
        <v>20.238</v>
      </c>
      <c r="D8" s="48">
        <v>1</v>
      </c>
      <c r="E8" s="49">
        <f t="shared" si="0"/>
        <v>2.8138893578704484E-4</v>
      </c>
      <c r="F8" s="50">
        <f t="shared" si="1"/>
        <v>4.9411997232928155E-2</v>
      </c>
      <c r="G8" s="48">
        <f t="shared" si="2"/>
        <v>1.3903989316486059E-5</v>
      </c>
      <c r="H8" s="48">
        <f t="shared" si="3"/>
        <v>7.9179733183365649E-8</v>
      </c>
      <c r="I8" s="48">
        <f t="shared" si="3"/>
        <v>2.4415454705468994E-3</v>
      </c>
      <c r="S8" s="26">
        <f t="shared" si="4"/>
        <v>637.20000000000005</v>
      </c>
      <c r="T8" s="26">
        <f t="shared" si="5"/>
        <v>3.4481931349826693</v>
      </c>
    </row>
    <row r="9" spans="1:20" ht="15" thickBot="1" x14ac:dyDescent="0.35">
      <c r="D9" s="51" t="s">
        <v>30</v>
      </c>
      <c r="E9" s="52">
        <f>SUM(E3:E8)</f>
        <v>2000000.0064430668</v>
      </c>
      <c r="F9" s="53">
        <f>SUM(F3:F8)</f>
        <v>1000001.6991941903</v>
      </c>
      <c r="G9" s="53">
        <f>SUM(G3:G8)</f>
        <v>1000000539083.5605</v>
      </c>
      <c r="H9" s="53">
        <f>SUM(H3:H8)</f>
        <v>2000000000000</v>
      </c>
      <c r="I9" s="54">
        <f>SUM(I3:I8)</f>
        <v>1000000000000.7352</v>
      </c>
      <c r="S9" s="26">
        <f t="shared" si="4"/>
        <v>1688.3</v>
      </c>
      <c r="T9" s="26">
        <f t="shared" si="5"/>
        <v>3.4540115407216727</v>
      </c>
    </row>
    <row r="10" spans="1:20" ht="15" thickBot="1" x14ac:dyDescent="0.35">
      <c r="S10" s="26">
        <f t="shared" si="4"/>
        <v>3553.8</v>
      </c>
      <c r="T10" s="26">
        <f t="shared" si="5"/>
        <v>3.4558672223560647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333333.33440717781</v>
      </c>
      <c r="H11" s="40" t="s">
        <v>35</v>
      </c>
      <c r="I11" s="5">
        <f>SQRT((I9/B11)-(F12^2))</f>
        <v>372677.86959954305</v>
      </c>
    </row>
    <row r="12" spans="1:20" ht="15.6" x14ac:dyDescent="0.35">
      <c r="E12" s="5" t="s">
        <v>34</v>
      </c>
      <c r="F12" s="5">
        <f>F9/B11</f>
        <v>166666.94986569838</v>
      </c>
      <c r="H12" s="40" t="s">
        <v>36</v>
      </c>
      <c r="I12" s="5">
        <f>SQRT(F14)</f>
        <v>471404.52003170893</v>
      </c>
      <c r="T12" t="s">
        <v>47</v>
      </c>
    </row>
    <row r="13" spans="1:20" ht="15.6" x14ac:dyDescent="0.35">
      <c r="E13" s="40" t="s">
        <v>31</v>
      </c>
      <c r="F13" s="5">
        <f>(G9/B11)-(F11*F12)</f>
        <v>111111106379.71957</v>
      </c>
      <c r="H13" s="55" t="s">
        <v>37</v>
      </c>
      <c r="I13" s="56">
        <f>F13/(I12*I11)</f>
        <v>0.63245572105381886</v>
      </c>
      <c r="S13" s="5">
        <f t="shared" ref="S13:S15" si="6">D3</f>
        <v>1</v>
      </c>
      <c r="T13" s="5">
        <f t="shared" ref="T13:T18" si="7">(ABS((C3-T5)/C3)*100)*S13</f>
        <v>99.999892183346418</v>
      </c>
    </row>
    <row r="14" spans="1:20" ht="16.8" x14ac:dyDescent="0.35">
      <c r="E14" s="5" t="s">
        <v>32</v>
      </c>
      <c r="F14" s="5">
        <f>(H9/B11)-(F11^2)</f>
        <v>222222221506.32587</v>
      </c>
      <c r="S14" s="5">
        <f t="shared" si="6"/>
        <v>1</v>
      </c>
      <c r="T14" s="5">
        <f t="shared" si="7"/>
        <v>99.999892183346532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51.402260823844102</v>
      </c>
    </row>
    <row r="16" spans="1:20" ht="16.2" thickBot="1" x14ac:dyDescent="0.4">
      <c r="E16" s="5" t="s">
        <v>46</v>
      </c>
      <c r="F16" s="5">
        <f>(F13/F14)</f>
        <v>0.49999998031950482</v>
      </c>
      <c r="H16" s="35" t="s">
        <v>25</v>
      </c>
      <c r="I16" s="36" t="s">
        <v>42</v>
      </c>
      <c r="S16" s="5">
        <f>D6</f>
        <v>1</v>
      </c>
      <c r="T16" s="5">
        <f t="shared" si="7"/>
        <v>52.710059122350309</v>
      </c>
    </row>
    <row r="17" spans="1:20" ht="15.6" x14ac:dyDescent="0.35">
      <c r="E17" s="5" t="s">
        <v>40</v>
      </c>
      <c r="F17" s="5">
        <f>(F12-(F16*F11))</f>
        <v>0.28922227455768734</v>
      </c>
      <c r="H17" s="26">
        <f t="shared" ref="H17:H22" si="8">E3</f>
        <v>1000000</v>
      </c>
      <c r="I17" s="26">
        <f t="shared" ref="I17:I22" si="9">$F$16*H17+$F$17</f>
        <v>500000.26954177936</v>
      </c>
      <c r="S17" s="5">
        <f>D7</f>
        <v>1</v>
      </c>
      <c r="T17" s="5">
        <f t="shared" si="7"/>
        <v>21.624426123855852</v>
      </c>
    </row>
    <row r="18" spans="1:20" x14ac:dyDescent="0.3">
      <c r="H18" s="26">
        <f t="shared" si="8"/>
        <v>1000000</v>
      </c>
      <c r="I18" s="26">
        <f t="shared" si="9"/>
        <v>500000.26954177936</v>
      </c>
      <c r="S18" s="5">
        <f>D8</f>
        <v>1</v>
      </c>
      <c r="T18" s="5">
        <f t="shared" si="7"/>
        <v>82.923869837157497</v>
      </c>
    </row>
    <row r="19" spans="1:20" ht="15.6" x14ac:dyDescent="0.35">
      <c r="E19" s="5" t="s">
        <v>44</v>
      </c>
      <c r="F19" s="5">
        <f>1/F17</f>
        <v>3.4575483562921194</v>
      </c>
      <c r="H19" s="26">
        <f t="shared" si="8"/>
        <v>4.0000000000000001E-3</v>
      </c>
      <c r="I19" s="26">
        <f t="shared" si="9"/>
        <v>0.29122227447896537</v>
      </c>
      <c r="S19" s="56" t="s">
        <v>48</v>
      </c>
      <c r="T19" s="56">
        <f>SUM(T13:T18)/B11</f>
        <v>68.110066712316794</v>
      </c>
    </row>
    <row r="20" spans="1:20" ht="15.6" x14ac:dyDescent="0.35">
      <c r="E20" s="5" t="s">
        <v>45</v>
      </c>
      <c r="F20" s="5">
        <f>1/(F19*F16)</f>
        <v>0.57844457188352594</v>
      </c>
      <c r="H20" s="26">
        <f t="shared" si="8"/>
        <v>1.5693659761456371E-3</v>
      </c>
      <c r="I20" s="26">
        <f t="shared" si="9"/>
        <v>0.29000695751487426</v>
      </c>
    </row>
    <row r="21" spans="1:20" x14ac:dyDescent="0.3">
      <c r="H21" s="26">
        <f t="shared" si="8"/>
        <v>5.9231179292779719E-4</v>
      </c>
      <c r="I21" s="26">
        <f t="shared" si="9"/>
        <v>0.28951843044249426</v>
      </c>
    </row>
    <row r="22" spans="1:20" x14ac:dyDescent="0.3">
      <c r="H22" s="26">
        <f t="shared" si="8"/>
        <v>2.8138893578704484E-4</v>
      </c>
      <c r="I22" s="26">
        <f t="shared" si="9"/>
        <v>0.28936296902004299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16</v>
      </c>
      <c r="B26" s="72" t="str">
        <f>B1</f>
        <v>sal=2 dur=10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9.9999999999999995E-7</v>
      </c>
      <c r="C29" s="26">
        <f t="shared" si="14"/>
        <v>1.855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250</v>
      </c>
      <c r="C30" s="26">
        <f t="shared" si="14"/>
        <v>2.2679999999999998</v>
      </c>
      <c r="D30" s="5">
        <v>1</v>
      </c>
      <c r="E30" s="47">
        <f t="shared" si="10"/>
        <v>4.0000000000000001E-3</v>
      </c>
      <c r="F30" s="42">
        <f t="shared" si="11"/>
        <v>0.44091710758377428</v>
      </c>
      <c r="G30" s="5">
        <f t="shared" si="12"/>
        <v>1.7636684303350971E-3</v>
      </c>
      <c r="H30" s="5">
        <f t="shared" si="13"/>
        <v>1.5999999999999999E-5</v>
      </c>
      <c r="I30" s="5">
        <f t="shared" si="13"/>
        <v>0.19440789576004158</v>
      </c>
      <c r="S30" s="26">
        <f t="shared" ref="S30:S35" si="15">B28</f>
        <v>9.9999999999999995E-7</v>
      </c>
      <c r="T30" s="63">
        <f t="shared" ref="T30:T35" si="16">(($F$44*$F$45)*S30)/(1+$F$45*S30)</f>
        <v>9.9999999999999953E-7</v>
      </c>
    </row>
    <row r="31" spans="1:20" x14ac:dyDescent="0.3">
      <c r="A31" s="41">
        <v>3</v>
      </c>
      <c r="B31" s="26">
        <f t="shared" si="14"/>
        <v>637.20000000000005</v>
      </c>
      <c r="C31" s="26">
        <f t="shared" si="14"/>
        <v>2.2579999999999996</v>
      </c>
      <c r="D31" s="5">
        <v>1</v>
      </c>
      <c r="E31" s="47">
        <f t="shared" si="10"/>
        <v>1.5693659761456371E-3</v>
      </c>
      <c r="F31" s="42">
        <f t="shared" si="11"/>
        <v>0.44286979627989381</v>
      </c>
      <c r="G31" s="5">
        <f t="shared" si="12"/>
        <v>6.9502479014421496E-4</v>
      </c>
      <c r="H31" s="5">
        <f t="shared" si="13"/>
        <v>2.4629095670835482E-6</v>
      </c>
      <c r="I31" s="5">
        <f t="shared" si="13"/>
        <v>0.19613365645699465</v>
      </c>
      <c r="S31" s="26">
        <f t="shared" si="15"/>
        <v>9.9999999999999995E-7</v>
      </c>
      <c r="T31" s="26">
        <f t="shared" si="16"/>
        <v>9.9999999999999953E-7</v>
      </c>
    </row>
    <row r="32" spans="1:20" x14ac:dyDescent="0.3">
      <c r="A32" s="41">
        <v>4</v>
      </c>
      <c r="B32" s="26">
        <f t="shared" si="14"/>
        <v>1688.3</v>
      </c>
      <c r="C32" s="26">
        <f t="shared" si="14"/>
        <v>4.407</v>
      </c>
      <c r="D32" s="5">
        <v>1</v>
      </c>
      <c r="E32" s="47">
        <f t="shared" si="10"/>
        <v>5.9231179292779719E-4</v>
      </c>
      <c r="F32" s="42">
        <f t="shared" si="11"/>
        <v>0.2269117313365101</v>
      </c>
      <c r="G32" s="5">
        <f t="shared" si="12"/>
        <v>1.3440249442427894E-4</v>
      </c>
      <c r="H32" s="5">
        <f t="shared" si="13"/>
        <v>3.5083326004134171E-7</v>
      </c>
      <c r="I32" s="5">
        <f t="shared" si="13"/>
        <v>5.1488933818132541E-2</v>
      </c>
      <c r="S32" s="26">
        <f t="shared" si="15"/>
        <v>250</v>
      </c>
      <c r="T32" s="26">
        <f t="shared" si="16"/>
        <v>2.6868792712307448</v>
      </c>
    </row>
    <row r="33" spans="1:20" ht="15" thickBot="1" x14ac:dyDescent="0.35">
      <c r="A33" s="41">
        <v>5</v>
      </c>
      <c r="B33" s="26">
        <f t="shared" si="14"/>
        <v>3553.8</v>
      </c>
      <c r="C33" s="26">
        <f t="shared" si="14"/>
        <v>20.238</v>
      </c>
      <c r="D33" s="48">
        <v>0</v>
      </c>
      <c r="E33" s="49">
        <f t="shared" si="10"/>
        <v>0</v>
      </c>
      <c r="F33" s="50">
        <f t="shared" si="11"/>
        <v>0</v>
      </c>
      <c r="G33" s="48">
        <f t="shared" si="12"/>
        <v>0</v>
      </c>
      <c r="H33" s="48">
        <f t="shared" si="13"/>
        <v>0</v>
      </c>
      <c r="I33" s="48">
        <f t="shared" si="13"/>
        <v>0</v>
      </c>
      <c r="S33" s="26">
        <f t="shared" si="15"/>
        <v>637.20000000000005</v>
      </c>
      <c r="T33" s="26">
        <f t="shared" si="16"/>
        <v>2.7045421431190975</v>
      </c>
    </row>
    <row r="34" spans="1:20" ht="15" thickBot="1" x14ac:dyDescent="0.35">
      <c r="D34" s="51" t="s">
        <v>30</v>
      </c>
      <c r="E34" s="52">
        <f>SUM(E28:E33)</f>
        <v>1000000.0061616778</v>
      </c>
      <c r="F34" s="53">
        <f>SUM(F28:F33)</f>
        <v>1000001.1106986352</v>
      </c>
      <c r="G34" s="53">
        <f>SUM(G28:G33)</f>
        <v>1000000000000.0026</v>
      </c>
      <c r="H34" s="53">
        <f>SUM(H28:H33)</f>
        <v>1000000000000</v>
      </c>
      <c r="I34" s="54">
        <f>SUM(I28:I33)</f>
        <v>1000000000000.4421</v>
      </c>
      <c r="S34" s="26">
        <f t="shared" si="15"/>
        <v>1688.3</v>
      </c>
      <c r="T34" s="26">
        <f t="shared" si="16"/>
        <v>2.7117077854987088</v>
      </c>
    </row>
    <row r="35" spans="1:20" ht="15" thickBot="1" x14ac:dyDescent="0.35">
      <c r="S35" s="26">
        <f t="shared" si="15"/>
        <v>3553.8</v>
      </c>
      <c r="T35" s="26">
        <f t="shared" si="16"/>
        <v>2.7139960413831132</v>
      </c>
    </row>
    <row r="36" spans="1:20" ht="16.2" thickBot="1" x14ac:dyDescent="0.4">
      <c r="A36" s="43" t="s">
        <v>38</v>
      </c>
      <c r="B36" s="46">
        <v>4</v>
      </c>
      <c r="E36" s="5" t="s">
        <v>33</v>
      </c>
      <c r="F36" s="5">
        <f>E34/B36</f>
        <v>250000.00154041944</v>
      </c>
      <c r="H36" s="40" t="s">
        <v>35</v>
      </c>
      <c r="I36" s="5">
        <f>SQRT((I34/B36)-(F37^2))</f>
        <v>433012.54157668928</v>
      </c>
    </row>
    <row r="37" spans="1:20" ht="15.6" x14ac:dyDescent="0.35">
      <c r="A37" s="60" t="s">
        <v>50</v>
      </c>
      <c r="E37" s="5" t="s">
        <v>34</v>
      </c>
      <c r="F37" s="5">
        <f>F34/B36</f>
        <v>250000.27767465881</v>
      </c>
      <c r="H37" s="40" t="s">
        <v>36</v>
      </c>
      <c r="I37" s="5">
        <f>SQRT(F39)</f>
        <v>433012.70100285776</v>
      </c>
      <c r="T37" t="s">
        <v>47</v>
      </c>
    </row>
    <row r="38" spans="1:20" ht="15.6" x14ac:dyDescent="0.35">
      <c r="A38" s="60" t="s">
        <v>71</v>
      </c>
      <c r="E38" s="40" t="s">
        <v>31</v>
      </c>
      <c r="F38" s="5">
        <f>(G34/B36)-(F36*F37)</f>
        <v>187499930196.23065</v>
      </c>
      <c r="H38" s="55" t="s">
        <v>37</v>
      </c>
      <c r="I38" s="56">
        <f>F38/(I37*I36)</f>
        <v>0.99999999999997968</v>
      </c>
      <c r="S38" s="5">
        <f t="shared" ref="S38:S43" si="17">D28</f>
        <v>1</v>
      </c>
      <c r="T38" s="5">
        <f t="shared" ref="T38:T43" si="18">(ABS((C28-T30)/C28)*100)*S38</f>
        <v>4.2351647362715017E-14</v>
      </c>
    </row>
    <row r="39" spans="1:20" ht="16.8" x14ac:dyDescent="0.35">
      <c r="E39" s="5" t="s">
        <v>32</v>
      </c>
      <c r="F39" s="5">
        <f>(H34/B36)-(F36^2)</f>
        <v>187499999229.79028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18.469103669785937</v>
      </c>
    </row>
    <row r="41" spans="1:20" ht="16.2" thickBot="1" x14ac:dyDescent="0.4">
      <c r="E41" s="5" t="s">
        <v>46</v>
      </c>
      <c r="F41" s="5">
        <f>(F38/F39)</f>
        <v>0.99999963182101381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19.776002795354206</v>
      </c>
    </row>
    <row r="42" spans="1:20" ht="15.6" x14ac:dyDescent="0.35">
      <c r="E42" s="5" t="s">
        <v>40</v>
      </c>
      <c r="F42" s="5">
        <f>(F37-(F41*F36))</f>
        <v>0.36817898647859693</v>
      </c>
      <c r="H42" s="26">
        <f>E29</f>
        <v>0</v>
      </c>
      <c r="I42" s="26">
        <f>$F$41*H42+$F$42</f>
        <v>0.36817898647859693</v>
      </c>
      <c r="S42" s="5">
        <f t="shared" si="17"/>
        <v>1</v>
      </c>
      <c r="T42" s="5">
        <f t="shared" si="18"/>
        <v>38.468169151379421</v>
      </c>
    </row>
    <row r="43" spans="1:20" x14ac:dyDescent="0.3">
      <c r="H43" s="26">
        <f>E30</f>
        <v>4.0000000000000001E-3</v>
      </c>
      <c r="I43" s="26">
        <f>$F$41*H43+$F$42</f>
        <v>0.37217898500588098</v>
      </c>
      <c r="S43" s="5">
        <f t="shared" si="17"/>
        <v>0</v>
      </c>
      <c r="T43" s="5">
        <f t="shared" si="18"/>
        <v>0</v>
      </c>
    </row>
    <row r="44" spans="1:20" ht="15.6" x14ac:dyDescent="0.35">
      <c r="E44" s="5" t="s">
        <v>44</v>
      </c>
      <c r="F44" s="5">
        <f>1/F42</f>
        <v>2.7160702721368706</v>
      </c>
      <c r="H44" s="26">
        <f>E31</f>
        <v>1.5693659761456371E-3</v>
      </c>
      <c r="I44" s="26">
        <f>$F$41*H44+$F$42</f>
        <v>0.369748351876935</v>
      </c>
      <c r="S44" s="56" t="s">
        <v>48</v>
      </c>
      <c r="T44" s="56">
        <f>SUM(T38:T43)/B36</f>
        <v>19.178318904129902</v>
      </c>
    </row>
    <row r="45" spans="1:20" ht="15.6" x14ac:dyDescent="0.35">
      <c r="E45" s="5" t="s">
        <v>45</v>
      </c>
      <c r="F45" s="5">
        <f>1/(F44*F41)</f>
        <v>0.36817912203441283</v>
      </c>
      <c r="H45" s="26">
        <f>E32</f>
        <v>5.9231179292779719E-4</v>
      </c>
      <c r="I45" s="26">
        <f>$F$41*H45+$F$42</f>
        <v>0.36877129805344799</v>
      </c>
    </row>
    <row r="46" spans="1:20" x14ac:dyDescent="0.3">
      <c r="H46" s="26">
        <f>E33</f>
        <v>0</v>
      </c>
      <c r="I46" s="26">
        <f>$F$41*H46+$F$42</f>
        <v>0.36817898647859693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17</v>
      </c>
      <c r="B1" s="72" t="s">
        <v>67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0.000001</f>
        <v>9.9999999999999995E-7</v>
      </c>
      <c r="C4" s="37">
        <f>'Datos de laboratorio'!AA83</f>
        <v>-0.03</v>
      </c>
      <c r="D4" s="5">
        <v>1</v>
      </c>
      <c r="E4" s="47">
        <f t="shared" si="0"/>
        <v>1000000</v>
      </c>
      <c r="F4" s="42">
        <f t="shared" si="1"/>
        <v>-33.333333333333336</v>
      </c>
      <c r="G4" s="42">
        <f t="shared" si="2"/>
        <v>-33333333.333333336</v>
      </c>
      <c r="H4" s="42">
        <f t="shared" si="3"/>
        <v>1000000000000</v>
      </c>
      <c r="I4" s="42">
        <f t="shared" si="3"/>
        <v>1111.1111111111113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laboratorio'!X84</f>
        <v>36</v>
      </c>
      <c r="C5" s="37">
        <f>'Datos de laboratorio'!AA84</f>
        <v>4.093</v>
      </c>
      <c r="D5" s="5">
        <v>1</v>
      </c>
      <c r="E5" s="47">
        <f t="shared" si="0"/>
        <v>2.7777777777777776E-2</v>
      </c>
      <c r="F5" s="42">
        <f t="shared" si="1"/>
        <v>0.2443195699975568</v>
      </c>
      <c r="G5" s="5">
        <f t="shared" si="2"/>
        <v>6.786654722154355E-3</v>
      </c>
      <c r="H5" s="5">
        <f t="shared" si="3"/>
        <v>7.716049382716049E-4</v>
      </c>
      <c r="I5" s="5">
        <f t="shared" si="3"/>
        <v>5.9692052283791056E-2</v>
      </c>
      <c r="S5">
        <f t="shared" ref="S5:S10" si="4">B3</f>
        <v>9.9999999999999995E-7</v>
      </c>
      <c r="T5" s="26">
        <f t="shared" ref="T5:T10" si="5">(($F$19*$F$20)*S5)/(1+$F$20*S5)</f>
        <v>2.000066668888964E-6</v>
      </c>
    </row>
    <row r="6" spans="1:20" x14ac:dyDescent="0.3">
      <c r="A6" s="41">
        <v>3</v>
      </c>
      <c r="B6" s="26">
        <f>'Datos de laboratorio'!X85</f>
        <v>822.5</v>
      </c>
      <c r="C6" s="37">
        <f>'Datos de laboratorio'!AA85</f>
        <v>3.0920000000000005</v>
      </c>
      <c r="D6" s="5">
        <v>1</v>
      </c>
      <c r="E6" s="47">
        <f t="shared" si="0"/>
        <v>1.2158054711246201E-3</v>
      </c>
      <c r="F6" s="42">
        <f t="shared" si="1"/>
        <v>0.32341526520051739</v>
      </c>
      <c r="G6" s="5">
        <f t="shared" si="2"/>
        <v>3.9321004887600899E-4</v>
      </c>
      <c r="H6" s="5">
        <f t="shared" si="3"/>
        <v>1.4781829436165595E-6</v>
      </c>
      <c r="I6" s="5">
        <f t="shared" si="3"/>
        <v>0.104597433764721</v>
      </c>
      <c r="S6" s="26">
        <f t="shared" si="4"/>
        <v>9.9999999999999995E-7</v>
      </c>
      <c r="T6" s="26">
        <f t="shared" si="5"/>
        <v>2.000066668888964E-6</v>
      </c>
    </row>
    <row r="7" spans="1:20" x14ac:dyDescent="0.3">
      <c r="A7" s="41">
        <v>4</v>
      </c>
      <c r="B7" s="26">
        <f>'Datos de laboratorio'!X86</f>
        <v>1772.2</v>
      </c>
      <c r="C7" s="37">
        <f>'Datos de laboratorio'!AA86</f>
        <v>3.9999999999999978</v>
      </c>
      <c r="D7" s="5">
        <v>1</v>
      </c>
      <c r="E7" s="47">
        <f t="shared" si="0"/>
        <v>5.6427039837490128E-4</v>
      </c>
      <c r="F7" s="42">
        <f t="shared" si="1"/>
        <v>0.25000000000000011</v>
      </c>
      <c r="G7" s="5">
        <f t="shared" si="2"/>
        <v>1.4106759959372537E-4</v>
      </c>
      <c r="H7" s="5">
        <f t="shared" si="3"/>
        <v>3.184010824821698E-7</v>
      </c>
      <c r="I7" s="5">
        <f t="shared" si="3"/>
        <v>6.2500000000000056E-2</v>
      </c>
      <c r="S7" s="26">
        <f t="shared" si="4"/>
        <v>36</v>
      </c>
      <c r="T7" s="26">
        <f t="shared" si="5"/>
        <v>3.7032499210734375</v>
      </c>
    </row>
    <row r="8" spans="1:20" ht="15" thickBot="1" x14ac:dyDescent="0.35">
      <c r="A8" s="41">
        <v>5</v>
      </c>
      <c r="B8" s="26">
        <f>'Datos de laboratorio'!X87</f>
        <v>4662.5</v>
      </c>
      <c r="C8" s="37">
        <f>'Datos de laboratorio'!AA87</f>
        <v>4.51</v>
      </c>
      <c r="D8" s="48">
        <v>1</v>
      </c>
      <c r="E8" s="49">
        <f t="shared" si="0"/>
        <v>2.1447721179624664E-4</v>
      </c>
      <c r="F8" s="50">
        <f t="shared" si="1"/>
        <v>0.22172949002217296</v>
      </c>
      <c r="G8" s="48">
        <f t="shared" si="2"/>
        <v>4.7555922792959343E-5</v>
      </c>
      <c r="H8" s="48">
        <f t="shared" si="3"/>
        <v>4.6000474379892041E-8</v>
      </c>
      <c r="I8" s="48">
        <f t="shared" si="3"/>
        <v>4.91639667454929E-2</v>
      </c>
      <c r="S8" s="26">
        <f t="shared" si="4"/>
        <v>822.5</v>
      </c>
      <c r="T8" s="26">
        <f t="shared" si="5"/>
        <v>3.894800683292555</v>
      </c>
    </row>
    <row r="9" spans="1:20" ht="15" thickBot="1" x14ac:dyDescent="0.35">
      <c r="D9" s="51" t="s">
        <v>30</v>
      </c>
      <c r="E9" s="52">
        <f>SUM(E3:E8)</f>
        <v>2000000.029772331</v>
      </c>
      <c r="F9" s="53">
        <f>SUM(F3:F8)</f>
        <v>999967.70613099181</v>
      </c>
      <c r="G9" s="53">
        <f>SUM(G3:G8)</f>
        <v>999966666666.67395</v>
      </c>
      <c r="H9" s="53">
        <f>SUM(H3:H8)</f>
        <v>2000000000000.0007</v>
      </c>
      <c r="I9" s="54">
        <f>SUM(I3:I8)</f>
        <v>1000000001111.3871</v>
      </c>
      <c r="S9" s="26">
        <f t="shared" si="4"/>
        <v>1772.2</v>
      </c>
      <c r="T9" s="26">
        <f t="shared" si="5"/>
        <v>3.8997485152714471</v>
      </c>
    </row>
    <row r="10" spans="1:20" ht="15" thickBot="1" x14ac:dyDescent="0.35">
      <c r="S10" s="26">
        <f t="shared" si="4"/>
        <v>4662.5</v>
      </c>
      <c r="T10" s="26">
        <f t="shared" si="5"/>
        <v>3.9024100746312693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333333.3382953885</v>
      </c>
      <c r="H11" s="40" t="s">
        <v>35</v>
      </c>
      <c r="I11" s="5">
        <f>SQRT((I9/B11)-(F12^2))</f>
        <v>372680.40349471633</v>
      </c>
    </row>
    <row r="12" spans="1:20" ht="15.6" x14ac:dyDescent="0.35">
      <c r="E12" s="5" t="s">
        <v>34</v>
      </c>
      <c r="F12" s="5">
        <f>F9/B11</f>
        <v>166661.28435516529</v>
      </c>
      <c r="H12" s="40" t="s">
        <v>36</v>
      </c>
      <c r="I12" s="5">
        <f>SQRT(F14)</f>
        <v>471404.51728232892</v>
      </c>
      <c r="T12" t="s">
        <v>47</v>
      </c>
    </row>
    <row r="13" spans="1:20" ht="15.6" x14ac:dyDescent="0.35">
      <c r="E13" s="40" t="s">
        <v>31</v>
      </c>
      <c r="F13" s="5">
        <f>(G9/B11)-(F11*F12)</f>
        <v>111107348832.40808</v>
      </c>
      <c r="H13" s="55" t="s">
        <v>37</v>
      </c>
      <c r="I13" s="56">
        <f>F13/(I12*I11)</f>
        <v>0.63243003641000006</v>
      </c>
      <c r="S13" s="5">
        <f t="shared" ref="S13:S15" si="6">D3</f>
        <v>1</v>
      </c>
      <c r="T13" s="5">
        <f t="shared" ref="T13:T18" si="7">(ABS((C3-T5)/C3)*100)*S13</f>
        <v>100.0066668888964</v>
      </c>
    </row>
    <row r="14" spans="1:20" ht="16.8" x14ac:dyDescent="0.35">
      <c r="E14" s="5" t="s">
        <v>32</v>
      </c>
      <c r="F14" s="5">
        <f>(H9/B11)-(F11^2)</f>
        <v>222222218914.18552</v>
      </c>
      <c r="S14" s="5">
        <f t="shared" si="6"/>
        <v>1</v>
      </c>
      <c r="T14" s="5">
        <f t="shared" si="7"/>
        <v>100.00666688889631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9.5223571689851561</v>
      </c>
    </row>
    <row r="16" spans="1:20" ht="16.2" thickBot="1" x14ac:dyDescent="0.4">
      <c r="E16" s="5" t="s">
        <v>46</v>
      </c>
      <c r="F16" s="5">
        <f>(F13/F14)</f>
        <v>0.49998307718866702</v>
      </c>
      <c r="H16" s="35" t="s">
        <v>25</v>
      </c>
      <c r="I16" s="36" t="s">
        <v>42</v>
      </c>
      <c r="S16" s="5">
        <f>D6</f>
        <v>1</v>
      </c>
      <c r="T16" s="5">
        <f t="shared" si="7"/>
        <v>25.963799589021807</v>
      </c>
    </row>
    <row r="17" spans="1:20" ht="15.6" x14ac:dyDescent="0.35">
      <c r="E17" s="5" t="s">
        <v>40</v>
      </c>
      <c r="F17" s="5">
        <f>(F12-(F16*F11))</f>
        <v>0.25614466599654406</v>
      </c>
      <c r="H17" s="26">
        <f t="shared" ref="H17:H22" si="8">E3</f>
        <v>1000000</v>
      </c>
      <c r="I17" s="26">
        <f t="shared" ref="I17:I22" si="9">$F$16*H17+$F$17</f>
        <v>499983.33333333302</v>
      </c>
      <c r="S17" s="5">
        <f>D7</f>
        <v>1</v>
      </c>
      <c r="T17" s="5">
        <f t="shared" si="7"/>
        <v>2.5062871182137694</v>
      </c>
    </row>
    <row r="18" spans="1:20" x14ac:dyDescent="0.3">
      <c r="H18" s="26">
        <f t="shared" si="8"/>
        <v>1000000</v>
      </c>
      <c r="I18" s="26">
        <f t="shared" si="9"/>
        <v>499983.33333333302</v>
      </c>
      <c r="S18" s="5">
        <f>D8</f>
        <v>1</v>
      </c>
      <c r="T18" s="5">
        <f t="shared" si="7"/>
        <v>13.472060429461873</v>
      </c>
    </row>
    <row r="19" spans="1:20" ht="15.6" x14ac:dyDescent="0.35">
      <c r="E19" s="5" t="s">
        <v>44</v>
      </c>
      <c r="F19" s="5">
        <f>1/F17</f>
        <v>3.9040438187906368</v>
      </c>
      <c r="H19" s="26">
        <f t="shared" si="8"/>
        <v>2.7777777777777776E-2</v>
      </c>
      <c r="I19" s="26">
        <f t="shared" si="9"/>
        <v>0.27003308480734034</v>
      </c>
      <c r="S19" s="56" t="s">
        <v>48</v>
      </c>
      <c r="T19" s="56">
        <f>SUM(T13:T18)/B11</f>
        <v>41.912973013912556</v>
      </c>
    </row>
    <row r="20" spans="1:20" ht="15.6" x14ac:dyDescent="0.35">
      <c r="E20" s="5" t="s">
        <v>45</v>
      </c>
      <c r="F20" s="5">
        <f>1/(F19*F16)</f>
        <v>0.5123066713313752</v>
      </c>
      <c r="H20" s="26">
        <f t="shared" si="8"/>
        <v>1.2158054711246201E-3</v>
      </c>
      <c r="I20" s="26">
        <f t="shared" si="9"/>
        <v>0.25675254815725979</v>
      </c>
    </row>
    <row r="21" spans="1:20" x14ac:dyDescent="0.3">
      <c r="H21" s="26">
        <f t="shared" si="8"/>
        <v>5.6427039837490128E-4</v>
      </c>
      <c r="I21" s="26">
        <f t="shared" si="9"/>
        <v>0.25642679164669002</v>
      </c>
    </row>
    <row r="22" spans="1:20" x14ac:dyDescent="0.3">
      <c r="H22" s="26">
        <f t="shared" si="8"/>
        <v>2.1447721179624664E-4</v>
      </c>
      <c r="I22" s="26">
        <f t="shared" si="9"/>
        <v>0.25625190097288481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17</v>
      </c>
      <c r="B26" s="72" t="str">
        <f>B1</f>
        <v>sal=5 dur=0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9.9999999999999995E-7</v>
      </c>
      <c r="C29" s="26">
        <f t="shared" si="14"/>
        <v>-0.03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36</v>
      </c>
      <c r="C30" s="26">
        <f t="shared" si="14"/>
        <v>4.093</v>
      </c>
      <c r="D30" s="5">
        <v>1</v>
      </c>
      <c r="E30" s="47">
        <f t="shared" si="10"/>
        <v>2.7777777777777776E-2</v>
      </c>
      <c r="F30" s="42">
        <f t="shared" si="11"/>
        <v>0.2443195699975568</v>
      </c>
      <c r="G30" s="5">
        <f t="shared" si="12"/>
        <v>6.786654722154355E-3</v>
      </c>
      <c r="H30" s="5">
        <f t="shared" si="13"/>
        <v>7.716049382716049E-4</v>
      </c>
      <c r="I30" s="5">
        <f t="shared" si="13"/>
        <v>5.9692052283791056E-2</v>
      </c>
      <c r="S30" s="26">
        <f t="shared" ref="S30:S35" si="15">B28</f>
        <v>9.9999999999999995E-7</v>
      </c>
      <c r="T30" s="63">
        <f t="shared" ref="T30:T35" si="16">(($F$44*$F$45)*S30)/(1+$F$45*S30)</f>
        <v>1.0000000000000008E-6</v>
      </c>
    </row>
    <row r="31" spans="1:20" x14ac:dyDescent="0.3">
      <c r="A31" s="41">
        <v>3</v>
      </c>
      <c r="B31" s="26">
        <f t="shared" si="14"/>
        <v>822.5</v>
      </c>
      <c r="C31" s="26">
        <f t="shared" si="14"/>
        <v>3.0920000000000005</v>
      </c>
      <c r="D31" s="5">
        <v>1</v>
      </c>
      <c r="E31" s="47">
        <f t="shared" si="10"/>
        <v>1.2158054711246201E-3</v>
      </c>
      <c r="F31" s="42">
        <f t="shared" si="11"/>
        <v>0.32341526520051739</v>
      </c>
      <c r="G31" s="5">
        <f t="shared" si="12"/>
        <v>3.9321004887600899E-4</v>
      </c>
      <c r="H31" s="5">
        <f t="shared" si="13"/>
        <v>1.4781829436165595E-6</v>
      </c>
      <c r="I31" s="5">
        <f t="shared" si="13"/>
        <v>0.104597433764721</v>
      </c>
      <c r="S31" s="26">
        <f t="shared" si="15"/>
        <v>9.9999999999999995E-7</v>
      </c>
      <c r="T31" s="26">
        <f t="shared" si="16"/>
        <v>1.0000000000000008E-6</v>
      </c>
    </row>
    <row r="32" spans="1:20" x14ac:dyDescent="0.3">
      <c r="A32" s="41">
        <v>4</v>
      </c>
      <c r="B32" s="26">
        <f t="shared" si="14"/>
        <v>1772.2</v>
      </c>
      <c r="C32" s="26">
        <f t="shared" si="14"/>
        <v>3.9999999999999978</v>
      </c>
      <c r="D32" s="5">
        <v>1</v>
      </c>
      <c r="E32" s="47">
        <f t="shared" si="10"/>
        <v>5.6427039837490128E-4</v>
      </c>
      <c r="F32" s="42">
        <f t="shared" si="11"/>
        <v>0.25000000000000011</v>
      </c>
      <c r="G32" s="5">
        <f t="shared" si="12"/>
        <v>1.4106759959372537E-4</v>
      </c>
      <c r="H32" s="5">
        <f t="shared" si="13"/>
        <v>3.184010824821698E-7</v>
      </c>
      <c r="I32" s="5">
        <f t="shared" si="13"/>
        <v>6.2500000000000056E-2</v>
      </c>
      <c r="S32" s="26">
        <f t="shared" si="15"/>
        <v>36</v>
      </c>
      <c r="T32" s="26">
        <f t="shared" si="16"/>
        <v>3.5688695458622068</v>
      </c>
    </row>
    <row r="33" spans="1:20" ht="15" thickBot="1" x14ac:dyDescent="0.35">
      <c r="A33" s="41">
        <v>5</v>
      </c>
      <c r="B33" s="26">
        <f t="shared" si="14"/>
        <v>4662.5</v>
      </c>
      <c r="C33" s="26">
        <f t="shared" si="14"/>
        <v>4.51</v>
      </c>
      <c r="D33" s="48">
        <v>1</v>
      </c>
      <c r="E33" s="49">
        <f t="shared" si="10"/>
        <v>2.1447721179624664E-4</v>
      </c>
      <c r="F33" s="50">
        <f t="shared" si="11"/>
        <v>0.22172949002217296</v>
      </c>
      <c r="G33" s="48">
        <f t="shared" si="12"/>
        <v>4.7555922792959343E-5</v>
      </c>
      <c r="H33" s="48">
        <f t="shared" si="13"/>
        <v>4.6000474379892041E-8</v>
      </c>
      <c r="I33" s="48">
        <f t="shared" si="13"/>
        <v>4.91639667454929E-2</v>
      </c>
      <c r="S33" s="26">
        <f t="shared" si="15"/>
        <v>822.5</v>
      </c>
      <c r="T33" s="26">
        <f t="shared" si="16"/>
        <v>3.9426143669387073</v>
      </c>
    </row>
    <row r="34" spans="1:20" ht="15" thickBot="1" x14ac:dyDescent="0.35">
      <c r="D34" s="51" t="s">
        <v>30</v>
      </c>
      <c r="E34" s="52">
        <f>SUM(E28:E33)</f>
        <v>1000000.0297723308</v>
      </c>
      <c r="F34" s="53">
        <f>SUM(F28:F33)</f>
        <v>1000001.0394643252</v>
      </c>
      <c r="G34" s="53">
        <f>SUM(G28:G33)</f>
        <v>1000000000000.0073</v>
      </c>
      <c r="H34" s="53">
        <f>SUM(H28:H33)</f>
        <v>1000000000000.0007</v>
      </c>
      <c r="I34" s="54">
        <f>SUM(I28:I33)</f>
        <v>1000000000000.276</v>
      </c>
      <c r="S34" s="26">
        <f t="shared" si="15"/>
        <v>1772.2</v>
      </c>
      <c r="T34" s="26">
        <f t="shared" si="16"/>
        <v>3.9527680433679753</v>
      </c>
    </row>
    <row r="35" spans="1:20" ht="15" thickBot="1" x14ac:dyDescent="0.35">
      <c r="S35" s="26">
        <f t="shared" si="15"/>
        <v>4662.5</v>
      </c>
      <c r="T35" s="26">
        <f t="shared" si="16"/>
        <v>3.9582409090426429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200000.00595446615</v>
      </c>
      <c r="H36" s="40" t="s">
        <v>35</v>
      </c>
      <c r="I36" s="5">
        <f>SQRT((I34/B36)-(F37^2))</f>
        <v>399999.89605356893</v>
      </c>
    </row>
    <row r="37" spans="1:20" ht="15.6" x14ac:dyDescent="0.35">
      <c r="A37" s="60" t="s">
        <v>50</v>
      </c>
      <c r="E37" s="5" t="s">
        <v>34</v>
      </c>
      <c r="F37" s="5">
        <f>F34/B36</f>
        <v>200000.20789286503</v>
      </c>
      <c r="H37" s="40" t="s">
        <v>36</v>
      </c>
      <c r="I37" s="5">
        <f>SQRT(F39)</f>
        <v>399999.99702276703</v>
      </c>
      <c r="T37" t="s">
        <v>47</v>
      </c>
    </row>
    <row r="38" spans="1:20" ht="15.6" x14ac:dyDescent="0.35">
      <c r="A38" s="60">
        <v>1</v>
      </c>
      <c r="E38" s="40" t="s">
        <v>31</v>
      </c>
      <c r="F38" s="5">
        <f>(G34/B36)-(F36*F37)</f>
        <v>159999957230.534</v>
      </c>
      <c r="H38" s="55" t="s">
        <v>37</v>
      </c>
      <c r="I38" s="56">
        <f>F38/(I37*I36)</f>
        <v>0.99999999999999556</v>
      </c>
      <c r="S38" s="5">
        <f t="shared" ref="S38:S43" si="17">D28</f>
        <v>1</v>
      </c>
      <c r="T38" s="5">
        <f t="shared" ref="T38:T43" si="18">(ABS((C28-T30)/C28)*100)*S38</f>
        <v>8.4703294725430034E-14</v>
      </c>
    </row>
    <row r="39" spans="1:20" ht="16.8" x14ac:dyDescent="0.35">
      <c r="E39" s="5" t="s">
        <v>32</v>
      </c>
      <c r="F39" s="5">
        <f>(H34/B36)-(F36^2)</f>
        <v>159999997618.21365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12.805532717756979</v>
      </c>
    </row>
    <row r="41" spans="1:20" ht="16.2" thickBot="1" x14ac:dyDescent="0.4">
      <c r="E41" s="5" t="s">
        <v>46</v>
      </c>
      <c r="F41" s="5">
        <f>(F38/F39)</f>
        <v>0.99999974757699839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27.510167106685206</v>
      </c>
    </row>
    <row r="42" spans="1:20" ht="15.6" x14ac:dyDescent="0.35">
      <c r="E42" s="5" t="s">
        <v>40</v>
      </c>
      <c r="F42" s="5">
        <f>(F37-(F41*F36))</f>
        <v>0.25242300069658086</v>
      </c>
      <c r="H42" s="26">
        <f>E29</f>
        <v>0</v>
      </c>
      <c r="I42" s="26">
        <f>$F$41*H42+$F$42</f>
        <v>0.25242300069658086</v>
      </c>
      <c r="S42" s="5">
        <f t="shared" si="17"/>
        <v>1</v>
      </c>
      <c r="T42" s="5">
        <f t="shared" si="18"/>
        <v>1.1807989158005634</v>
      </c>
    </row>
    <row r="43" spans="1:20" x14ac:dyDescent="0.3">
      <c r="H43" s="26">
        <f>E30</f>
        <v>2.7777777777777776E-2</v>
      </c>
      <c r="I43" s="26">
        <f>$F$41*H43+$F$42</f>
        <v>0.28020077146260858</v>
      </c>
      <c r="S43" s="5">
        <f t="shared" si="17"/>
        <v>1</v>
      </c>
      <c r="T43" s="5">
        <f t="shared" si="18"/>
        <v>12.234126185307248</v>
      </c>
    </row>
    <row r="44" spans="1:20" ht="15.6" x14ac:dyDescent="0.35">
      <c r="E44" s="5" t="s">
        <v>44</v>
      </c>
      <c r="F44" s="5">
        <f>1/F42</f>
        <v>3.9616041218130773</v>
      </c>
      <c r="H44" s="26">
        <f>E31</f>
        <v>1.2158054711246201E-3</v>
      </c>
      <c r="I44" s="26">
        <f>$F$41*H44+$F$42</f>
        <v>0.25363880586080823</v>
      </c>
      <c r="S44" s="56" t="s">
        <v>48</v>
      </c>
      <c r="T44" s="56">
        <f>SUM(T38:T43)/B36</f>
        <v>10.746124985110017</v>
      </c>
    </row>
    <row r="45" spans="1:20" ht="15.6" x14ac:dyDescent="0.35">
      <c r="E45" s="5" t="s">
        <v>45</v>
      </c>
      <c r="F45" s="5">
        <f>1/(F44*F41)</f>
        <v>0.25242306441396845</v>
      </c>
      <c r="H45" s="26">
        <f>E32</f>
        <v>5.6427039837490128E-4</v>
      </c>
      <c r="I45" s="26">
        <f>$F$41*H45+$F$42</f>
        <v>0.25298727095252094</v>
      </c>
    </row>
    <row r="46" spans="1:20" x14ac:dyDescent="0.3">
      <c r="H46" s="26">
        <f>E33</f>
        <v>2.1447721179624664E-4</v>
      </c>
      <c r="I46" s="26">
        <f>$F$41*H46+$F$42</f>
        <v>0.25263747785423812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6"/>
  <sheetViews>
    <sheetView topLeftCell="A10"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18</v>
      </c>
      <c r="B1" s="72" t="s">
        <v>68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0.000001</f>
        <v>9.9999999999999995E-7</v>
      </c>
      <c r="C4" s="37">
        <f>'Datos de laboratorio'!AA88</f>
        <v>2.016</v>
      </c>
      <c r="D4" s="5">
        <v>1</v>
      </c>
      <c r="E4" s="47">
        <f t="shared" si="0"/>
        <v>1000000</v>
      </c>
      <c r="F4" s="42">
        <f t="shared" si="1"/>
        <v>0.49603174603174605</v>
      </c>
      <c r="G4" s="42">
        <f t="shared" si="2"/>
        <v>496031.74603174604</v>
      </c>
      <c r="H4" s="42">
        <f t="shared" si="3"/>
        <v>1000000000000</v>
      </c>
      <c r="I4" s="42">
        <f t="shared" si="3"/>
        <v>0.24604749307130261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laboratorio'!X89</f>
        <v>240.75</v>
      </c>
      <c r="C5" s="37">
        <f>'Datos de laboratorio'!AA89</f>
        <v>2.4075000000000002</v>
      </c>
      <c r="D5" s="5">
        <v>1</v>
      </c>
      <c r="E5" s="47">
        <f t="shared" si="0"/>
        <v>4.1536863966770508E-3</v>
      </c>
      <c r="F5" s="42">
        <f t="shared" si="1"/>
        <v>0.41536863966770504</v>
      </c>
      <c r="G5" s="5">
        <f t="shared" si="2"/>
        <v>1.725311068193998E-3</v>
      </c>
      <c r="H5" s="5">
        <f t="shared" si="3"/>
        <v>1.7253110681939981E-5</v>
      </c>
      <c r="I5" s="5">
        <f t="shared" si="3"/>
        <v>0.17253110681939979</v>
      </c>
      <c r="S5">
        <f t="shared" ref="S5:S10" si="4">B3</f>
        <v>9.9999999999999995E-7</v>
      </c>
      <c r="T5" s="26">
        <f t="shared" ref="T5:T10" si="5">(($F$19*$F$20)*S5)/(1+$F$20*S5)</f>
        <v>1.9999990079369987E-6</v>
      </c>
    </row>
    <row r="6" spans="1:20" x14ac:dyDescent="0.3">
      <c r="A6" s="41">
        <v>3</v>
      </c>
      <c r="B6" s="26">
        <f>'Datos de laboratorio'!X90</f>
        <v>719.4</v>
      </c>
      <c r="C6" s="37">
        <f>'Datos de laboratorio'!AA90</f>
        <v>1.6860000000000002</v>
      </c>
      <c r="D6" s="5">
        <v>1</v>
      </c>
      <c r="E6" s="47">
        <f t="shared" si="0"/>
        <v>1.3900472616068947E-3</v>
      </c>
      <c r="F6" s="42">
        <f t="shared" si="1"/>
        <v>0.59311981020166071</v>
      </c>
      <c r="G6" s="5">
        <f t="shared" si="2"/>
        <v>8.2446456797561957E-4</v>
      </c>
      <c r="H6" s="5">
        <f t="shared" si="3"/>
        <v>1.932231389500827E-6</v>
      </c>
      <c r="I6" s="5">
        <f t="shared" si="3"/>
        <v>0.35179110925365403</v>
      </c>
      <c r="S6" s="26">
        <f t="shared" si="4"/>
        <v>9.9999999999999995E-7</v>
      </c>
      <c r="T6" s="26">
        <f t="shared" si="5"/>
        <v>1.9999990079369987E-6</v>
      </c>
    </row>
    <row r="7" spans="1:20" x14ac:dyDescent="0.3">
      <c r="A7" s="41">
        <v>4</v>
      </c>
      <c r="B7" s="26">
        <f>'Datos de laboratorio'!X91</f>
        <v>1521.3</v>
      </c>
      <c r="C7" s="37">
        <f>'Datos de laboratorio'!AA91</f>
        <v>3.9</v>
      </c>
      <c r="D7" s="5">
        <v>1</v>
      </c>
      <c r="E7" s="47">
        <f t="shared" si="0"/>
        <v>6.5733254453427992E-4</v>
      </c>
      <c r="F7" s="42">
        <f t="shared" si="1"/>
        <v>0.25641025641025644</v>
      </c>
      <c r="G7" s="5">
        <f t="shared" si="2"/>
        <v>1.6854680629084103E-4</v>
      </c>
      <c r="H7" s="5">
        <f t="shared" si="3"/>
        <v>4.3208607410391109E-7</v>
      </c>
      <c r="I7" s="5">
        <f t="shared" si="3"/>
        <v>6.574621959237345E-2</v>
      </c>
      <c r="S7" s="26">
        <f t="shared" si="4"/>
        <v>240.75</v>
      </c>
      <c r="T7" s="26">
        <f t="shared" si="5"/>
        <v>2.912205804069691</v>
      </c>
    </row>
    <row r="8" spans="1:20" ht="15" thickBot="1" x14ac:dyDescent="0.35">
      <c r="A8" s="41">
        <v>5</v>
      </c>
      <c r="B8" s="26">
        <f>'Datos de laboratorio'!X92</f>
        <v>4689.1000000000004</v>
      </c>
      <c r="C8" s="37">
        <f>'Datos de laboratorio'!AA92</f>
        <v>9.6589999999999971</v>
      </c>
      <c r="D8" s="48">
        <v>1</v>
      </c>
      <c r="E8" s="49">
        <f t="shared" si="0"/>
        <v>2.1326054040220936E-4</v>
      </c>
      <c r="F8" s="50">
        <f t="shared" si="1"/>
        <v>0.10353038616834044</v>
      </c>
      <c r="G8" s="48">
        <f t="shared" si="2"/>
        <v>2.2078946102309703E-5</v>
      </c>
      <c r="H8" s="48">
        <f t="shared" si="3"/>
        <v>4.5480058092642375E-8</v>
      </c>
      <c r="I8" s="48">
        <f t="shared" si="3"/>
        <v>1.0718540860165698E-2</v>
      </c>
      <c r="S8" s="26">
        <f t="shared" si="4"/>
        <v>719.4</v>
      </c>
      <c r="T8" s="26">
        <f t="shared" si="5"/>
        <v>2.9239722843715952</v>
      </c>
    </row>
    <row r="9" spans="1:20" ht="15" thickBot="1" x14ac:dyDescent="0.35">
      <c r="D9" s="51" t="s">
        <v>30</v>
      </c>
      <c r="E9" s="52">
        <f>SUM(E3:E8)</f>
        <v>2000000.0064143268</v>
      </c>
      <c r="F9" s="53">
        <f>SUM(F3:F8)</f>
        <v>1000001.8644608384</v>
      </c>
      <c r="G9" s="53">
        <f>SUM(G3:G8)</f>
        <v>1000000496031.7487</v>
      </c>
      <c r="H9" s="53">
        <f>SUM(H3:H8)</f>
        <v>2000000000000</v>
      </c>
      <c r="I9" s="54">
        <f>SUM(I3:I8)</f>
        <v>1000000000000.8469</v>
      </c>
      <c r="S9" s="26">
        <f t="shared" si="4"/>
        <v>1521.3</v>
      </c>
      <c r="T9" s="26">
        <f t="shared" si="5"/>
        <v>2.9271078566425639</v>
      </c>
    </row>
    <row r="10" spans="1:20" ht="15" thickBot="1" x14ac:dyDescent="0.35">
      <c r="S10" s="26">
        <f t="shared" si="4"/>
        <v>4689.1000000000004</v>
      </c>
      <c r="T10" s="26">
        <f t="shared" si="5"/>
        <v>2.9290114891766312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333333.33440238779</v>
      </c>
      <c r="H11" s="40" t="s">
        <v>35</v>
      </c>
      <c r="I11" s="5">
        <f>SQRT((I9/B11)-(F12^2))</f>
        <v>372677.85728129302</v>
      </c>
    </row>
    <row r="12" spans="1:20" ht="15.6" x14ac:dyDescent="0.35">
      <c r="E12" s="5" t="s">
        <v>34</v>
      </c>
      <c r="F12" s="5">
        <f>F9/B11</f>
        <v>166666.97741013972</v>
      </c>
      <c r="H12" s="40" t="s">
        <v>36</v>
      </c>
      <c r="I12" s="5">
        <f>SQRT(F14)</f>
        <v>471404.52003509598</v>
      </c>
      <c r="T12" t="s">
        <v>47</v>
      </c>
    </row>
    <row r="13" spans="1:20" ht="15.6" x14ac:dyDescent="0.35">
      <c r="E13" s="40" t="s">
        <v>31</v>
      </c>
      <c r="F13" s="5">
        <f>(G9/B11)-(F11*F12)</f>
        <v>111111090023.73547</v>
      </c>
      <c r="H13" s="55" t="s">
        <v>37</v>
      </c>
      <c r="I13" s="56">
        <f>F13/(I12*I11)</f>
        <v>0.63245564885412375</v>
      </c>
      <c r="S13" s="5">
        <f t="shared" ref="S13:S15" si="6">D3</f>
        <v>1</v>
      </c>
      <c r="T13" s="5">
        <f t="shared" ref="T13:T18" si="7">(ABS((C3-T5)/C3)*100)*S13</f>
        <v>99.999900793699865</v>
      </c>
    </row>
    <row r="14" spans="1:20" ht="16.8" x14ac:dyDescent="0.35">
      <c r="E14" s="5" t="s">
        <v>32</v>
      </c>
      <c r="F14" s="5">
        <f>(H9/B11)-(F11^2)</f>
        <v>222222221509.51923</v>
      </c>
      <c r="S14" s="5">
        <f t="shared" si="6"/>
        <v>1</v>
      </c>
      <c r="T14" s="5">
        <f t="shared" si="7"/>
        <v>99.999900793700007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20.963896326882274</v>
      </c>
    </row>
    <row r="16" spans="1:20" ht="16.2" thickBot="1" x14ac:dyDescent="0.4">
      <c r="E16" s="5" t="s">
        <v>46</v>
      </c>
      <c r="F16" s="5">
        <f>(F13/F14)</f>
        <v>0.49999990671039107</v>
      </c>
      <c r="H16" s="35" t="s">
        <v>25</v>
      </c>
      <c r="I16" s="36" t="s">
        <v>42</v>
      </c>
      <c r="S16" s="5">
        <f>D6</f>
        <v>1</v>
      </c>
      <c r="T16" s="5">
        <f t="shared" si="7"/>
        <v>73.426588634139677</v>
      </c>
    </row>
    <row r="17" spans="1:20" ht="15.6" x14ac:dyDescent="0.35">
      <c r="E17" s="5" t="s">
        <v>40</v>
      </c>
      <c r="F17" s="5">
        <f>(F12-(F16*F11))</f>
        <v>0.34130548223038204</v>
      </c>
      <c r="H17" s="26">
        <f t="shared" ref="H17:H22" si="8">E3</f>
        <v>1000000</v>
      </c>
      <c r="I17" s="26">
        <f t="shared" ref="I17:I22" si="9">$F$16*H17+$F$17</f>
        <v>500000.24801587325</v>
      </c>
      <c r="S17" s="5">
        <f>D7</f>
        <v>1</v>
      </c>
      <c r="T17" s="5">
        <f t="shared" si="7"/>
        <v>24.945952393780409</v>
      </c>
    </row>
    <row r="18" spans="1:20" x14ac:dyDescent="0.3">
      <c r="H18" s="26">
        <f t="shared" si="8"/>
        <v>1000000</v>
      </c>
      <c r="I18" s="26">
        <f t="shared" si="9"/>
        <v>500000.24801587325</v>
      </c>
      <c r="S18" s="5">
        <f>D8</f>
        <v>1</v>
      </c>
      <c r="T18" s="5">
        <f t="shared" si="7"/>
        <v>69.675830943403753</v>
      </c>
    </row>
    <row r="19" spans="1:20" ht="15.6" x14ac:dyDescent="0.35">
      <c r="E19" s="5" t="s">
        <v>44</v>
      </c>
      <c r="F19" s="5">
        <f>1/F17</f>
        <v>2.9299265674408286</v>
      </c>
      <c r="H19" s="26">
        <f t="shared" si="8"/>
        <v>4.1536863966770508E-3</v>
      </c>
      <c r="I19" s="26">
        <f t="shared" si="9"/>
        <v>0.34338232504122479</v>
      </c>
      <c r="S19" s="56" t="s">
        <v>48</v>
      </c>
      <c r="T19" s="56">
        <f>SUM(T13:T18)/B11</f>
        <v>64.835344980934337</v>
      </c>
    </row>
    <row r="20" spans="1:20" ht="15.6" x14ac:dyDescent="0.35">
      <c r="E20" s="5" t="s">
        <v>45</v>
      </c>
      <c r="F20" s="5">
        <f>1/(F19*F16)</f>
        <v>0.68261109182180779</v>
      </c>
      <c r="H20" s="26">
        <f t="shared" si="8"/>
        <v>1.3900472616068947E-3</v>
      </c>
      <c r="I20" s="26">
        <f t="shared" si="9"/>
        <v>0.34200050573150853</v>
      </c>
    </row>
    <row r="21" spans="1:20" x14ac:dyDescent="0.3">
      <c r="H21" s="26">
        <f t="shared" si="8"/>
        <v>6.5733254453427992E-4</v>
      </c>
      <c r="I21" s="26">
        <f t="shared" si="9"/>
        <v>0.34163414844132689</v>
      </c>
    </row>
    <row r="22" spans="1:20" x14ac:dyDescent="0.3">
      <c r="H22" s="26">
        <f t="shared" si="8"/>
        <v>2.1326054040220936E-4</v>
      </c>
      <c r="I22" s="26">
        <f t="shared" si="9"/>
        <v>0.34141211248068815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18</v>
      </c>
      <c r="B26" s="72" t="str">
        <f>B1</f>
        <v>sal=5 dur=2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9.9999999999999995E-7</v>
      </c>
      <c r="C29" s="26">
        <f t="shared" si="14"/>
        <v>2.016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240.75</v>
      </c>
      <c r="C30" s="26">
        <f t="shared" si="14"/>
        <v>2.4075000000000002</v>
      </c>
      <c r="D30" s="5">
        <v>1</v>
      </c>
      <c r="E30" s="47">
        <f t="shared" si="10"/>
        <v>4.1536863966770508E-3</v>
      </c>
      <c r="F30" s="42">
        <f t="shared" si="11"/>
        <v>0.41536863966770504</v>
      </c>
      <c r="G30" s="5">
        <f t="shared" si="12"/>
        <v>1.725311068193998E-3</v>
      </c>
      <c r="H30" s="5">
        <f t="shared" si="13"/>
        <v>1.7253110681939981E-5</v>
      </c>
      <c r="I30" s="5">
        <f t="shared" si="13"/>
        <v>0.17253110681939979</v>
      </c>
      <c r="S30" s="26">
        <f t="shared" ref="S30:S35" si="15">B28</f>
        <v>9.9999999999999995E-7</v>
      </c>
      <c r="T30" s="63">
        <f t="shared" ref="T30:T35" si="16">(($F$44*$F$45)*S30)/(1+$F$45*S30)</f>
        <v>1.0000000000000004E-6</v>
      </c>
    </row>
    <row r="31" spans="1:20" x14ac:dyDescent="0.3">
      <c r="A31" s="41">
        <v>3</v>
      </c>
      <c r="B31" s="26">
        <f t="shared" si="14"/>
        <v>719.4</v>
      </c>
      <c r="C31" s="26">
        <f t="shared" si="14"/>
        <v>1.6860000000000002</v>
      </c>
      <c r="D31" s="5">
        <v>1</v>
      </c>
      <c r="E31" s="47">
        <f t="shared" si="10"/>
        <v>1.3900472616068947E-3</v>
      </c>
      <c r="F31" s="42">
        <f t="shared" si="11"/>
        <v>0.59311981020166071</v>
      </c>
      <c r="G31" s="5">
        <f t="shared" si="12"/>
        <v>8.2446456797561957E-4</v>
      </c>
      <c r="H31" s="5">
        <f t="shared" si="13"/>
        <v>1.932231389500827E-6</v>
      </c>
      <c r="I31" s="5">
        <f t="shared" si="13"/>
        <v>0.35179110925365403</v>
      </c>
      <c r="S31" s="26">
        <f t="shared" si="15"/>
        <v>9.9999999999999995E-7</v>
      </c>
      <c r="T31" s="26">
        <f t="shared" si="16"/>
        <v>1.0000000000000004E-6</v>
      </c>
    </row>
    <row r="32" spans="1:20" x14ac:dyDescent="0.3">
      <c r="A32" s="41">
        <v>4</v>
      </c>
      <c r="B32" s="26">
        <f t="shared" si="14"/>
        <v>1521.3</v>
      </c>
      <c r="C32" s="26">
        <f t="shared" si="14"/>
        <v>3.9</v>
      </c>
      <c r="D32" s="5">
        <v>1</v>
      </c>
      <c r="E32" s="47">
        <f t="shared" si="10"/>
        <v>6.5733254453427992E-4</v>
      </c>
      <c r="F32" s="42">
        <f t="shared" si="11"/>
        <v>0.25641025641025644</v>
      </c>
      <c r="G32" s="5">
        <f t="shared" si="12"/>
        <v>1.6854680629084103E-4</v>
      </c>
      <c r="H32" s="5">
        <f t="shared" si="13"/>
        <v>4.3208607410391109E-7</v>
      </c>
      <c r="I32" s="5">
        <f t="shared" si="13"/>
        <v>6.574621959237345E-2</v>
      </c>
      <c r="S32" s="26">
        <f t="shared" si="15"/>
        <v>240.75</v>
      </c>
      <c r="T32" s="26">
        <f t="shared" si="16"/>
        <v>2.1826502519814777</v>
      </c>
    </row>
    <row r="33" spans="1:20" ht="15" thickBot="1" x14ac:dyDescent="0.35">
      <c r="A33" s="41">
        <v>5</v>
      </c>
      <c r="B33" s="26">
        <f t="shared" si="14"/>
        <v>4689.1000000000004</v>
      </c>
      <c r="C33" s="26">
        <f t="shared" si="14"/>
        <v>9.6589999999999971</v>
      </c>
      <c r="D33" s="48">
        <v>1</v>
      </c>
      <c r="E33" s="49">
        <f t="shared" si="10"/>
        <v>2.1326054040220936E-4</v>
      </c>
      <c r="F33" s="50">
        <f t="shared" si="11"/>
        <v>0.10353038616834044</v>
      </c>
      <c r="G33" s="48">
        <f t="shared" si="12"/>
        <v>2.2078946102309703E-5</v>
      </c>
      <c r="H33" s="48">
        <f t="shared" si="13"/>
        <v>4.5480058092642375E-8</v>
      </c>
      <c r="I33" s="48">
        <f t="shared" si="13"/>
        <v>1.0718540860165698E-2</v>
      </c>
      <c r="S33" s="26">
        <f t="shared" si="15"/>
        <v>719.4</v>
      </c>
      <c r="T33" s="26">
        <f t="shared" si="16"/>
        <v>2.1958960173478643</v>
      </c>
    </row>
    <row r="34" spans="1:20" ht="15" thickBot="1" x14ac:dyDescent="0.35">
      <c r="D34" s="51" t="s">
        <v>30</v>
      </c>
      <c r="E34" s="52">
        <f>SUM(E28:E33)</f>
        <v>1000000.0064143267</v>
      </c>
      <c r="F34" s="53">
        <f>SUM(F28:F33)</f>
        <v>1000001.3684290923</v>
      </c>
      <c r="G34" s="53">
        <f>SUM(G28:G33)</f>
        <v>1000000000000.0027</v>
      </c>
      <c r="H34" s="53">
        <f>SUM(H28:H33)</f>
        <v>1000000000000</v>
      </c>
      <c r="I34" s="54">
        <f>SUM(I28:I33)</f>
        <v>1000000000000.6008</v>
      </c>
      <c r="S34" s="26">
        <f t="shared" si="15"/>
        <v>1521.3</v>
      </c>
      <c r="T34" s="26">
        <f t="shared" si="16"/>
        <v>2.1994348301264512</v>
      </c>
    </row>
    <row r="35" spans="1:20" ht="15" thickBot="1" x14ac:dyDescent="0.35">
      <c r="S35" s="26">
        <f t="shared" si="15"/>
        <v>4689.1000000000004</v>
      </c>
      <c r="T35" s="26">
        <f t="shared" si="16"/>
        <v>2.2015851337146226</v>
      </c>
    </row>
    <row r="36" spans="1:20" ht="16.2" thickBot="1" x14ac:dyDescent="0.4">
      <c r="A36" s="43" t="s">
        <v>38</v>
      </c>
      <c r="B36" s="46">
        <v>4</v>
      </c>
      <c r="E36" s="5" t="s">
        <v>33</v>
      </c>
      <c r="F36" s="5">
        <f>E34/B36</f>
        <v>250000.00160358168</v>
      </c>
      <c r="H36" s="40" t="s">
        <v>35</v>
      </c>
      <c r="I36" s="5">
        <f>SQRT((I34/B36)-(F37^2))</f>
        <v>433012.50437648641</v>
      </c>
    </row>
    <row r="37" spans="1:20" ht="15.6" x14ac:dyDescent="0.35">
      <c r="A37" s="60" t="s">
        <v>50</v>
      </c>
      <c r="E37" s="5" t="s">
        <v>34</v>
      </c>
      <c r="F37" s="5">
        <f>F34/B36</f>
        <v>250000.34210727309</v>
      </c>
      <c r="H37" s="40" t="s">
        <v>36</v>
      </c>
      <c r="I37" s="5">
        <f>SQRT(F39)</f>
        <v>433012.70096639101</v>
      </c>
      <c r="T37" t="s">
        <v>47</v>
      </c>
    </row>
    <row r="38" spans="1:20" ht="15.6" x14ac:dyDescent="0.35">
      <c r="A38" s="60">
        <v>1</v>
      </c>
      <c r="E38" s="40" t="s">
        <v>31</v>
      </c>
      <c r="F38" s="5">
        <f>(G34/B36)-(F36*F37)</f>
        <v>187499914072.28644</v>
      </c>
      <c r="H38" s="55" t="s">
        <v>37</v>
      </c>
      <c r="I38" s="56">
        <f>F38/(I37*I36)</f>
        <v>1.0000000000000151</v>
      </c>
      <c r="S38" s="5">
        <f t="shared" ref="S38:S43" si="17">D28</f>
        <v>1</v>
      </c>
      <c r="T38" s="5">
        <f t="shared" ref="T38:T43" si="18">(ABS((C28-T30)/C28)*100)*S38</f>
        <v>4.2351647362715017E-14</v>
      </c>
    </row>
    <row r="39" spans="1:20" ht="16.8" x14ac:dyDescent="0.35">
      <c r="E39" s="5" t="s">
        <v>32</v>
      </c>
      <c r="F39" s="5">
        <f>(H34/B36)-(F36^2)</f>
        <v>187499999198.20917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9.3395533964079966</v>
      </c>
    </row>
    <row r="41" spans="1:20" ht="16.2" thickBot="1" x14ac:dyDescent="0.4">
      <c r="E41" s="5" t="s">
        <v>46</v>
      </c>
      <c r="F41" s="5">
        <f>(F38/F39)</f>
        <v>0.99999954599507679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30.242942903194788</v>
      </c>
    </row>
    <row r="42" spans="1:20" ht="15.6" x14ac:dyDescent="0.35">
      <c r="E42" s="5" t="s">
        <v>40</v>
      </c>
      <c r="F42" s="5">
        <f>(F37-(F41*F36))</f>
        <v>0.45400492293993011</v>
      </c>
      <c r="H42" s="26">
        <f>E29</f>
        <v>0</v>
      </c>
      <c r="I42" s="26">
        <f>$F$41*H42+$F$42</f>
        <v>0.45400492293993011</v>
      </c>
      <c r="S42" s="5">
        <f t="shared" si="17"/>
        <v>1</v>
      </c>
      <c r="T42" s="5">
        <f t="shared" si="18"/>
        <v>43.604235124962784</v>
      </c>
    </row>
    <row r="43" spans="1:20" x14ac:dyDescent="0.3">
      <c r="H43" s="26">
        <f>E30</f>
        <v>4.1536863966770508E-3</v>
      </c>
      <c r="I43" s="26">
        <f>$F$41*H43+$F$42</f>
        <v>0.4581586074508131</v>
      </c>
      <c r="S43" s="5">
        <f t="shared" si="17"/>
        <v>1</v>
      </c>
      <c r="T43" s="5">
        <f t="shared" si="18"/>
        <v>77.206904092404756</v>
      </c>
    </row>
    <row r="44" spans="1:20" ht="15.6" x14ac:dyDescent="0.35">
      <c r="E44" s="5" t="s">
        <v>44</v>
      </c>
      <c r="F44" s="5">
        <f>1/F42</f>
        <v>2.202619287747924</v>
      </c>
      <c r="H44" s="26">
        <f>E31</f>
        <v>1.3900472616068947E-3</v>
      </c>
      <c r="I44" s="26">
        <f>$F$41*H44+$F$42</f>
        <v>0.45539496957044873</v>
      </c>
      <c r="S44" s="56" t="s">
        <v>48</v>
      </c>
      <c r="T44" s="56">
        <f>SUM(T38:T43)/B36</f>
        <v>40.098408879242591</v>
      </c>
    </row>
    <row r="45" spans="1:20" ht="15.6" x14ac:dyDescent="0.35">
      <c r="E45" s="5" t="s">
        <v>45</v>
      </c>
      <c r="F45" s="5">
        <f>1/(F44*F41)</f>
        <v>0.45400512906049384</v>
      </c>
      <c r="H45" s="26">
        <f>E32</f>
        <v>6.5733254453427992E-4</v>
      </c>
      <c r="I45" s="26">
        <f>$F$41*H45+$F$42</f>
        <v>0.4546622551860322</v>
      </c>
    </row>
    <row r="46" spans="1:20" x14ac:dyDescent="0.3">
      <c r="H46" s="26">
        <f>E33</f>
        <v>2.1326054040220936E-4</v>
      </c>
      <c r="I46" s="26">
        <f>$F$41*H46+$F$42</f>
        <v>0.454218183383511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"/>
  <sheetViews>
    <sheetView tabSelected="1" zoomScale="75" zoomScaleNormal="75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</v>
      </c>
      <c r="B1" s="72" t="s">
        <v>22</v>
      </c>
      <c r="C1" s="73"/>
    </row>
    <row r="2" spans="1:20" ht="17.399999999999999" thickBot="1" x14ac:dyDescent="0.4">
      <c r="A2" s="59" t="s">
        <v>51</v>
      </c>
      <c r="B2" s="38" t="s">
        <v>23</v>
      </c>
      <c r="C2" s="39" t="s">
        <v>24</v>
      </c>
      <c r="D2" s="38" t="s">
        <v>39</v>
      </c>
      <c r="E2" s="35" t="s">
        <v>25</v>
      </c>
      <c r="F2" s="36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26">
        <f>0.000001</f>
        <v>9.9999999999999995E-7</v>
      </c>
      <c r="D3">
        <v>0</v>
      </c>
      <c r="E3" s="47">
        <f t="shared" ref="E3:E8" si="0">(1/B3)*D3</f>
        <v>0</v>
      </c>
      <c r="F3" s="42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laboratorio'!X3</f>
        <v>177</v>
      </c>
      <c r="C4" s="37">
        <f>'Datos de laboratorio'!AA3</f>
        <v>0.38</v>
      </c>
      <c r="D4" s="5">
        <v>1</v>
      </c>
      <c r="E4" s="47">
        <f t="shared" si="0"/>
        <v>5.6497175141242938E-3</v>
      </c>
      <c r="F4" s="42">
        <f t="shared" si="1"/>
        <v>2.6315789473684212</v>
      </c>
      <c r="G4" s="42">
        <f t="shared" si="2"/>
        <v>1.4867677668748143E-2</v>
      </c>
      <c r="H4" s="42">
        <f t="shared" si="3"/>
        <v>3.1919307989402791E-5</v>
      </c>
      <c r="I4" s="42">
        <f t="shared" si="3"/>
        <v>6.9252077562326884</v>
      </c>
      <c r="S4" s="5" t="s">
        <v>23</v>
      </c>
      <c r="T4" s="62" t="s">
        <v>43</v>
      </c>
    </row>
    <row r="5" spans="1:20" x14ac:dyDescent="0.3">
      <c r="A5" s="41">
        <v>2</v>
      </c>
      <c r="B5" s="26">
        <f>'Datos de laboratorio'!X4</f>
        <v>328.85</v>
      </c>
      <c r="C5" s="37">
        <f>'Datos de laboratorio'!AA4</f>
        <v>0.87849999999999961</v>
      </c>
      <c r="D5" s="5">
        <v>1</v>
      </c>
      <c r="E5" s="47">
        <f t="shared" si="0"/>
        <v>3.0409001064315034E-3</v>
      </c>
      <c r="F5" s="42">
        <f t="shared" si="1"/>
        <v>1.1383039271485491</v>
      </c>
      <c r="G5" s="5">
        <f t="shared" si="2"/>
        <v>3.4614685332174213E-3</v>
      </c>
      <c r="H5" s="5">
        <f t="shared" si="3"/>
        <v>9.2470734572951288E-6</v>
      </c>
      <c r="I5" s="5">
        <f t="shared" si="3"/>
        <v>1.2957358305618094</v>
      </c>
      <c r="S5" s="26">
        <f t="shared" ref="S5:S10" si="4">B3</f>
        <v>9.9999999999999995E-7</v>
      </c>
      <c r="T5" s="63">
        <f t="shared" ref="T5:T10" si="5">(($F$19*$F$20)*S5)/(1+$F$20*S5)</f>
        <v>2.7862831438982735E-9</v>
      </c>
    </row>
    <row r="6" spans="1:20" x14ac:dyDescent="0.3">
      <c r="A6" s="41">
        <v>3</v>
      </c>
      <c r="B6" s="26">
        <f>'Datos de laboratorio'!X5</f>
        <v>842.7</v>
      </c>
      <c r="C6" s="37">
        <f>'Datos de laboratorio'!AA5</f>
        <v>1.3779999999999994</v>
      </c>
      <c r="D6" s="5">
        <v>1</v>
      </c>
      <c r="E6" s="47">
        <f t="shared" si="0"/>
        <v>1.1866619200189864E-3</v>
      </c>
      <c r="F6" s="42">
        <f t="shared" si="1"/>
        <v>0.72568940493468825</v>
      </c>
      <c r="G6" s="5">
        <f t="shared" si="2"/>
        <v>8.611479825972329E-4</v>
      </c>
      <c r="H6" s="5">
        <f t="shared" si="3"/>
        <v>1.4081665124231474E-6</v>
      </c>
      <c r="I6" s="5">
        <f t="shared" si="3"/>
        <v>0.52662511243446197</v>
      </c>
      <c r="S6" s="26">
        <f t="shared" si="4"/>
        <v>177</v>
      </c>
      <c r="T6" s="26">
        <f t="shared" si="5"/>
        <v>0.40893462917878198</v>
      </c>
    </row>
    <row r="7" spans="1:20" x14ac:dyDescent="0.3">
      <c r="A7" s="41">
        <v>4</v>
      </c>
      <c r="B7" s="26">
        <f>'Datos de laboratorio'!X6</f>
        <v>1910.9</v>
      </c>
      <c r="C7" s="37">
        <f>'Datos de laboratorio'!AA6</f>
        <v>0.92</v>
      </c>
      <c r="D7" s="5">
        <v>1</v>
      </c>
      <c r="E7" s="47">
        <f t="shared" si="0"/>
        <v>5.2331362185357685E-4</v>
      </c>
      <c r="F7" s="42">
        <f t="shared" si="1"/>
        <v>1.0869565217391304</v>
      </c>
      <c r="G7" s="5">
        <f t="shared" si="2"/>
        <v>5.6881915418867043E-4</v>
      </c>
      <c r="H7" s="5">
        <f t="shared" si="3"/>
        <v>2.7385714681750841E-7</v>
      </c>
      <c r="I7" s="5">
        <f t="shared" si="3"/>
        <v>1.1814744801512287</v>
      </c>
      <c r="S7" s="26">
        <f t="shared" si="4"/>
        <v>328.85</v>
      </c>
      <c r="T7" s="26">
        <f t="shared" si="5"/>
        <v>0.66265922808341104</v>
      </c>
    </row>
    <row r="8" spans="1:20" ht="15" thickBot="1" x14ac:dyDescent="0.35">
      <c r="A8" s="41">
        <v>5</v>
      </c>
      <c r="B8" s="26">
        <f>'Datos de laboratorio'!X7</f>
        <v>4895.5</v>
      </c>
      <c r="C8" s="37">
        <f>'Datos de laboratorio'!AA7</f>
        <v>3.2050000000000001</v>
      </c>
      <c r="D8" s="48">
        <v>1</v>
      </c>
      <c r="E8" s="49">
        <f t="shared" si="0"/>
        <v>2.042692268409764E-4</v>
      </c>
      <c r="F8" s="50">
        <f t="shared" si="1"/>
        <v>0.31201248049921998</v>
      </c>
      <c r="G8" s="48">
        <f t="shared" si="2"/>
        <v>6.3734548156310893E-5</v>
      </c>
      <c r="H8" s="48">
        <f t="shared" si="3"/>
        <v>4.1725917034210274E-8</v>
      </c>
      <c r="I8" s="48">
        <f t="shared" si="3"/>
        <v>9.7351787987276131E-2</v>
      </c>
      <c r="S8" s="26">
        <f t="shared" si="4"/>
        <v>842.7</v>
      </c>
      <c r="T8" s="26">
        <f t="shared" si="5"/>
        <v>1.1854195317476457</v>
      </c>
    </row>
    <row r="9" spans="1:20" ht="15" thickBot="1" x14ac:dyDescent="0.35">
      <c r="D9" s="51" t="s">
        <v>30</v>
      </c>
      <c r="E9" s="52">
        <f>SUM(E3:E8)</f>
        <v>1.0604862389269337E-2</v>
      </c>
      <c r="F9" s="53">
        <f>SUM(F3:F8)</f>
        <v>5.8945412816900085</v>
      </c>
      <c r="G9" s="53">
        <f>SUM(G3:G8)</f>
        <v>1.9822847886907777E-2</v>
      </c>
      <c r="H9" s="53">
        <f>SUM(H3:H8)</f>
        <v>4.289013102297279E-5</v>
      </c>
      <c r="I9" s="54">
        <f>SUM(I3:I8)</f>
        <v>10.026394967367466</v>
      </c>
      <c r="S9" s="26">
        <f t="shared" si="4"/>
        <v>1910.9</v>
      </c>
      <c r="T9" s="26">
        <f t="shared" si="5"/>
        <v>1.6515091567804876</v>
      </c>
    </row>
    <row r="10" spans="1:20" ht="15" thickBot="1" x14ac:dyDescent="0.35">
      <c r="S10" s="26">
        <f t="shared" si="4"/>
        <v>4895.5</v>
      </c>
      <c r="T10" s="26">
        <f t="shared" si="5"/>
        <v>2.0366540265678514</v>
      </c>
    </row>
    <row r="11" spans="1:20" ht="16.2" thickBot="1" x14ac:dyDescent="0.4">
      <c r="A11" s="43" t="s">
        <v>38</v>
      </c>
      <c r="B11" s="46">
        <v>5</v>
      </c>
      <c r="E11" s="5" t="s">
        <v>33</v>
      </c>
      <c r="F11" s="5">
        <f>E9/B11</f>
        <v>2.1209724778538672E-3</v>
      </c>
      <c r="H11" s="40" t="s">
        <v>35</v>
      </c>
      <c r="I11" s="5">
        <f>SQRT((I9/B11)-(F12^2))</f>
        <v>0.78450896528439085</v>
      </c>
    </row>
    <row r="12" spans="1:20" ht="15.6" x14ac:dyDescent="0.35">
      <c r="E12" s="5" t="s">
        <v>34</v>
      </c>
      <c r="F12" s="5">
        <f>F9/B11</f>
        <v>1.1789082563380018</v>
      </c>
      <c r="H12" s="40" t="s">
        <v>36</v>
      </c>
      <c r="I12" s="5">
        <f>SQRT(F14)</f>
        <v>2.0197776988522737E-3</v>
      </c>
      <c r="T12" t="s">
        <v>47</v>
      </c>
    </row>
    <row r="13" spans="1:20" ht="15.6" x14ac:dyDescent="0.35">
      <c r="E13" s="40" t="s">
        <v>31</v>
      </c>
      <c r="F13" s="5">
        <f>(G9/B11)-(F11*F12)</f>
        <v>1.4641376117739613E-3</v>
      </c>
      <c r="H13" s="55" t="s">
        <v>37</v>
      </c>
      <c r="I13" s="56">
        <f>F13/(I12*I11)</f>
        <v>0.92401796194212327</v>
      </c>
      <c r="S13" s="5">
        <f t="shared" ref="S13:S16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4.0795019527809855E-6</v>
      </c>
      <c r="H14" s="66" t="s">
        <v>73</v>
      </c>
      <c r="I14" s="67">
        <f>I13^2</f>
        <v>0.85380919399167521</v>
      </c>
      <c r="S14" s="5">
        <f>D4</f>
        <v>1</v>
      </c>
      <c r="T14" s="5">
        <f t="shared" si="7"/>
        <v>7.6143760996794683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24.569239831142706</v>
      </c>
    </row>
    <row r="16" spans="1:20" ht="16.2" thickBot="1" x14ac:dyDescent="0.4">
      <c r="E16" s="5" t="s">
        <v>46</v>
      </c>
      <c r="F16" s="5">
        <f>(F13/F14)</f>
        <v>358.90106898364456</v>
      </c>
      <c r="H16" s="35" t="s">
        <v>25</v>
      </c>
      <c r="I16" s="36" t="s">
        <v>42</v>
      </c>
      <c r="S16" s="5">
        <f t="shared" si="6"/>
        <v>1</v>
      </c>
      <c r="T16" s="5">
        <f t="shared" si="7"/>
        <v>13.975360540809422</v>
      </c>
    </row>
    <row r="17" spans="1:20" ht="15.6" x14ac:dyDescent="0.35">
      <c r="E17" s="5" t="s">
        <v>40</v>
      </c>
      <c r="F17" s="5">
        <f>(F12-(F16*F11))</f>
        <v>0.41768896675135947</v>
      </c>
      <c r="H17" s="26">
        <f t="shared" ref="H17:H22" si="8">E3</f>
        <v>0</v>
      </c>
      <c r="I17" s="26">
        <f t="shared" ref="I17:I22" si="9">$F$16*H17+$F$17</f>
        <v>0.41768896675135947</v>
      </c>
      <c r="S17" s="5">
        <f>D7</f>
        <v>1</v>
      </c>
      <c r="T17" s="5">
        <f t="shared" si="7"/>
        <v>79.511864867444288</v>
      </c>
    </row>
    <row r="18" spans="1:20" x14ac:dyDescent="0.3">
      <c r="H18" s="26">
        <f t="shared" si="8"/>
        <v>5.6497175141242938E-3</v>
      </c>
      <c r="I18" s="26">
        <f t="shared" si="9"/>
        <v>2.4453786220261877</v>
      </c>
      <c r="S18" s="5">
        <f>D8</f>
        <v>1</v>
      </c>
      <c r="T18" s="5">
        <f t="shared" si="7"/>
        <v>36.453852525184047</v>
      </c>
    </row>
    <row r="19" spans="1:20" ht="15.6" x14ac:dyDescent="0.35">
      <c r="E19" s="5" t="s">
        <v>44</v>
      </c>
      <c r="F19" s="5">
        <f>1/F17</f>
        <v>2.3941259635792025</v>
      </c>
      <c r="H19" s="26">
        <f t="shared" si="8"/>
        <v>3.0409001064315034E-3</v>
      </c>
      <c r="I19" s="26">
        <f t="shared" si="9"/>
        <v>1.5090712656221046</v>
      </c>
      <c r="S19" s="56" t="s">
        <v>48</v>
      </c>
      <c r="T19" s="56">
        <f>SUM(T13:T18)/B11</f>
        <v>32.424938772851988</v>
      </c>
    </row>
    <row r="20" spans="1:20" ht="15.6" x14ac:dyDescent="0.35">
      <c r="E20" s="5" t="s">
        <v>45</v>
      </c>
      <c r="F20" s="5">
        <f>1/(F19*F16)</f>
        <v>1.1637997288060291E-3</v>
      </c>
      <c r="H20" s="26">
        <f t="shared" si="8"/>
        <v>1.1866619200189864E-3</v>
      </c>
      <c r="I20" s="26">
        <f t="shared" si="9"/>
        <v>0.84358319836835782</v>
      </c>
    </row>
    <row r="21" spans="1:20" x14ac:dyDescent="0.3">
      <c r="H21" s="26">
        <f t="shared" si="8"/>
        <v>5.2331362185357685E-4</v>
      </c>
      <c r="I21" s="26">
        <f t="shared" si="9"/>
        <v>0.6055067850483109</v>
      </c>
    </row>
    <row r="22" spans="1:20" x14ac:dyDescent="0.3">
      <c r="H22" s="26">
        <f t="shared" si="8"/>
        <v>2.042692268409764E-4</v>
      </c>
      <c r="I22" s="26">
        <f t="shared" si="9"/>
        <v>0.49100141062504848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</v>
      </c>
      <c r="B26" s="72" t="str">
        <f>B1</f>
        <v>sal=0,2 dur=0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39" t="s">
        <v>24</v>
      </c>
      <c r="D27" s="38" t="s">
        <v>39</v>
      </c>
      <c r="E27" s="35" t="s">
        <v>25</v>
      </c>
      <c r="F27" s="36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26">
        <f>0.000001</f>
        <v>9.9999999999999995E-7</v>
      </c>
      <c r="D28">
        <v>1</v>
      </c>
      <c r="E28" s="47">
        <f t="shared" ref="E28:E33" si="10">(1/B28)*D28</f>
        <v>1000000</v>
      </c>
      <c r="F28" s="42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177</v>
      </c>
      <c r="C29" s="26">
        <f t="shared" si="14"/>
        <v>0.38</v>
      </c>
      <c r="D29" s="61">
        <v>1</v>
      </c>
      <c r="E29" s="47">
        <f t="shared" si="10"/>
        <v>5.6497175141242938E-3</v>
      </c>
      <c r="F29" s="42">
        <f t="shared" si="11"/>
        <v>2.6315789473684212</v>
      </c>
      <c r="G29" s="42">
        <f t="shared" si="12"/>
        <v>1.4867677668748143E-2</v>
      </c>
      <c r="H29" s="42">
        <f t="shared" si="13"/>
        <v>3.1919307989402791E-5</v>
      </c>
      <c r="I29" s="42">
        <f t="shared" si="13"/>
        <v>6.9252077562326884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328.85</v>
      </c>
      <c r="C30" s="26">
        <f t="shared" si="14"/>
        <v>0.87849999999999961</v>
      </c>
      <c r="D30" s="5">
        <v>1</v>
      </c>
      <c r="E30" s="47">
        <f t="shared" si="10"/>
        <v>3.0409001064315034E-3</v>
      </c>
      <c r="F30" s="42">
        <f t="shared" si="11"/>
        <v>1.1383039271485491</v>
      </c>
      <c r="G30" s="5">
        <f t="shared" si="12"/>
        <v>3.4614685332174213E-3</v>
      </c>
      <c r="H30" s="5">
        <f t="shared" si="13"/>
        <v>9.2470734572951288E-6</v>
      </c>
      <c r="I30" s="5">
        <f t="shared" si="13"/>
        <v>1.2957358305618094</v>
      </c>
      <c r="S30" s="26">
        <f t="shared" ref="S30:S35" si="15">B28</f>
        <v>9.9999999999999995E-7</v>
      </c>
      <c r="T30" s="63">
        <f t="shared" ref="T30:T35" si="16">(($F$44*$F$45)*S30)/(1+$F$45*S30)</f>
        <v>9.9999999999999445E-7</v>
      </c>
    </row>
    <row r="31" spans="1:20" x14ac:dyDescent="0.3">
      <c r="A31" s="41">
        <v>3</v>
      </c>
      <c r="B31" s="26">
        <f t="shared" si="14"/>
        <v>842.7</v>
      </c>
      <c r="C31" s="26">
        <f t="shared" si="14"/>
        <v>1.3779999999999994</v>
      </c>
      <c r="D31" s="5">
        <v>1</v>
      </c>
      <c r="E31" s="47">
        <f t="shared" si="10"/>
        <v>1.1866619200189864E-3</v>
      </c>
      <c r="F31" s="42">
        <f t="shared" si="11"/>
        <v>0.72568940493468825</v>
      </c>
      <c r="G31" s="5">
        <f t="shared" si="12"/>
        <v>8.611479825972329E-4</v>
      </c>
      <c r="H31" s="5">
        <f t="shared" si="13"/>
        <v>1.4081665124231474E-6</v>
      </c>
      <c r="I31" s="5">
        <f t="shared" si="13"/>
        <v>0.52662511243446197</v>
      </c>
      <c r="S31" s="26">
        <f t="shared" si="15"/>
        <v>177</v>
      </c>
      <c r="T31" s="26">
        <f t="shared" si="16"/>
        <v>0.71495891760309427</v>
      </c>
    </row>
    <row r="32" spans="1:20" x14ac:dyDescent="0.3">
      <c r="A32" s="41">
        <v>4</v>
      </c>
      <c r="B32" s="26">
        <f t="shared" si="14"/>
        <v>1910.9</v>
      </c>
      <c r="C32" s="26">
        <f t="shared" si="14"/>
        <v>0.92</v>
      </c>
      <c r="D32" s="5">
        <v>1</v>
      </c>
      <c r="E32" s="47">
        <f t="shared" si="10"/>
        <v>5.2331362185357685E-4</v>
      </c>
      <c r="F32" s="42">
        <f t="shared" si="11"/>
        <v>1.0869565217391304</v>
      </c>
      <c r="G32" s="5">
        <f t="shared" si="12"/>
        <v>5.6881915418867043E-4</v>
      </c>
      <c r="H32" s="5">
        <f t="shared" si="13"/>
        <v>2.7385714681750841E-7</v>
      </c>
      <c r="I32" s="5">
        <f t="shared" si="13"/>
        <v>1.1814744801512287</v>
      </c>
      <c r="S32" s="26">
        <f t="shared" si="15"/>
        <v>328.85</v>
      </c>
      <c r="T32" s="26">
        <f t="shared" si="16"/>
        <v>0.71629494712186637</v>
      </c>
    </row>
    <row r="33" spans="1:20" ht="15" thickBot="1" x14ac:dyDescent="0.35">
      <c r="A33" s="41">
        <v>5</v>
      </c>
      <c r="B33" s="26">
        <f t="shared" si="14"/>
        <v>4895.5</v>
      </c>
      <c r="C33" s="26">
        <f t="shared" si="14"/>
        <v>3.2050000000000001</v>
      </c>
      <c r="D33" s="48">
        <v>0</v>
      </c>
      <c r="E33" s="49">
        <f t="shared" si="10"/>
        <v>0</v>
      </c>
      <c r="F33" s="50">
        <f t="shared" si="11"/>
        <v>0</v>
      </c>
      <c r="G33" s="48">
        <f t="shared" si="12"/>
        <v>0</v>
      </c>
      <c r="H33" s="48">
        <f t="shared" si="13"/>
        <v>0</v>
      </c>
      <c r="I33" s="48">
        <f t="shared" si="13"/>
        <v>0</v>
      </c>
      <c r="S33" s="26">
        <f t="shared" si="15"/>
        <v>842.7</v>
      </c>
      <c r="T33" s="26">
        <f t="shared" si="16"/>
        <v>0.7172475807220603</v>
      </c>
    </row>
    <row r="34" spans="1:20" ht="15" thickBot="1" x14ac:dyDescent="0.35">
      <c r="D34" s="51" t="s">
        <v>30</v>
      </c>
      <c r="E34" s="52">
        <f>SUM(E28:E33)</f>
        <v>1000000.0104005932</v>
      </c>
      <c r="F34" s="53">
        <f>SUM(F28:F33)</f>
        <v>1000005.5825288012</v>
      </c>
      <c r="G34" s="53">
        <f>SUM(G28:G33)</f>
        <v>1000000000000.0198</v>
      </c>
      <c r="H34" s="53">
        <f>SUM(H28:H33)</f>
        <v>1000000000000</v>
      </c>
      <c r="I34" s="54">
        <f>SUM(I28:I33)</f>
        <v>1000000000009.9291</v>
      </c>
      <c r="S34" s="26">
        <f t="shared" si="15"/>
        <v>1910.9</v>
      </c>
      <c r="T34" s="26">
        <f t="shared" si="16"/>
        <v>0.71758899830076739</v>
      </c>
    </row>
    <row r="35" spans="1:20" ht="15" thickBot="1" x14ac:dyDescent="0.35">
      <c r="S35" s="26">
        <f t="shared" si="15"/>
        <v>4895.5</v>
      </c>
      <c r="T35" s="26">
        <f t="shared" si="16"/>
        <v>0.71775332248977364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200000.00208011863</v>
      </c>
      <c r="H36" s="40" t="s">
        <v>35</v>
      </c>
      <c r="I36" s="5">
        <f>SQRT((I34/B36)-(F37^2))</f>
        <v>399999.44174765435</v>
      </c>
    </row>
    <row r="37" spans="1:20" ht="15.6" x14ac:dyDescent="0.35">
      <c r="A37" s="60" t="s">
        <v>50</v>
      </c>
      <c r="E37" s="5" t="s">
        <v>34</v>
      </c>
      <c r="F37" s="5">
        <f>F34/B36</f>
        <v>200001.11650576023</v>
      </c>
      <c r="H37" s="40" t="s">
        <v>36</v>
      </c>
      <c r="I37" s="5">
        <f>SQRT(F39)</f>
        <v>399999.99895994068</v>
      </c>
      <c r="T37" t="s">
        <v>47</v>
      </c>
    </row>
    <row r="38" spans="1:20" ht="15.6" x14ac:dyDescent="0.35">
      <c r="A38" s="60">
        <v>5</v>
      </c>
      <c r="E38" s="40" t="s">
        <v>31</v>
      </c>
      <c r="F38" s="5">
        <f>(G34/B36)-(F36*F37)</f>
        <v>159999776282.82587</v>
      </c>
      <c r="H38" s="55" t="s">
        <v>37</v>
      </c>
      <c r="I38" s="56">
        <f>F38/(I37*I36)</f>
        <v>0.9999999999986704</v>
      </c>
      <c r="S38" s="5">
        <f>D28</f>
        <v>1</v>
      </c>
      <c r="T38" s="5">
        <f t="shared" ref="T38:T43" si="17">(ABS((C28-T30)/C28)*100)*S38</f>
        <v>5.5057141571529522E-13</v>
      </c>
    </row>
    <row r="39" spans="1:20" ht="16.8" x14ac:dyDescent="0.35">
      <c r="E39" s="5" t="s">
        <v>32</v>
      </c>
      <c r="F39" s="5">
        <f>(H34/B36)-(F36^2)</f>
        <v>159999999167.95255</v>
      </c>
      <c r="S39" s="5">
        <f t="shared" ref="S39:S40" si="18">D29</f>
        <v>1</v>
      </c>
      <c r="T39" s="5">
        <f t="shared" si="17"/>
        <v>88.147083579761642</v>
      </c>
    </row>
    <row r="40" spans="1:20" ht="15" thickBot="1" x14ac:dyDescent="0.35">
      <c r="H40" s="57" t="s">
        <v>41</v>
      </c>
      <c r="I40" s="57"/>
      <c r="S40" s="5">
        <f t="shared" si="18"/>
        <v>1</v>
      </c>
      <c r="T40" s="5">
        <f t="shared" si="17"/>
        <v>18.463864869451715</v>
      </c>
    </row>
    <row r="41" spans="1:20" ht="16.2" thickBot="1" x14ac:dyDescent="0.4">
      <c r="E41" s="5" t="s">
        <v>46</v>
      </c>
      <c r="F41" s="5">
        <f>(F38/F39)</f>
        <v>0.99999860696795106</v>
      </c>
      <c r="H41" s="35" t="s">
        <v>25</v>
      </c>
      <c r="I41" s="36" t="s">
        <v>42</v>
      </c>
      <c r="S41" s="5">
        <f>D31</f>
        <v>1</v>
      </c>
      <c r="T41" s="5">
        <f t="shared" si="17"/>
        <v>47.95010299549633</v>
      </c>
    </row>
    <row r="42" spans="1:20" ht="15.6" x14ac:dyDescent="0.35">
      <c r="E42" s="5" t="s">
        <v>40</v>
      </c>
      <c r="F42" s="5">
        <f>(F37-(F41*F36))</f>
        <v>1.3930320542713162</v>
      </c>
      <c r="H42" s="26">
        <f>E29</f>
        <v>5.6497175141242938E-3</v>
      </c>
      <c r="I42" s="26">
        <f>$F$41*H42+$F$42</f>
        <v>1.3986817639152029</v>
      </c>
      <c r="S42" s="5">
        <f>D32</f>
        <v>1</v>
      </c>
      <c r="T42" s="5">
        <f t="shared" si="17"/>
        <v>22.001195836873112</v>
      </c>
    </row>
    <row r="43" spans="1:20" x14ac:dyDescent="0.3">
      <c r="H43" s="26">
        <f>E30</f>
        <v>3.0409001064315034E-3</v>
      </c>
      <c r="I43" s="26">
        <f>$F$41*H43+$F$42</f>
        <v>1.3960729501416764</v>
      </c>
      <c r="S43" s="5">
        <f>D33</f>
        <v>0</v>
      </c>
      <c r="T43" s="5">
        <f t="shared" si="17"/>
        <v>0</v>
      </c>
    </row>
    <row r="44" spans="1:20" ht="15.6" x14ac:dyDescent="0.35">
      <c r="E44" s="5" t="s">
        <v>44</v>
      </c>
      <c r="F44" s="5">
        <f>1/F42</f>
        <v>0.71785857111744056</v>
      </c>
      <c r="H44" s="26">
        <f>E31</f>
        <v>1.1866619200189864E-3</v>
      </c>
      <c r="I44" s="26">
        <f>$F$41*H44+$F$42</f>
        <v>1.3942187145382769</v>
      </c>
      <c r="S44" s="56" t="s">
        <v>48</v>
      </c>
      <c r="T44" s="56">
        <f>SUM(T38:T43)/B36</f>
        <v>35.312449456316671</v>
      </c>
    </row>
    <row r="45" spans="1:20" ht="15.6" x14ac:dyDescent="0.35">
      <c r="E45" s="5" t="s">
        <v>45</v>
      </c>
      <c r="F45" s="5">
        <f>1/(F44*F41)</f>
        <v>1.3930339948123163</v>
      </c>
      <c r="H45" s="26">
        <f>E32</f>
        <v>5.2331362185357685E-4</v>
      </c>
      <c r="I45" s="26">
        <f>$F$41*H45+$F$42</f>
        <v>1.3935553671641772</v>
      </c>
    </row>
    <row r="46" spans="1:20" x14ac:dyDescent="0.3">
      <c r="H46" s="26">
        <f>E33</f>
        <v>0</v>
      </c>
      <c r="I46" s="26">
        <f>$F$41*H46+$F$42</f>
        <v>1.3930320542713162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6"/>
  <sheetViews>
    <sheetView topLeftCell="A13"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19</v>
      </c>
      <c r="B1" s="72" t="s">
        <v>69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0.000001</f>
        <v>9.9999999999999995E-7</v>
      </c>
      <c r="C4" s="37">
        <f>'Datos de laboratorio'!AA93</f>
        <v>1.829</v>
      </c>
      <c r="D4" s="5">
        <v>1</v>
      </c>
      <c r="E4" s="47">
        <f t="shared" si="0"/>
        <v>1000000</v>
      </c>
      <c r="F4" s="42">
        <f t="shared" si="1"/>
        <v>0.54674685620557684</v>
      </c>
      <c r="G4" s="42">
        <f t="shared" si="2"/>
        <v>546746.8562055768</v>
      </c>
      <c r="H4" s="42">
        <f t="shared" si="3"/>
        <v>1000000000000</v>
      </c>
      <c r="I4" s="42">
        <f t="shared" si="3"/>
        <v>0.29893212477068171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laboratorio'!X94</f>
        <v>363.8</v>
      </c>
      <c r="C5" s="37">
        <f>'Datos de laboratorio'!AA94</f>
        <v>1.262</v>
      </c>
      <c r="D5" s="5">
        <v>1</v>
      </c>
      <c r="E5" s="47">
        <f t="shared" si="0"/>
        <v>2.7487630566245189E-3</v>
      </c>
      <c r="F5" s="42">
        <f t="shared" si="1"/>
        <v>0.79239302694136293</v>
      </c>
      <c r="G5" s="5">
        <f t="shared" si="2"/>
        <v>2.1781006787832953E-3</v>
      </c>
      <c r="H5" s="5">
        <f t="shared" si="3"/>
        <v>7.5556983414637676E-6</v>
      </c>
      <c r="I5" s="5">
        <f t="shared" si="3"/>
        <v>0.62788670914529554</v>
      </c>
      <c r="S5">
        <f t="shared" ref="S5:S10" si="4">B3</f>
        <v>9.9999999999999995E-7</v>
      </c>
      <c r="T5" s="26">
        <f t="shared" ref="T5:T10" si="5">(($F$19*$F$20)*S5)/(1+$F$20*S5)</f>
        <v>1.9999989065068831E-6</v>
      </c>
    </row>
    <row r="6" spans="1:20" x14ac:dyDescent="0.3">
      <c r="A6" s="41">
        <v>3</v>
      </c>
      <c r="B6" s="26">
        <f>'Datos de laboratorio'!X95</f>
        <v>629.4</v>
      </c>
      <c r="C6" s="37">
        <f>'Datos de laboratorio'!AA95</f>
        <v>4.0860000000000003</v>
      </c>
      <c r="D6" s="5">
        <v>1</v>
      </c>
      <c r="E6" s="47">
        <f t="shared" si="0"/>
        <v>1.5888147442008262E-3</v>
      </c>
      <c r="F6" s="42">
        <f t="shared" si="1"/>
        <v>0.24473813020068524</v>
      </c>
      <c r="G6" s="5">
        <f t="shared" si="2"/>
        <v>3.8884354973099021E-4</v>
      </c>
      <c r="H6" s="5">
        <f t="shared" si="3"/>
        <v>2.5243322913899368E-6</v>
      </c>
      <c r="I6" s="5">
        <f t="shared" si="3"/>
        <v>5.989675237412756E-2</v>
      </c>
      <c r="S6" s="26">
        <f t="shared" si="4"/>
        <v>9.9999999999999995E-7</v>
      </c>
      <c r="T6" s="26">
        <f t="shared" si="5"/>
        <v>1.9999989065068831E-6</v>
      </c>
    </row>
    <row r="7" spans="1:20" x14ac:dyDescent="0.3">
      <c r="A7" s="41">
        <v>4</v>
      </c>
      <c r="B7" s="26">
        <f>'Datos de laboratorio'!X96</f>
        <v>1605</v>
      </c>
      <c r="C7" s="37">
        <f>'Datos de laboratorio'!AA96</f>
        <v>3.2609999999999992</v>
      </c>
      <c r="D7" s="5">
        <v>1</v>
      </c>
      <c r="E7" s="47">
        <f t="shared" si="0"/>
        <v>6.2305295950155766E-4</v>
      </c>
      <c r="F7" s="42">
        <f t="shared" si="1"/>
        <v>0.30665440049064713</v>
      </c>
      <c r="G7" s="5">
        <f t="shared" si="2"/>
        <v>1.910619317698736E-4</v>
      </c>
      <c r="H7" s="5">
        <f t="shared" si="3"/>
        <v>3.8819499034364966E-7</v>
      </c>
      <c r="I7" s="5">
        <f t="shared" si="3"/>
        <v>9.4036921340278204E-2</v>
      </c>
      <c r="S7" s="26">
        <f t="shared" si="4"/>
        <v>363.8</v>
      </c>
      <c r="T7" s="26">
        <f t="shared" si="5"/>
        <v>2.7934239275674391</v>
      </c>
    </row>
    <row r="8" spans="1:20" ht="15" thickBot="1" x14ac:dyDescent="0.35">
      <c r="A8" s="41">
        <v>5</v>
      </c>
      <c r="B8" s="26">
        <f>'Datos de laboratorio'!X97</f>
        <v>3935.1</v>
      </c>
      <c r="C8" s="37">
        <f>'Datos de laboratorio'!AA97</f>
        <v>11.728999999999999</v>
      </c>
      <c r="D8" s="48">
        <v>1</v>
      </c>
      <c r="E8" s="49">
        <f t="shared" si="0"/>
        <v>2.5412314807755839E-4</v>
      </c>
      <c r="F8" s="50">
        <f t="shared" si="1"/>
        <v>8.5258760337624695E-2</v>
      </c>
      <c r="G8" s="48">
        <f t="shared" si="2"/>
        <v>2.1666224578187263E-5</v>
      </c>
      <c r="H8" s="48">
        <f t="shared" si="3"/>
        <v>6.4578574388848661E-8</v>
      </c>
      <c r="I8" s="48">
        <f t="shared" si="3"/>
        <v>7.2690562143085261E-3</v>
      </c>
      <c r="S8" s="26">
        <f t="shared" si="4"/>
        <v>629.4</v>
      </c>
      <c r="T8" s="26">
        <f t="shared" si="5"/>
        <v>2.7979569351344056</v>
      </c>
    </row>
    <row r="9" spans="1:20" ht="15" thickBot="1" x14ac:dyDescent="0.35">
      <c r="D9" s="51" t="s">
        <v>30</v>
      </c>
      <c r="E9" s="52">
        <f>SUM(E3:E8)</f>
        <v>2000000.0052147538</v>
      </c>
      <c r="F9" s="53">
        <f>SUM(F3:F8)</f>
        <v>1000001.9757911743</v>
      </c>
      <c r="G9" s="53">
        <f>SUM(G3:G8)</f>
        <v>1000000546746.859</v>
      </c>
      <c r="H9" s="53">
        <f>SUM(H3:H8)</f>
        <v>2000000000000</v>
      </c>
      <c r="I9" s="54">
        <f>SUM(I3:I8)</f>
        <v>1000000000001.0881</v>
      </c>
      <c r="S9" s="26">
        <f t="shared" si="4"/>
        <v>1605</v>
      </c>
      <c r="T9" s="26">
        <f t="shared" si="5"/>
        <v>2.8017423123439689</v>
      </c>
    </row>
    <row r="10" spans="1:20" ht="15" thickBot="1" x14ac:dyDescent="0.35">
      <c r="S10" s="26">
        <f t="shared" si="4"/>
        <v>3935.1</v>
      </c>
      <c r="T10" s="26">
        <f t="shared" si="5"/>
        <v>2.8031910660876935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333333.33420245897</v>
      </c>
      <c r="H11" s="40" t="s">
        <v>35</v>
      </c>
      <c r="I11" s="5">
        <f>SQRT((I9/B11)-(F12^2))</f>
        <v>372677.84898325452</v>
      </c>
    </row>
    <row r="12" spans="1:20" ht="15.6" x14ac:dyDescent="0.35">
      <c r="E12" s="5" t="s">
        <v>34</v>
      </c>
      <c r="F12" s="5">
        <f>F9/B11</f>
        <v>166666.99596519573</v>
      </c>
      <c r="H12" s="40" t="s">
        <v>36</v>
      </c>
      <c r="I12" s="5">
        <f>SQRT(F14)</f>
        <v>471404.52017646702</v>
      </c>
      <c r="T12" t="s">
        <v>47</v>
      </c>
    </row>
    <row r="13" spans="1:20" ht="15.6" x14ac:dyDescent="0.35">
      <c r="E13" s="40" t="s">
        <v>31</v>
      </c>
      <c r="F13" s="5">
        <f>(G9/B11)-(F11*F12)</f>
        <v>111111092324.55669</v>
      </c>
      <c r="H13" s="55" t="s">
        <v>37</v>
      </c>
      <c r="I13" s="56">
        <f>F13/(I12*I11)</f>
        <v>0.63245567584321005</v>
      </c>
      <c r="S13" s="5">
        <f t="shared" ref="S13:S15" si="6">D3</f>
        <v>1</v>
      </c>
      <c r="T13" s="5">
        <f t="shared" ref="T13:T18" si="7">(ABS((C3-T5)/C3)*100)*S13</f>
        <v>99.999890650688315</v>
      </c>
    </row>
    <row r="14" spans="1:20" ht="16.8" x14ac:dyDescent="0.35">
      <c r="E14" s="5" t="s">
        <v>32</v>
      </c>
      <c r="F14" s="5">
        <f>(H9/B11)-(F11^2)</f>
        <v>222222221642.80511</v>
      </c>
      <c r="S14" s="5">
        <f t="shared" si="6"/>
        <v>1</v>
      </c>
      <c r="T14" s="5">
        <f t="shared" si="7"/>
        <v>99.999890650688556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121.34896414955935</v>
      </c>
    </row>
    <row r="16" spans="1:20" ht="16.2" thickBot="1" x14ac:dyDescent="0.4">
      <c r="E16" s="5" t="s">
        <v>46</v>
      </c>
      <c r="F16" s="5">
        <f>(F13/F14)</f>
        <v>0.49999991676419336</v>
      </c>
      <c r="H16" s="35" t="s">
        <v>25</v>
      </c>
      <c r="I16" s="36" t="s">
        <v>42</v>
      </c>
      <c r="S16" s="5">
        <f>D6</f>
        <v>1</v>
      </c>
      <c r="T16" s="5">
        <f t="shared" si="7"/>
        <v>31.523325131316561</v>
      </c>
    </row>
    <row r="17" spans="1:20" ht="15.6" x14ac:dyDescent="0.35">
      <c r="E17" s="5" t="s">
        <v>40</v>
      </c>
      <c r="F17" s="5">
        <f>(F12-(F16*F11))</f>
        <v>0.35660923519753851</v>
      </c>
      <c r="H17" s="26">
        <f t="shared" ref="H17:H22" si="8">E3</f>
        <v>1000000</v>
      </c>
      <c r="I17" s="26">
        <f t="shared" ref="I17:I22" si="9">$F$16*H17+$F$17</f>
        <v>500000.27337342862</v>
      </c>
      <c r="S17" s="5">
        <f>D7</f>
        <v>1</v>
      </c>
      <c r="T17" s="5">
        <f t="shared" si="7"/>
        <v>14.083339087888087</v>
      </c>
    </row>
    <row r="18" spans="1:20" x14ac:dyDescent="0.3">
      <c r="H18" s="26">
        <f t="shared" si="8"/>
        <v>1000000</v>
      </c>
      <c r="I18" s="26">
        <f t="shared" si="9"/>
        <v>500000.27337342862</v>
      </c>
      <c r="S18" s="5">
        <f>D8</f>
        <v>1</v>
      </c>
      <c r="T18" s="5">
        <f t="shared" si="7"/>
        <v>76.100340471585866</v>
      </c>
    </row>
    <row r="19" spans="1:20" ht="15.6" x14ac:dyDescent="0.35">
      <c r="E19" s="5" t="s">
        <v>44</v>
      </c>
      <c r="F19" s="5">
        <f>1/F17</f>
        <v>2.8041898562892364</v>
      </c>
      <c r="H19" s="26">
        <f t="shared" si="8"/>
        <v>2.7487630566245189E-3</v>
      </c>
      <c r="I19" s="26">
        <f t="shared" si="9"/>
        <v>0.35798361649705523</v>
      </c>
      <c r="S19" s="56" t="s">
        <v>48</v>
      </c>
      <c r="T19" s="56">
        <f>SUM(T13:T18)/B11</f>
        <v>73.842625023621125</v>
      </c>
    </row>
    <row r="20" spans="1:20" ht="15.6" x14ac:dyDescent="0.35">
      <c r="E20" s="5" t="s">
        <v>45</v>
      </c>
      <c r="F20" s="5">
        <f>1/(F19*F16)</f>
        <v>0.71321858912572611</v>
      </c>
      <c r="H20" s="26">
        <f t="shared" si="8"/>
        <v>1.5888147442008262E-3</v>
      </c>
      <c r="I20" s="26">
        <f t="shared" si="9"/>
        <v>0.35740364243739264</v>
      </c>
    </row>
    <row r="21" spans="1:20" x14ac:dyDescent="0.3">
      <c r="H21" s="26">
        <f t="shared" si="8"/>
        <v>6.2305295950155766E-4</v>
      </c>
      <c r="I21" s="26">
        <f t="shared" si="9"/>
        <v>0.35692076162542896</v>
      </c>
    </row>
    <row r="22" spans="1:20" x14ac:dyDescent="0.3">
      <c r="H22" s="26">
        <f t="shared" si="8"/>
        <v>2.5412314807755839E-4</v>
      </c>
      <c r="I22" s="26">
        <f t="shared" si="9"/>
        <v>0.35673629675042512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19</v>
      </c>
      <c r="B26" s="72" t="str">
        <f>B1</f>
        <v>sal=5 dur=5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9.9999999999999995E-7</v>
      </c>
      <c r="C29" s="26">
        <f t="shared" si="14"/>
        <v>1.829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363.8</v>
      </c>
      <c r="C30" s="26">
        <f t="shared" si="14"/>
        <v>1.262</v>
      </c>
      <c r="D30" s="5">
        <v>1</v>
      </c>
      <c r="E30" s="47">
        <f t="shared" si="10"/>
        <v>2.7487630566245189E-3</v>
      </c>
      <c r="F30" s="42">
        <f t="shared" si="11"/>
        <v>0.79239302694136293</v>
      </c>
      <c r="G30" s="5">
        <f t="shared" si="12"/>
        <v>2.1781006787832953E-3</v>
      </c>
      <c r="H30" s="5">
        <f t="shared" si="13"/>
        <v>7.5556983414637676E-6</v>
      </c>
      <c r="I30" s="5">
        <f t="shared" si="13"/>
        <v>0.62788670914529554</v>
      </c>
      <c r="S30" s="26">
        <f t="shared" ref="S30:S35" si="15">B28</f>
        <v>9.9999999999999995E-7</v>
      </c>
      <c r="T30" s="63">
        <f t="shared" ref="T30:T35" si="16">(($F$44*$F$45)*S30)/(1+$F$45*S30)</f>
        <v>9.9999999999999911E-7</v>
      </c>
    </row>
    <row r="31" spans="1:20" x14ac:dyDescent="0.3">
      <c r="A31" s="41">
        <v>3</v>
      </c>
      <c r="B31" s="26">
        <f t="shared" si="14"/>
        <v>629.4</v>
      </c>
      <c r="C31" s="26">
        <f t="shared" si="14"/>
        <v>4.0860000000000003</v>
      </c>
      <c r="D31" s="5">
        <v>1</v>
      </c>
      <c r="E31" s="47">
        <f t="shared" si="10"/>
        <v>1.5888147442008262E-3</v>
      </c>
      <c r="F31" s="42">
        <f t="shared" si="11"/>
        <v>0.24473813020068524</v>
      </c>
      <c r="G31" s="5">
        <f t="shared" si="12"/>
        <v>3.8884354973099021E-4</v>
      </c>
      <c r="H31" s="5">
        <f t="shared" si="13"/>
        <v>2.5243322913899368E-6</v>
      </c>
      <c r="I31" s="5">
        <f t="shared" si="13"/>
        <v>5.989675237412756E-2</v>
      </c>
      <c r="S31" s="26">
        <f t="shared" si="15"/>
        <v>9.9999999999999995E-7</v>
      </c>
      <c r="T31" s="26">
        <f t="shared" si="16"/>
        <v>9.9999999999999911E-7</v>
      </c>
    </row>
    <row r="32" spans="1:20" x14ac:dyDescent="0.3">
      <c r="A32" s="41">
        <v>4</v>
      </c>
      <c r="B32" s="26">
        <f t="shared" si="14"/>
        <v>1605</v>
      </c>
      <c r="C32" s="26">
        <f t="shared" si="14"/>
        <v>3.2609999999999992</v>
      </c>
      <c r="D32" s="5">
        <v>1</v>
      </c>
      <c r="E32" s="47">
        <f t="shared" si="10"/>
        <v>6.2305295950155766E-4</v>
      </c>
      <c r="F32" s="42">
        <f t="shared" si="11"/>
        <v>0.30665440049064713</v>
      </c>
      <c r="G32" s="5">
        <f t="shared" si="12"/>
        <v>1.910619317698736E-4</v>
      </c>
      <c r="H32" s="5">
        <f t="shared" si="13"/>
        <v>3.8819499034364966E-7</v>
      </c>
      <c r="I32" s="5">
        <f t="shared" si="13"/>
        <v>9.4036921340278204E-2</v>
      </c>
      <c r="S32" s="26">
        <f t="shared" si="15"/>
        <v>363.8</v>
      </c>
      <c r="T32" s="26">
        <f t="shared" si="16"/>
        <v>2.7877971716910923</v>
      </c>
    </row>
    <row r="33" spans="1:20" ht="15" thickBot="1" x14ac:dyDescent="0.35">
      <c r="A33" s="41">
        <v>5</v>
      </c>
      <c r="B33" s="26">
        <f t="shared" si="14"/>
        <v>3935.1</v>
      </c>
      <c r="C33" s="26">
        <f t="shared" si="14"/>
        <v>11.728999999999999</v>
      </c>
      <c r="D33" s="48">
        <v>1</v>
      </c>
      <c r="E33" s="49">
        <f t="shared" si="10"/>
        <v>2.5412314807755839E-4</v>
      </c>
      <c r="F33" s="50">
        <f t="shared" si="11"/>
        <v>8.5258760337624695E-2</v>
      </c>
      <c r="G33" s="48">
        <f t="shared" si="12"/>
        <v>2.1666224578187263E-5</v>
      </c>
      <c r="H33" s="48">
        <f t="shared" si="13"/>
        <v>6.4578574388848661E-8</v>
      </c>
      <c r="I33" s="48">
        <f t="shared" si="13"/>
        <v>7.2690562143085261E-3</v>
      </c>
      <c r="S33" s="26">
        <f t="shared" si="15"/>
        <v>629.4</v>
      </c>
      <c r="T33" s="26">
        <f t="shared" si="16"/>
        <v>2.7968413159823919</v>
      </c>
    </row>
    <row r="34" spans="1:20" ht="15" thickBot="1" x14ac:dyDescent="0.35">
      <c r="D34" s="51" t="s">
        <v>30</v>
      </c>
      <c r="E34" s="52">
        <f>SUM(E28:E33)</f>
        <v>1000000.0052147539</v>
      </c>
      <c r="F34" s="53">
        <f>SUM(F28:F33)</f>
        <v>1000001.4290443182</v>
      </c>
      <c r="G34" s="53">
        <f>SUM(G28:G33)</f>
        <v>1000000000000.0028</v>
      </c>
      <c r="H34" s="53">
        <f>SUM(H28:H33)</f>
        <v>1000000000000</v>
      </c>
      <c r="I34" s="54">
        <f>SUM(I28:I33)</f>
        <v>1000000000000.7892</v>
      </c>
      <c r="S34" s="26">
        <f t="shared" si="15"/>
        <v>1605</v>
      </c>
      <c r="T34" s="26">
        <f t="shared" si="16"/>
        <v>2.8044162728936466</v>
      </c>
    </row>
    <row r="35" spans="1:20" ht="15" thickBot="1" x14ac:dyDescent="0.35">
      <c r="S35" s="26">
        <f t="shared" si="15"/>
        <v>3935.1</v>
      </c>
      <c r="T35" s="26">
        <f t="shared" si="16"/>
        <v>2.8073208179646945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200000.00104295078</v>
      </c>
      <c r="H36" s="40" t="s">
        <v>35</v>
      </c>
      <c r="I36" s="5">
        <f>SQRT((I34/B36)-(F37^2))</f>
        <v>399999.85709563782</v>
      </c>
    </row>
    <row r="37" spans="1:20" ht="15.6" x14ac:dyDescent="0.35">
      <c r="A37" s="60" t="s">
        <v>50</v>
      </c>
      <c r="E37" s="5" t="s">
        <v>34</v>
      </c>
      <c r="F37" s="5">
        <f>F34/B36</f>
        <v>200000.28580886364</v>
      </c>
      <c r="H37" s="40" t="s">
        <v>36</v>
      </c>
      <c r="I37" s="5">
        <f>SQRT(F39)</f>
        <v>399999.99947852461</v>
      </c>
      <c r="T37" t="s">
        <v>47</v>
      </c>
    </row>
    <row r="38" spans="1:20" ht="15.6" x14ac:dyDescent="0.35">
      <c r="A38" s="60">
        <v>1</v>
      </c>
      <c r="E38" s="40" t="s">
        <v>31</v>
      </c>
      <c r="F38" s="5">
        <f>(G34/B36)-(F36*F37)</f>
        <v>159999942629.63736</v>
      </c>
      <c r="H38" s="55" t="s">
        <v>37</v>
      </c>
      <c r="I38" s="56">
        <f>F38/(I37*I36)</f>
        <v>0.99999999999982703</v>
      </c>
      <c r="S38" s="5">
        <f t="shared" ref="S38:S43" si="17">D28</f>
        <v>1</v>
      </c>
      <c r="T38" s="5">
        <f t="shared" ref="T38:T43" si="18">(ABS((C28-T30)/C28)*100)*S38</f>
        <v>8.4703294725430034E-14</v>
      </c>
    </row>
    <row r="39" spans="1:20" ht="16.8" x14ac:dyDescent="0.35">
      <c r="E39" s="5" t="s">
        <v>32</v>
      </c>
      <c r="F39" s="5">
        <f>(H34/B36)-(F36^2)</f>
        <v>159999999582.8197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120.90310393748751</v>
      </c>
    </row>
    <row r="41" spans="1:20" ht="16.2" thickBot="1" x14ac:dyDescent="0.4">
      <c r="E41" s="5" t="s">
        <v>46</v>
      </c>
      <c r="F41" s="5">
        <f>(F38/F39)</f>
        <v>0.99999964404260944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31.550628585844549</v>
      </c>
    </row>
    <row r="42" spans="1:20" ht="15.6" x14ac:dyDescent="0.35">
      <c r="E42" s="5" t="s">
        <v>40</v>
      </c>
      <c r="F42" s="5">
        <f>(F37-(F41*F36))</f>
        <v>0.35595739135169424</v>
      </c>
      <c r="H42" s="26">
        <f>E29</f>
        <v>0</v>
      </c>
      <c r="I42" s="26">
        <f>$F$41*H42+$F$42</f>
        <v>0.35595739135169424</v>
      </c>
      <c r="S42" s="5">
        <f t="shared" si="17"/>
        <v>1</v>
      </c>
      <c r="T42" s="5">
        <f t="shared" si="18"/>
        <v>14.00134091095838</v>
      </c>
    </row>
    <row r="43" spans="1:20" x14ac:dyDescent="0.3">
      <c r="H43" s="26">
        <f>E30</f>
        <v>2.7487630566245189E-3</v>
      </c>
      <c r="I43" s="26">
        <f>$F$41*H43+$F$42</f>
        <v>0.35870615342987622</v>
      </c>
      <c r="S43" s="5">
        <f t="shared" si="17"/>
        <v>1</v>
      </c>
      <c r="T43" s="5">
        <f t="shared" si="18"/>
        <v>76.065130719032354</v>
      </c>
    </row>
    <row r="44" spans="1:20" ht="15.6" x14ac:dyDescent="0.35">
      <c r="E44" s="5" t="s">
        <v>44</v>
      </c>
      <c r="F44" s="5">
        <f>1/F42</f>
        <v>2.8093250043288935</v>
      </c>
      <c r="H44" s="26">
        <f>E31</f>
        <v>1.5888147442008262E-3</v>
      </c>
      <c r="I44" s="26">
        <f>$F$41*H44+$F$42</f>
        <v>0.35754620553034472</v>
      </c>
      <c r="S44" s="56" t="s">
        <v>48</v>
      </c>
      <c r="T44" s="56">
        <f>SUM(T38:T43)/B36</f>
        <v>48.504040830664579</v>
      </c>
    </row>
    <row r="45" spans="1:20" ht="15.6" x14ac:dyDescent="0.35">
      <c r="E45" s="5" t="s">
        <v>45</v>
      </c>
      <c r="F45" s="5">
        <f>1/(F44*F41)</f>
        <v>0.3559575180574035</v>
      </c>
      <c r="H45" s="26">
        <f>E32</f>
        <v>6.2305295950155766E-4</v>
      </c>
      <c r="I45" s="26">
        <f>$F$41*H45+$F$42</f>
        <v>0.35658044408941547</v>
      </c>
    </row>
    <row r="46" spans="1:20" x14ac:dyDescent="0.3">
      <c r="H46" s="26">
        <f>E33</f>
        <v>2.5412314807755839E-4</v>
      </c>
      <c r="I46" s="26">
        <f>$F$41*H46+$F$42</f>
        <v>0.35621151440931481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6"/>
  <sheetViews>
    <sheetView zoomScale="82" zoomScaleNormal="82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20</v>
      </c>
      <c r="B1" s="72" t="s">
        <v>72</v>
      </c>
      <c r="C1" s="73"/>
      <c r="D1">
        <v>0</v>
      </c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1</v>
      </c>
      <c r="E3" s="5">
        <f t="shared" ref="E3:E8" si="0">(1/B3)*D3</f>
        <v>1000000</v>
      </c>
      <c r="F3" s="47">
        <f t="shared" ref="F3:F8" si="1">(1/C3)*D3</f>
        <v>1000000</v>
      </c>
      <c r="G3" s="42">
        <f t="shared" ref="G3:G8" si="2">E3*F3</f>
        <v>1000000000000</v>
      </c>
      <c r="H3" s="42">
        <f t="shared" ref="H3:I8" si="3">E3^2</f>
        <v>1000000000000</v>
      </c>
      <c r="I3" s="42">
        <f t="shared" si="3"/>
        <v>1000000000000</v>
      </c>
    </row>
    <row r="4" spans="1:20" ht="15.6" x14ac:dyDescent="0.35">
      <c r="A4" s="41">
        <v>1</v>
      </c>
      <c r="B4" s="26">
        <f>0.000001</f>
        <v>9.9999999999999995E-7</v>
      </c>
      <c r="C4" s="37">
        <f>'Datos de laboratorio'!AA98</f>
        <v>2.1970000000000001</v>
      </c>
      <c r="D4" s="5">
        <v>1</v>
      </c>
      <c r="E4" s="47">
        <f t="shared" si="0"/>
        <v>1000000</v>
      </c>
      <c r="F4" s="42">
        <f t="shared" si="1"/>
        <v>0.45516613563950842</v>
      </c>
      <c r="G4" s="42">
        <f t="shared" si="2"/>
        <v>455166.13563950843</v>
      </c>
      <c r="H4" s="42">
        <f t="shared" si="3"/>
        <v>1000000000000</v>
      </c>
      <c r="I4" s="42">
        <f t="shared" si="3"/>
        <v>0.20717621103300338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laboratorio'!X99</f>
        <v>54</v>
      </c>
      <c r="C5" s="37">
        <f>'Datos de laboratorio'!AA99</f>
        <v>4.032</v>
      </c>
      <c r="D5" s="5">
        <v>1</v>
      </c>
      <c r="E5" s="47">
        <f t="shared" si="0"/>
        <v>1.8518518518518517E-2</v>
      </c>
      <c r="F5" s="42">
        <f t="shared" si="1"/>
        <v>0.24801587301587302</v>
      </c>
      <c r="G5" s="5">
        <f t="shared" si="2"/>
        <v>4.5928865373309818E-3</v>
      </c>
      <c r="H5" s="5">
        <f t="shared" si="3"/>
        <v>3.4293552812071328E-4</v>
      </c>
      <c r="I5" s="5">
        <f t="shared" si="3"/>
        <v>6.1511873267825652E-2</v>
      </c>
      <c r="S5">
        <f t="shared" ref="S5:S10" si="4">B3</f>
        <v>9.9999999999999995E-7</v>
      </c>
      <c r="T5" s="26">
        <f t="shared" ref="T5:T10" si="5">(($F$19*$F$20)*S5)/(1+$F$20*S5)</f>
        <v>1.9999990896681471E-6</v>
      </c>
    </row>
    <row r="6" spans="1:20" x14ac:dyDescent="0.3">
      <c r="A6" s="41">
        <v>3</v>
      </c>
      <c r="B6" s="26">
        <f>'Datos de laboratorio'!X100</f>
        <v>885.5</v>
      </c>
      <c r="C6" s="37">
        <f>'Datos de laboratorio'!AA100</f>
        <v>3.0129999999999995</v>
      </c>
      <c r="D6" s="5">
        <v>1</v>
      </c>
      <c r="E6" s="47">
        <f t="shared" si="0"/>
        <v>1.129305477131564E-3</v>
      </c>
      <c r="F6" s="42">
        <f t="shared" si="1"/>
        <v>0.33189512114171926</v>
      </c>
      <c r="G6" s="5">
        <f t="shared" si="2"/>
        <v>3.7481097813858749E-4</v>
      </c>
      <c r="H6" s="5">
        <f t="shared" si="3"/>
        <v>1.2753308606793495E-6</v>
      </c>
      <c r="I6" s="5">
        <f t="shared" si="3"/>
        <v>0.11015437143767651</v>
      </c>
      <c r="S6" s="26">
        <f t="shared" si="4"/>
        <v>9.9999999999999995E-7</v>
      </c>
      <c r="T6" s="26">
        <f t="shared" si="5"/>
        <v>1.9999990896681471E-6</v>
      </c>
    </row>
    <row r="7" spans="1:20" x14ac:dyDescent="0.3">
      <c r="A7" s="41">
        <v>4</v>
      </c>
      <c r="B7" s="26">
        <f>'Datos de laboratorio'!X101</f>
        <v>1817.75</v>
      </c>
      <c r="C7" s="37">
        <f>'Datos de laboratorio'!AA101</f>
        <v>1.2989000000000011</v>
      </c>
      <c r="D7" s="5">
        <v>1</v>
      </c>
      <c r="E7" s="47">
        <f t="shared" si="0"/>
        <v>5.5013065603080728E-4</v>
      </c>
      <c r="F7" s="42">
        <f t="shared" si="1"/>
        <v>0.769882208022172</v>
      </c>
      <c r="G7" s="5">
        <f t="shared" si="2"/>
        <v>4.2353580416568392E-4</v>
      </c>
      <c r="H7" s="5">
        <f t="shared" si="3"/>
        <v>3.0264373870488639E-7</v>
      </c>
      <c r="I7" s="5">
        <f t="shared" si="3"/>
        <v>0.59271861422909489</v>
      </c>
      <c r="S7" s="26">
        <f t="shared" si="4"/>
        <v>54</v>
      </c>
      <c r="T7" s="26">
        <f t="shared" si="5"/>
        <v>2.7939450413876257</v>
      </c>
    </row>
    <row r="8" spans="1:20" ht="15" thickBot="1" x14ac:dyDescent="0.35">
      <c r="A8" s="41">
        <v>5</v>
      </c>
      <c r="B8" s="26">
        <f>'Datos de laboratorio'!X102</f>
        <v>3375</v>
      </c>
      <c r="C8" s="37">
        <f>'Datos de laboratorio'!AA102</f>
        <v>18.153999999999996</v>
      </c>
      <c r="D8" s="48">
        <v>1</v>
      </c>
      <c r="E8" s="49">
        <f t="shared" si="0"/>
        <v>2.9629629629629629E-4</v>
      </c>
      <c r="F8" s="50">
        <f t="shared" si="1"/>
        <v>5.5084278946788599E-2</v>
      </c>
      <c r="G8" s="48">
        <f t="shared" si="2"/>
        <v>1.6321267836085509E-5</v>
      </c>
      <c r="H8" s="48">
        <f t="shared" si="3"/>
        <v>8.779149519890261E-8</v>
      </c>
      <c r="I8" s="48">
        <f t="shared" si="3"/>
        <v>3.0342777870876179E-3</v>
      </c>
      <c r="S8" s="26">
        <f t="shared" si="4"/>
        <v>885.5</v>
      </c>
      <c r="T8" s="26">
        <f t="shared" si="5"/>
        <v>2.8635060370183631</v>
      </c>
    </row>
    <row r="9" spans="1:20" ht="15" thickBot="1" x14ac:dyDescent="0.35">
      <c r="D9" s="51" t="s">
        <v>30</v>
      </c>
      <c r="E9" s="52">
        <f>SUM(E3:E8)</f>
        <v>2000000.0204942508</v>
      </c>
      <c r="F9" s="53">
        <f>SUM(F3:F8)</f>
        <v>1000001.8600436167</v>
      </c>
      <c r="G9" s="53">
        <f>SUM(G3:G8)</f>
        <v>1000000455166.141</v>
      </c>
      <c r="H9" s="53">
        <f>SUM(H3:H8)</f>
        <v>2000000000000.0002</v>
      </c>
      <c r="I9" s="54">
        <f>SUM(I3:I8)</f>
        <v>1000000000000.9746</v>
      </c>
      <c r="S9" s="26">
        <f t="shared" si="4"/>
        <v>1817.75</v>
      </c>
      <c r="T9" s="26">
        <f t="shared" si="5"/>
        <v>2.8658825273955548</v>
      </c>
    </row>
    <row r="10" spans="1:20" ht="15" thickBot="1" x14ac:dyDescent="0.35">
      <c r="S10" s="26">
        <f t="shared" si="4"/>
        <v>3375</v>
      </c>
      <c r="T10" s="26">
        <f t="shared" si="5"/>
        <v>2.8669253131079744</v>
      </c>
    </row>
    <row r="11" spans="1:20" ht="16.2" thickBot="1" x14ac:dyDescent="0.4">
      <c r="A11" s="43" t="s">
        <v>38</v>
      </c>
      <c r="B11" s="46">
        <v>6</v>
      </c>
      <c r="E11" s="5" t="s">
        <v>33</v>
      </c>
      <c r="F11" s="5">
        <f>E9/B11</f>
        <v>333333.3367490418</v>
      </c>
      <c r="H11" s="40" t="s">
        <v>35</v>
      </c>
      <c r="I11" s="5">
        <f>SQRT((I9/B11)-(F12^2))</f>
        <v>372677.85761056253</v>
      </c>
    </row>
    <row r="12" spans="1:20" ht="15.6" x14ac:dyDescent="0.35">
      <c r="E12" s="5" t="s">
        <v>34</v>
      </c>
      <c r="F12" s="5">
        <f>F9/B11</f>
        <v>166666.97667393612</v>
      </c>
      <c r="H12" s="40" t="s">
        <v>36</v>
      </c>
      <c r="I12" s="5">
        <f>SQRT(F14)</f>
        <v>471404.51837576105</v>
      </c>
      <c r="T12" t="s">
        <v>47</v>
      </c>
    </row>
    <row r="13" spans="1:20" ht="15.6" x14ac:dyDescent="0.35">
      <c r="E13" s="40" t="s">
        <v>31</v>
      </c>
      <c r="F13" s="5">
        <f>(G9/B11)-(F11*F12)</f>
        <v>111111083067.09232</v>
      </c>
      <c r="H13" s="55" t="s">
        <v>37</v>
      </c>
      <c r="I13" s="56">
        <f>F13/(I12*I11)</f>
        <v>0.63245561092364433</v>
      </c>
      <c r="S13" s="5">
        <f t="shared" ref="S13:S15" si="6">D3</f>
        <v>1</v>
      </c>
      <c r="T13" s="5">
        <f t="shared" ref="T13:T18" si="7">(ABS((C3-T5)/C3)*100)*S13</f>
        <v>99.999908966814715</v>
      </c>
    </row>
    <row r="14" spans="1:20" ht="16.8" x14ac:dyDescent="0.35">
      <c r="E14" s="5" t="s">
        <v>32</v>
      </c>
      <c r="F14" s="5">
        <f>(H9/B11)-(F11^2)</f>
        <v>222222219945.08325</v>
      </c>
      <c r="S14" s="5">
        <f t="shared" si="6"/>
        <v>1</v>
      </c>
      <c r="T14" s="5">
        <f t="shared" si="7"/>
        <v>99.999908966814317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30.705728140187855</v>
      </c>
    </row>
    <row r="16" spans="1:20" ht="16.2" thickBot="1" x14ac:dyDescent="0.4">
      <c r="E16" s="5" t="s">
        <v>46</v>
      </c>
      <c r="F16" s="5">
        <f>(F13/F14)</f>
        <v>0.49999987892547687</v>
      </c>
      <c r="H16" s="35" t="s">
        <v>25</v>
      </c>
      <c r="I16" s="36" t="s">
        <v>42</v>
      </c>
      <c r="S16" s="5">
        <f>D6</f>
        <v>1</v>
      </c>
      <c r="T16" s="5">
        <f t="shared" si="7"/>
        <v>4.9616316953745878</v>
      </c>
    </row>
    <row r="17" spans="1:20" ht="15.6" x14ac:dyDescent="0.35">
      <c r="E17" s="5" t="s">
        <v>40</v>
      </c>
      <c r="F17" s="5">
        <f>(F12-(F16*F11))</f>
        <v>0.34865759001695551</v>
      </c>
      <c r="H17" s="26">
        <f t="shared" ref="H17:H22" si="8">E3</f>
        <v>1000000</v>
      </c>
      <c r="I17" s="26">
        <f t="shared" ref="I17:I22" si="9">$F$16*H17+$F$17</f>
        <v>500000.22758306691</v>
      </c>
      <c r="S17" s="5">
        <f>D7</f>
        <v>1</v>
      </c>
      <c r="T17" s="5">
        <f t="shared" si="7"/>
        <v>120.63919681234525</v>
      </c>
    </row>
    <row r="18" spans="1:20" x14ac:dyDescent="0.3">
      <c r="H18" s="26">
        <f t="shared" si="8"/>
        <v>1000000</v>
      </c>
      <c r="I18" s="26">
        <f t="shared" si="9"/>
        <v>500000.22758306691</v>
      </c>
      <c r="S18" s="5">
        <f>D8</f>
        <v>1</v>
      </c>
      <c r="T18" s="5">
        <f t="shared" si="7"/>
        <v>84.20774863331512</v>
      </c>
    </row>
    <row r="19" spans="1:20" ht="15.6" x14ac:dyDescent="0.35">
      <c r="E19" s="5" t="s">
        <v>44</v>
      </c>
      <c r="F19" s="5">
        <f>1/F17</f>
        <v>2.868143498471865</v>
      </c>
      <c r="H19" s="26">
        <f t="shared" si="8"/>
        <v>1.8518518518518517E-2</v>
      </c>
      <c r="I19" s="26">
        <f t="shared" si="9"/>
        <v>0.35791684703409399</v>
      </c>
      <c r="S19" s="56" t="s">
        <v>48</v>
      </c>
      <c r="T19" s="56">
        <f>SUM(T13:T18)/B11</f>
        <v>73.419020535808642</v>
      </c>
    </row>
    <row r="20" spans="1:20" ht="15.6" x14ac:dyDescent="0.35">
      <c r="E20" s="5" t="s">
        <v>45</v>
      </c>
      <c r="F20" s="5">
        <f>1/(F19*F16)</f>
        <v>0.69731534888815772</v>
      </c>
      <c r="H20" s="26">
        <f t="shared" si="8"/>
        <v>1.129305477131564E-3</v>
      </c>
      <c r="I20" s="26">
        <f t="shared" si="9"/>
        <v>0.34922224261879115</v>
      </c>
    </row>
    <row r="21" spans="1:20" x14ac:dyDescent="0.3">
      <c r="H21" s="26">
        <f t="shared" si="8"/>
        <v>5.5013065603080728E-4</v>
      </c>
      <c r="I21" s="26">
        <f t="shared" si="9"/>
        <v>0.34893265527836409</v>
      </c>
    </row>
    <row r="22" spans="1:20" x14ac:dyDescent="0.3">
      <c r="H22" s="26">
        <f t="shared" si="8"/>
        <v>2.9629629629629629E-4</v>
      </c>
      <c r="I22" s="26">
        <f t="shared" si="9"/>
        <v>0.34880573812922971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20</v>
      </c>
      <c r="B26" s="72" t="str">
        <f>B1</f>
        <v>sal=5 dur=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9.9999999999999995E-7</v>
      </c>
      <c r="C29" s="26">
        <f t="shared" si="14"/>
        <v>2.1970000000000001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54</v>
      </c>
      <c r="C30" s="26">
        <f t="shared" si="14"/>
        <v>4.032</v>
      </c>
      <c r="D30" s="5">
        <v>1</v>
      </c>
      <c r="E30" s="47">
        <f t="shared" si="10"/>
        <v>1.8518518518518517E-2</v>
      </c>
      <c r="F30" s="42">
        <f t="shared" si="11"/>
        <v>0.24801587301587302</v>
      </c>
      <c r="G30" s="5">
        <f t="shared" si="12"/>
        <v>4.5928865373309818E-3</v>
      </c>
      <c r="H30" s="5">
        <f t="shared" si="13"/>
        <v>3.4293552812071328E-4</v>
      </c>
      <c r="I30" s="5">
        <f t="shared" si="13"/>
        <v>6.1511873267825652E-2</v>
      </c>
      <c r="S30" s="26">
        <f t="shared" ref="S30:S35" si="15">B28</f>
        <v>9.9999999999999995E-7</v>
      </c>
      <c r="T30" s="63">
        <f t="shared" ref="T30:T35" si="16">(($F$44*$F$45)*S30)/(1+$F$45*S30)</f>
        <v>9.9999999999999953E-7</v>
      </c>
    </row>
    <row r="31" spans="1:20" x14ac:dyDescent="0.3">
      <c r="A31" s="41">
        <v>3</v>
      </c>
      <c r="B31" s="26">
        <f t="shared" si="14"/>
        <v>885.5</v>
      </c>
      <c r="C31" s="26">
        <f t="shared" si="14"/>
        <v>3.0129999999999995</v>
      </c>
      <c r="D31" s="5">
        <v>1</v>
      </c>
      <c r="E31" s="47">
        <f t="shared" si="10"/>
        <v>1.129305477131564E-3</v>
      </c>
      <c r="F31" s="42">
        <f t="shared" si="11"/>
        <v>0.33189512114171926</v>
      </c>
      <c r="G31" s="5">
        <f t="shared" si="12"/>
        <v>3.7481097813858749E-4</v>
      </c>
      <c r="H31" s="5">
        <f t="shared" si="13"/>
        <v>1.2753308606793495E-6</v>
      </c>
      <c r="I31" s="5">
        <f t="shared" si="13"/>
        <v>0.11015437143767651</v>
      </c>
      <c r="S31" s="26">
        <f t="shared" si="15"/>
        <v>9.9999999999999995E-7</v>
      </c>
      <c r="T31" s="26">
        <f t="shared" si="16"/>
        <v>9.9999999999999953E-7</v>
      </c>
    </row>
    <row r="32" spans="1:20" x14ac:dyDescent="0.3">
      <c r="A32" s="41">
        <v>4</v>
      </c>
      <c r="B32" s="26">
        <f t="shared" si="14"/>
        <v>1817.75</v>
      </c>
      <c r="C32" s="26">
        <f t="shared" si="14"/>
        <v>1.2989000000000011</v>
      </c>
      <c r="D32" s="5">
        <v>0</v>
      </c>
      <c r="E32" s="47">
        <f t="shared" si="10"/>
        <v>0</v>
      </c>
      <c r="F32" s="42">
        <f t="shared" si="11"/>
        <v>0</v>
      </c>
      <c r="G32" s="5">
        <f t="shared" si="12"/>
        <v>0</v>
      </c>
      <c r="H32" s="5">
        <f t="shared" si="13"/>
        <v>0</v>
      </c>
      <c r="I32" s="5">
        <f t="shared" si="13"/>
        <v>0</v>
      </c>
      <c r="S32" s="26">
        <f t="shared" si="15"/>
        <v>54</v>
      </c>
      <c r="T32" s="26">
        <f t="shared" si="16"/>
        <v>4.4735610276025568</v>
      </c>
    </row>
    <row r="33" spans="1:20" ht="15" thickBot="1" x14ac:dyDescent="0.35">
      <c r="A33" s="41">
        <v>5</v>
      </c>
      <c r="B33" s="26">
        <f t="shared" si="14"/>
        <v>3375</v>
      </c>
      <c r="C33" s="26">
        <f t="shared" si="14"/>
        <v>18.153999999999996</v>
      </c>
      <c r="D33" s="48">
        <v>1</v>
      </c>
      <c r="E33" s="49">
        <f t="shared" si="10"/>
        <v>2.9629629629629629E-4</v>
      </c>
      <c r="F33" s="50">
        <f t="shared" si="11"/>
        <v>5.5084278946788599E-2</v>
      </c>
      <c r="G33" s="48">
        <f t="shared" si="12"/>
        <v>1.6321267836085509E-5</v>
      </c>
      <c r="H33" s="48">
        <f t="shared" si="13"/>
        <v>8.779149519890261E-8</v>
      </c>
      <c r="I33" s="48">
        <f t="shared" si="13"/>
        <v>3.0342777870876179E-3</v>
      </c>
      <c r="S33" s="26">
        <f t="shared" si="15"/>
        <v>885.5</v>
      </c>
      <c r="T33" s="26">
        <f t="shared" si="16"/>
        <v>4.8509224848562553</v>
      </c>
    </row>
    <row r="34" spans="1:20" ht="15" thickBot="1" x14ac:dyDescent="0.35">
      <c r="D34" s="51" t="s">
        <v>30</v>
      </c>
      <c r="E34" s="52">
        <f>SUM(E28:E33)</f>
        <v>1000000.0199441203</v>
      </c>
      <c r="F34" s="53">
        <f>SUM(F28:F33)</f>
        <v>1000000.6349952731</v>
      </c>
      <c r="G34" s="53">
        <f>SUM(G28:G33)</f>
        <v>1000000000000.005</v>
      </c>
      <c r="H34" s="53">
        <f>SUM(H28:H33)</f>
        <v>1000000000000.0004</v>
      </c>
      <c r="I34" s="54">
        <f>SUM(I28:I33)</f>
        <v>1000000000000.1747</v>
      </c>
      <c r="S34" s="26">
        <f t="shared" si="15"/>
        <v>1817.75</v>
      </c>
      <c r="T34" s="26">
        <f t="shared" si="16"/>
        <v>4.8645897032822036</v>
      </c>
    </row>
    <row r="35" spans="1:20" ht="15" thickBot="1" x14ac:dyDescent="0.35">
      <c r="S35" s="26">
        <f t="shared" si="15"/>
        <v>3375</v>
      </c>
      <c r="T35" s="26">
        <f t="shared" si="16"/>
        <v>4.8706039238362138</v>
      </c>
    </row>
    <row r="36" spans="1:20" ht="16.2" thickBot="1" x14ac:dyDescent="0.4">
      <c r="A36" s="43" t="s">
        <v>38</v>
      </c>
      <c r="B36" s="46">
        <v>4</v>
      </c>
      <c r="E36" s="5" t="s">
        <v>33</v>
      </c>
      <c r="F36" s="5">
        <f>E34/B36</f>
        <v>250000.00498603008</v>
      </c>
      <c r="H36" s="40" t="s">
        <v>35</v>
      </c>
      <c r="I36" s="5">
        <f>SQRT((I34/B36)-(F37^2))</f>
        <v>433012.61023855797</v>
      </c>
    </row>
    <row r="37" spans="1:20" ht="15.6" x14ac:dyDescent="0.35">
      <c r="A37" s="60" t="s">
        <v>50</v>
      </c>
      <c r="E37" s="5" t="s">
        <v>34</v>
      </c>
      <c r="F37" s="5">
        <f>F34/B36</f>
        <v>250000.15874881827</v>
      </c>
      <c r="H37" s="40" t="s">
        <v>36</v>
      </c>
      <c r="I37" s="5">
        <f>SQRT(F39)</f>
        <v>433012.69901353359</v>
      </c>
      <c r="T37" t="s">
        <v>47</v>
      </c>
    </row>
    <row r="38" spans="1:20" ht="15.6" x14ac:dyDescent="0.35">
      <c r="A38" s="60">
        <v>1.4</v>
      </c>
      <c r="E38" s="40" t="s">
        <v>31</v>
      </c>
      <c r="F38" s="5">
        <f>(G34/B36)-(F36*F37)</f>
        <v>187499959066.28839</v>
      </c>
      <c r="H38" s="55" t="s">
        <v>37</v>
      </c>
      <c r="I38" s="56">
        <f>F38/(I37*I36)</f>
        <v>0.99999999999997413</v>
      </c>
      <c r="S38" s="5">
        <f t="shared" ref="S38:S43" si="17">D28</f>
        <v>1</v>
      </c>
      <c r="T38" s="5">
        <f t="shared" ref="T38:T43" si="18">(ABS((C28-T30)/C28)*100)*S38</f>
        <v>4.2351647362715017E-14</v>
      </c>
    </row>
    <row r="39" spans="1:20" ht="16.8" x14ac:dyDescent="0.35">
      <c r="E39" s="5" t="s">
        <v>32</v>
      </c>
      <c r="F39" s="5">
        <f>(H34/B36)-(F36^2)</f>
        <v>187499997506.98505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10.951414375063411</v>
      </c>
    </row>
    <row r="41" spans="1:20" ht="16.2" thickBot="1" x14ac:dyDescent="0.4">
      <c r="E41" s="5" t="s">
        <v>46</v>
      </c>
      <c r="F41" s="5">
        <f>(F38/F39)</f>
        <v>0.99999979498294844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60.999750576045678</v>
      </c>
    </row>
    <row r="42" spans="1:20" ht="15.6" x14ac:dyDescent="0.35">
      <c r="E42" s="5" t="s">
        <v>40</v>
      </c>
      <c r="F42" s="5">
        <f>(F37-(F41*F36))</f>
        <v>0.2050170520960819</v>
      </c>
      <c r="H42" s="26">
        <f>E29</f>
        <v>0</v>
      </c>
      <c r="I42" s="26">
        <f>$F$41*H42+$F$42</f>
        <v>0.2050170520960819</v>
      </c>
      <c r="S42" s="5">
        <f t="shared" si="17"/>
        <v>0</v>
      </c>
      <c r="T42" s="5">
        <f t="shared" si="18"/>
        <v>0</v>
      </c>
    </row>
    <row r="43" spans="1:20" x14ac:dyDescent="0.3">
      <c r="H43" s="26">
        <f>E30</f>
        <v>1.8518518518518517E-2</v>
      </c>
      <c r="I43" s="26">
        <f>$F$41*H43+$F$42</f>
        <v>0.22353556681798836</v>
      </c>
      <c r="S43" s="5">
        <f t="shared" si="17"/>
        <v>1</v>
      </c>
      <c r="T43" s="5">
        <f t="shared" si="18"/>
        <v>73.17062948200828</v>
      </c>
    </row>
    <row r="44" spans="1:20" ht="15.6" x14ac:dyDescent="0.35">
      <c r="E44" s="5" t="s">
        <v>44</v>
      </c>
      <c r="F44" s="5">
        <f>1/F42</f>
        <v>4.8776430534731654</v>
      </c>
      <c r="H44" s="26">
        <f>E31</f>
        <v>1.129305477131564E-3</v>
      </c>
      <c r="I44" s="26">
        <f>$F$41*H44+$F$42</f>
        <v>0.20614635734168657</v>
      </c>
      <c r="S44" s="56" t="s">
        <v>48</v>
      </c>
      <c r="T44" s="56">
        <f>SUM(T38:T43)/B36</f>
        <v>36.280448608279357</v>
      </c>
    </row>
    <row r="45" spans="1:20" ht="15.6" x14ac:dyDescent="0.35">
      <c r="E45" s="5" t="s">
        <v>45</v>
      </c>
      <c r="F45" s="5">
        <f>1/(F44*F41)</f>
        <v>0.20501709412808208</v>
      </c>
      <c r="H45" s="26">
        <f>E32</f>
        <v>0</v>
      </c>
      <c r="I45" s="26">
        <f>$F$41*H45+$F$42</f>
        <v>0.2050170520960819</v>
      </c>
    </row>
    <row r="46" spans="1:20" x14ac:dyDescent="0.3">
      <c r="H46" s="26">
        <f>E33</f>
        <v>2.9629629629629629E-4</v>
      </c>
      <c r="I46" s="26">
        <f>$F$41*H46+$F$42</f>
        <v>0.20531334833163239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bestFit="1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2</v>
      </c>
      <c r="B1" s="72" t="s">
        <v>52</v>
      </c>
      <c r="C1" s="73"/>
    </row>
    <row r="2" spans="1:20" ht="17.399999999999999" thickBot="1" x14ac:dyDescent="0.4">
      <c r="A2" s="59" t="s">
        <v>51</v>
      </c>
      <c r="B2" s="38" t="s">
        <v>23</v>
      </c>
      <c r="C2" s="39" t="s">
        <v>24</v>
      </c>
      <c r="D2" s="38" t="s">
        <v>39</v>
      </c>
      <c r="E2" s="35" t="s">
        <v>25</v>
      </c>
      <c r="F2" s="36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26">
        <f>0.000001</f>
        <v>9.9999999999999995E-7</v>
      </c>
      <c r="D3">
        <v>0</v>
      </c>
      <c r="E3" s="47">
        <f t="shared" ref="E3:E8" si="0">(1/B3)*D3</f>
        <v>0</v>
      </c>
      <c r="F3" s="42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laboratorio'!X8</f>
        <v>192</v>
      </c>
      <c r="C4" s="37">
        <f>'Datos de laboratorio'!AA8</f>
        <v>0.17599999999999993</v>
      </c>
      <c r="D4" s="5">
        <v>1</v>
      </c>
      <c r="E4" s="47">
        <f t="shared" si="0"/>
        <v>5.208333333333333E-3</v>
      </c>
      <c r="F4" s="42">
        <f t="shared" si="1"/>
        <v>5.6818181818181843</v>
      </c>
      <c r="G4" s="42">
        <f t="shared" si="2"/>
        <v>2.9592803030303042E-2</v>
      </c>
      <c r="H4" s="42">
        <f t="shared" si="3"/>
        <v>2.712673611111111E-5</v>
      </c>
      <c r="I4" s="42">
        <f t="shared" si="3"/>
        <v>32.283057851239697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laboratorio'!X9</f>
        <v>449.4</v>
      </c>
      <c r="C5" s="37">
        <f>'Datos de laboratorio'!AA9</f>
        <v>0.435</v>
      </c>
      <c r="D5" s="5">
        <v>1</v>
      </c>
      <c r="E5" s="47">
        <f t="shared" si="0"/>
        <v>2.2251891410769915E-3</v>
      </c>
      <c r="F5" s="42">
        <f t="shared" si="1"/>
        <v>2.2988505747126435</v>
      </c>
      <c r="G5" s="5">
        <f t="shared" si="2"/>
        <v>5.1153773358091756E-3</v>
      </c>
      <c r="H5" s="5">
        <f t="shared" si="3"/>
        <v>4.9514667135669588E-6</v>
      </c>
      <c r="I5" s="5">
        <f t="shared" si="3"/>
        <v>5.2847139648566515</v>
      </c>
      <c r="S5">
        <f t="shared" ref="S5:S10" si="4">B3</f>
        <v>9.9999999999999995E-7</v>
      </c>
      <c r="T5" s="26">
        <f t="shared" ref="T5:T10" si="5">(($F$19*$F$20)*S5)/(1+$F$20*S5)</f>
        <v>9.4068572324698225E-10</v>
      </c>
    </row>
    <row r="6" spans="1:20" x14ac:dyDescent="0.3">
      <c r="A6" s="41">
        <v>3</v>
      </c>
      <c r="B6" s="26">
        <f>'Datos de laboratorio'!X10</f>
        <v>735.5</v>
      </c>
      <c r="C6" s="37">
        <f>'Datos de laboratorio'!AA10</f>
        <v>3.13</v>
      </c>
      <c r="D6" s="5">
        <v>1</v>
      </c>
      <c r="E6" s="47">
        <f t="shared" si="0"/>
        <v>1.3596193065941536E-3</v>
      </c>
      <c r="F6" s="42">
        <f t="shared" si="1"/>
        <v>0.31948881789137379</v>
      </c>
      <c r="G6" s="5">
        <f t="shared" si="2"/>
        <v>4.3438316504605543E-4</v>
      </c>
      <c r="H6" s="5">
        <f t="shared" si="3"/>
        <v>1.8485646588635669E-6</v>
      </c>
      <c r="I6" s="5">
        <f t="shared" si="3"/>
        <v>0.1020731047576274</v>
      </c>
      <c r="S6" s="26">
        <f t="shared" si="4"/>
        <v>192</v>
      </c>
      <c r="T6" s="26">
        <f t="shared" si="5"/>
        <v>0.18305112341645741</v>
      </c>
    </row>
    <row r="7" spans="1:20" x14ac:dyDescent="0.3">
      <c r="A7" s="41">
        <v>4</v>
      </c>
      <c r="B7" s="26">
        <f>'Datos de laboratorio'!X11</f>
        <v>2069.8000000000002</v>
      </c>
      <c r="C7" s="37">
        <f>'Datos de laboratorio'!AA11</f>
        <v>1.1929999999999972</v>
      </c>
      <c r="D7" s="5">
        <v>1</v>
      </c>
      <c r="E7" s="47">
        <f t="shared" si="0"/>
        <v>4.8313846748478112E-4</v>
      </c>
      <c r="F7" s="42">
        <f t="shared" si="1"/>
        <v>0.83822296730930623</v>
      </c>
      <c r="G7" s="5">
        <f t="shared" si="2"/>
        <v>4.0497775983636402E-4</v>
      </c>
      <c r="H7" s="5">
        <f t="shared" si="3"/>
        <v>2.334227787635429E-7</v>
      </c>
      <c r="I7" s="5">
        <f t="shared" si="3"/>
        <v>0.70261774292481827</v>
      </c>
      <c r="S7" s="26">
        <f t="shared" si="4"/>
        <v>449.4</v>
      </c>
      <c r="T7" s="26">
        <f t="shared" si="5"/>
        <v>0.4363552947205695</v>
      </c>
    </row>
    <row r="8" spans="1:20" ht="15" thickBot="1" x14ac:dyDescent="0.35">
      <c r="A8" s="41">
        <v>5</v>
      </c>
      <c r="B8" s="26">
        <f>'Datos de laboratorio'!X12</f>
        <v>5207</v>
      </c>
      <c r="C8" s="37">
        <f>'Datos de laboratorio'!AA12</f>
        <v>1.7919999999999983</v>
      </c>
      <c r="D8" s="48">
        <v>1</v>
      </c>
      <c r="E8" s="49">
        <f t="shared" si="0"/>
        <v>1.9204916458613405E-4</v>
      </c>
      <c r="F8" s="50">
        <f t="shared" si="1"/>
        <v>0.55803571428571486</v>
      </c>
      <c r="G8" s="48">
        <f t="shared" si="2"/>
        <v>1.0717029273779813E-4</v>
      </c>
      <c r="H8" s="48">
        <f t="shared" si="3"/>
        <v>3.6882881618232002E-8</v>
      </c>
      <c r="I8" s="48">
        <f t="shared" si="3"/>
        <v>0.31140385841836798</v>
      </c>
      <c r="S8" s="26">
        <f t="shared" si="4"/>
        <v>735.5</v>
      </c>
      <c r="T8" s="26">
        <f t="shared" si="5"/>
        <v>0.72909533630954448</v>
      </c>
    </row>
    <row r="9" spans="1:20" ht="15" thickBot="1" x14ac:dyDescent="0.35">
      <c r="D9" s="51" t="s">
        <v>30</v>
      </c>
      <c r="E9" s="52">
        <f>SUM(E3:E8)</f>
        <v>9.4683294130753944E-3</v>
      </c>
      <c r="F9" s="53">
        <f>SUM(F3:F8)</f>
        <v>9.6964162560172227</v>
      </c>
      <c r="G9" s="53">
        <f>SUM(G3:G8)</f>
        <v>3.5654711583732429E-2</v>
      </c>
      <c r="H9" s="53">
        <f>SUM(H3:H8)</f>
        <v>3.4197073143923411E-5</v>
      </c>
      <c r="I9" s="54">
        <f>SUM(I3:I8)</f>
        <v>38.683866522197157</v>
      </c>
      <c r="S9" s="26">
        <f t="shared" si="4"/>
        <v>2069.8000000000002</v>
      </c>
      <c r="T9" s="26">
        <f t="shared" si="5"/>
        <v>2.2736779711486594</v>
      </c>
    </row>
    <row r="10" spans="1:20" ht="15" thickBot="1" x14ac:dyDescent="0.35">
      <c r="S10" s="26">
        <f t="shared" si="4"/>
        <v>5207</v>
      </c>
      <c r="T10" s="26">
        <f t="shared" si="5"/>
        <v>7.6703417490091415</v>
      </c>
    </row>
    <row r="11" spans="1:20" ht="16.2" thickBot="1" x14ac:dyDescent="0.4">
      <c r="A11" s="43" t="s">
        <v>38</v>
      </c>
      <c r="B11" s="46">
        <v>5</v>
      </c>
      <c r="E11" s="5" t="s">
        <v>33</v>
      </c>
      <c r="F11" s="5">
        <f>E9/B11</f>
        <v>1.8936658826150788E-3</v>
      </c>
      <c r="H11" s="40" t="s">
        <v>35</v>
      </c>
      <c r="I11" s="5">
        <f>SQRT((I9/B11)-(F12^2))</f>
        <v>1.9939793820501828</v>
      </c>
    </row>
    <row r="12" spans="1:20" ht="15.6" x14ac:dyDescent="0.35">
      <c r="E12" s="5" t="s">
        <v>34</v>
      </c>
      <c r="F12" s="5">
        <f>F9/B11</f>
        <v>1.9392832512034446</v>
      </c>
      <c r="H12" s="40" t="s">
        <v>36</v>
      </c>
      <c r="I12" s="5">
        <f>SQRT(F14)</f>
        <v>1.8037306211860843E-3</v>
      </c>
      <c r="T12" t="s">
        <v>47</v>
      </c>
    </row>
    <row r="13" spans="1:20" ht="15.6" x14ac:dyDescent="0.35">
      <c r="E13" s="40" t="s">
        <v>31</v>
      </c>
      <c r="F13" s="5">
        <f>(G9/B11)-(F11*F12)</f>
        <v>3.4585877872156758E-3</v>
      </c>
      <c r="H13" s="55" t="s">
        <v>37</v>
      </c>
      <c r="I13" s="56">
        <f>F13/(I12*I11)</f>
        <v>0.96162658673728174</v>
      </c>
      <c r="S13" s="5">
        <f t="shared" ref="S13:S17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3.253444153804337E-6</v>
      </c>
      <c r="H14" s="66" t="s">
        <v>73</v>
      </c>
      <c r="I14" s="67">
        <f>I13^2</f>
        <v>0.9247256923199948</v>
      </c>
      <c r="S14" s="5">
        <f t="shared" si="6"/>
        <v>1</v>
      </c>
      <c r="T14" s="5">
        <f t="shared" si="7"/>
        <v>4.0063201229872014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0.31156200472862067</v>
      </c>
    </row>
    <row r="16" spans="1:20" ht="16.2" thickBot="1" x14ac:dyDescent="0.4">
      <c r="E16" s="5" t="s">
        <v>46</v>
      </c>
      <c r="F16" s="5">
        <f>(F13/F14)</f>
        <v>1063.0542968353886</v>
      </c>
      <c r="H16" s="35" t="s">
        <v>25</v>
      </c>
      <c r="I16" s="36" t="s">
        <v>42</v>
      </c>
      <c r="S16" s="5">
        <f t="shared" si="6"/>
        <v>1</v>
      </c>
      <c r="T16" s="5">
        <f t="shared" si="7"/>
        <v>76.706219287234987</v>
      </c>
    </row>
    <row r="17" spans="1:20" ht="15.6" x14ac:dyDescent="0.35">
      <c r="E17" s="5" t="s">
        <v>40</v>
      </c>
      <c r="F17" s="5">
        <f>(F12-(F16*F11))</f>
        <v>-7.378640208109366E-2</v>
      </c>
      <c r="H17" s="26">
        <f t="shared" ref="H17:H22" si="8">E3</f>
        <v>0</v>
      </c>
      <c r="I17" s="26">
        <f t="shared" ref="I17:I22" si="9">$F$16*H17+$F$17</f>
        <v>-7.378640208109366E-2</v>
      </c>
      <c r="S17" s="5">
        <f t="shared" si="6"/>
        <v>1</v>
      </c>
      <c r="T17" s="5">
        <f t="shared" si="7"/>
        <v>90.584909568203258</v>
      </c>
    </row>
    <row r="18" spans="1:20" x14ac:dyDescent="0.3">
      <c r="H18" s="26">
        <f t="shared" si="8"/>
        <v>5.208333333333333E-3</v>
      </c>
      <c r="I18" s="26">
        <f t="shared" si="9"/>
        <v>5.4629547272698886</v>
      </c>
      <c r="S18" s="5">
        <f>D8</f>
        <v>1</v>
      </c>
      <c r="T18" s="5">
        <f t="shared" si="7"/>
        <v>328.03246367238557</v>
      </c>
    </row>
    <row r="19" spans="1:20" ht="15.6" x14ac:dyDescent="0.35">
      <c r="E19" s="5" t="s">
        <v>44</v>
      </c>
      <c r="F19" s="5">
        <f>1/F17</f>
        <v>-13.552632623297818</v>
      </c>
      <c r="H19" s="26">
        <f t="shared" si="8"/>
        <v>2.2251891410769915E-3</v>
      </c>
      <c r="I19" s="26">
        <f t="shared" si="9"/>
        <v>2.2917104756122502</v>
      </c>
      <c r="S19" s="56" t="s">
        <v>48</v>
      </c>
      <c r="T19" s="56">
        <f>SUM(T13:T18)/B11</f>
        <v>99.928294931107928</v>
      </c>
    </row>
    <row r="20" spans="1:20" ht="15.6" x14ac:dyDescent="0.35">
      <c r="E20" s="5" t="s">
        <v>45</v>
      </c>
      <c r="F20" s="5">
        <f>1/(F19*F16)</f>
        <v>-6.9409815002628508E-5</v>
      </c>
      <c r="H20" s="26">
        <f t="shared" si="8"/>
        <v>1.3596193065941536E-3</v>
      </c>
      <c r="I20" s="26">
        <f t="shared" si="9"/>
        <v>1.3715627438541729</v>
      </c>
    </row>
    <row r="21" spans="1:20" x14ac:dyDescent="0.3">
      <c r="H21" s="26">
        <f t="shared" si="8"/>
        <v>4.8313846748478112E-4</v>
      </c>
      <c r="I21" s="26">
        <f t="shared" si="9"/>
        <v>0.43981602174506762</v>
      </c>
    </row>
    <row r="22" spans="1:20" x14ac:dyDescent="0.3">
      <c r="H22" s="26">
        <f t="shared" si="8"/>
        <v>1.9204916458613405E-4</v>
      </c>
      <c r="I22" s="26">
        <f t="shared" si="9"/>
        <v>0.1303722875358429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2</v>
      </c>
      <c r="B26" s="72" t="str">
        <f>B1</f>
        <v>sal=0,2 dur=2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39" t="s">
        <v>24</v>
      </c>
      <c r="D27" s="38" t="s">
        <v>39</v>
      </c>
      <c r="E27" s="35" t="s">
        <v>25</v>
      </c>
      <c r="F27" s="36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26">
        <f>0.000001</f>
        <v>9.9999999999999995E-7</v>
      </c>
      <c r="D28">
        <v>1</v>
      </c>
      <c r="E28" s="47">
        <f t="shared" ref="E28:E33" si="10">(1/B28)*D28</f>
        <v>1000000</v>
      </c>
      <c r="F28" s="42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192</v>
      </c>
      <c r="C29" s="26">
        <f t="shared" si="14"/>
        <v>0.17599999999999993</v>
      </c>
      <c r="D29" s="61">
        <v>1</v>
      </c>
      <c r="E29" s="47">
        <f t="shared" si="10"/>
        <v>5.208333333333333E-3</v>
      </c>
      <c r="F29" s="42">
        <f t="shared" si="11"/>
        <v>5.6818181818181843</v>
      </c>
      <c r="G29" s="42">
        <f t="shared" si="12"/>
        <v>2.9592803030303042E-2</v>
      </c>
      <c r="H29" s="42">
        <f t="shared" si="13"/>
        <v>2.712673611111111E-5</v>
      </c>
      <c r="I29" s="42">
        <f t="shared" si="13"/>
        <v>32.283057851239697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449.4</v>
      </c>
      <c r="C30" s="26">
        <f t="shared" si="14"/>
        <v>0.435</v>
      </c>
      <c r="D30" s="5">
        <v>1</v>
      </c>
      <c r="E30" s="47">
        <f t="shared" si="10"/>
        <v>2.2251891410769915E-3</v>
      </c>
      <c r="F30" s="42">
        <f t="shared" si="11"/>
        <v>2.2988505747126435</v>
      </c>
      <c r="G30" s="5">
        <f t="shared" si="12"/>
        <v>5.1153773358091756E-3</v>
      </c>
      <c r="H30" s="5">
        <f t="shared" si="13"/>
        <v>4.9514667135669588E-6</v>
      </c>
      <c r="I30" s="5">
        <f t="shared" si="13"/>
        <v>5.2847139648566515</v>
      </c>
      <c r="S30" s="26">
        <f t="shared" ref="S30:S35" si="15">B28</f>
        <v>9.9999999999999995E-7</v>
      </c>
      <c r="T30" s="63">
        <f t="shared" ref="T30:T35" si="16">(($F$44*$F$45)*S30)/(1+$F$45*S30)</f>
        <v>9.9999999999998386E-7</v>
      </c>
    </row>
    <row r="31" spans="1:20" x14ac:dyDescent="0.3">
      <c r="A31" s="41">
        <v>3</v>
      </c>
      <c r="B31" s="26">
        <f t="shared" si="14"/>
        <v>735.5</v>
      </c>
      <c r="C31" s="26">
        <f t="shared" si="14"/>
        <v>3.13</v>
      </c>
      <c r="D31" s="5">
        <v>0</v>
      </c>
      <c r="E31" s="47">
        <f t="shared" si="10"/>
        <v>0</v>
      </c>
      <c r="F31" s="42">
        <f t="shared" si="11"/>
        <v>0</v>
      </c>
      <c r="G31" s="5">
        <f t="shared" si="12"/>
        <v>0</v>
      </c>
      <c r="H31" s="5">
        <f t="shared" si="13"/>
        <v>0</v>
      </c>
      <c r="I31" s="5">
        <f t="shared" si="13"/>
        <v>0</v>
      </c>
      <c r="S31" s="26">
        <f t="shared" si="15"/>
        <v>192</v>
      </c>
      <c r="T31" s="26">
        <f t="shared" si="16"/>
        <v>0.4260008777120316</v>
      </c>
    </row>
    <row r="32" spans="1:20" x14ac:dyDescent="0.3">
      <c r="A32" s="41">
        <v>4</v>
      </c>
      <c r="B32" s="26">
        <f t="shared" si="14"/>
        <v>2069.8000000000002</v>
      </c>
      <c r="C32" s="26">
        <f t="shared" si="14"/>
        <v>1.1929999999999972</v>
      </c>
      <c r="D32" s="5">
        <v>1</v>
      </c>
      <c r="E32" s="47">
        <f t="shared" si="10"/>
        <v>4.8313846748478112E-4</v>
      </c>
      <c r="F32" s="42">
        <f t="shared" si="11"/>
        <v>0.83822296730930623</v>
      </c>
      <c r="G32" s="5">
        <f t="shared" si="12"/>
        <v>4.0497775983636402E-4</v>
      </c>
      <c r="H32" s="5">
        <f t="shared" si="13"/>
        <v>2.334227787635429E-7</v>
      </c>
      <c r="I32" s="5">
        <f t="shared" si="13"/>
        <v>0.70261774292481827</v>
      </c>
      <c r="S32" s="26">
        <f t="shared" si="15"/>
        <v>449.4</v>
      </c>
      <c r="T32" s="26">
        <f t="shared" si="16"/>
        <v>0.42654293660907466</v>
      </c>
    </row>
    <row r="33" spans="1:20" ht="15" thickBot="1" x14ac:dyDescent="0.35">
      <c r="A33" s="41">
        <v>5</v>
      </c>
      <c r="B33" s="26">
        <f t="shared" si="14"/>
        <v>5207</v>
      </c>
      <c r="C33" s="26">
        <f t="shared" si="14"/>
        <v>1.7919999999999983</v>
      </c>
      <c r="D33" s="48">
        <v>1</v>
      </c>
      <c r="E33" s="49">
        <f t="shared" si="10"/>
        <v>1.9204916458613405E-4</v>
      </c>
      <c r="F33" s="50">
        <f t="shared" si="11"/>
        <v>0.55803571428571486</v>
      </c>
      <c r="G33" s="48">
        <f t="shared" si="12"/>
        <v>1.0717029273779813E-4</v>
      </c>
      <c r="H33" s="48">
        <f t="shared" si="13"/>
        <v>3.6882881618232002E-8</v>
      </c>
      <c r="I33" s="48">
        <f t="shared" si="13"/>
        <v>0.31140385841836798</v>
      </c>
      <c r="S33" s="26">
        <f t="shared" si="15"/>
        <v>735.5</v>
      </c>
      <c r="T33" s="26">
        <f t="shared" si="16"/>
        <v>0.42670047520721449</v>
      </c>
    </row>
    <row r="34" spans="1:20" ht="15" thickBot="1" x14ac:dyDescent="0.35">
      <c r="D34" s="51" t="s">
        <v>30</v>
      </c>
      <c r="E34" s="52">
        <f>SUM(E28:E33)</f>
        <v>1000000.0081087102</v>
      </c>
      <c r="F34" s="53">
        <f>SUM(F28:F33)</f>
        <v>1000009.3769274382</v>
      </c>
      <c r="G34" s="53">
        <f>SUM(G28:G33)</f>
        <v>1000000000000.0352</v>
      </c>
      <c r="H34" s="53">
        <f>SUM(H28:H33)</f>
        <v>1000000000000</v>
      </c>
      <c r="I34" s="54">
        <f>SUM(I28:I33)</f>
        <v>1000000000038.5818</v>
      </c>
      <c r="S34" s="26">
        <f t="shared" si="15"/>
        <v>2069.8000000000002</v>
      </c>
      <c r="T34" s="26">
        <f t="shared" si="16"/>
        <v>0.42686011829383563</v>
      </c>
    </row>
    <row r="35" spans="1:20" ht="15" thickBot="1" x14ac:dyDescent="0.35">
      <c r="S35" s="26">
        <f t="shared" si="15"/>
        <v>5207</v>
      </c>
      <c r="T35" s="26">
        <f t="shared" si="16"/>
        <v>0.42691316401473006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200000.00162174203</v>
      </c>
      <c r="H36" s="40" t="s">
        <v>35</v>
      </c>
      <c r="I36" s="5">
        <f>SQRT((I34/B36)-(F37^2))</f>
        <v>399999.06231140625</v>
      </c>
    </row>
    <row r="37" spans="1:20" ht="15.6" x14ac:dyDescent="0.35">
      <c r="A37" s="60" t="s">
        <v>50</v>
      </c>
      <c r="E37" s="5" t="s">
        <v>34</v>
      </c>
      <c r="F37" s="5">
        <f>F34/B36</f>
        <v>200001.87538548763</v>
      </c>
      <c r="H37" s="40" t="s">
        <v>36</v>
      </c>
      <c r="I37" s="5">
        <f>SQRT(F39)</f>
        <v>399999.99918912898</v>
      </c>
      <c r="T37" t="s">
        <v>47</v>
      </c>
    </row>
    <row r="38" spans="1:20" ht="15.6" x14ac:dyDescent="0.35">
      <c r="A38" s="60">
        <v>3</v>
      </c>
      <c r="E38" s="40" t="s">
        <v>31</v>
      </c>
      <c r="F38" s="5">
        <f>(G34/B36)-(F36*F37)</f>
        <v>159999624598.55804</v>
      </c>
      <c r="H38" s="55" t="s">
        <v>37</v>
      </c>
      <c r="I38" s="56">
        <f>F38/(I37*I36)</f>
        <v>0.99999999998964495</v>
      </c>
      <c r="S38" s="5">
        <f t="shared" ref="S38:S41" si="17">D28</f>
        <v>1</v>
      </c>
      <c r="T38" s="5">
        <f t="shared" ref="T38:T43" si="18">(ABS((C28-T30)/C28)*100)*S38</f>
        <v>1.6093625997831706E-12</v>
      </c>
    </row>
    <row r="39" spans="1:20" ht="16.8" x14ac:dyDescent="0.35">
      <c r="E39" s="5" t="s">
        <v>32</v>
      </c>
      <c r="F39" s="5">
        <f>(H34/B36)-(F36^2)</f>
        <v>159999999351.30319</v>
      </c>
      <c r="S39" s="5">
        <f t="shared" si="17"/>
        <v>1</v>
      </c>
      <c r="T39" s="5">
        <f t="shared" si="18"/>
        <v>142.04595324547259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1.9441525036609966</v>
      </c>
    </row>
    <row r="41" spans="1:20" ht="16.2" thickBot="1" x14ac:dyDescent="0.4">
      <c r="E41" s="5" t="s">
        <v>46</v>
      </c>
      <c r="F41" s="5">
        <f>(F38/F39)</f>
        <v>0.99999765779533334</v>
      </c>
      <c r="H41" s="35" t="s">
        <v>25</v>
      </c>
      <c r="I41" s="36" t="s">
        <v>42</v>
      </c>
      <c r="S41" s="5">
        <f t="shared" si="17"/>
        <v>0</v>
      </c>
      <c r="T41" s="5">
        <f t="shared" si="18"/>
        <v>0</v>
      </c>
    </row>
    <row r="42" spans="1:20" ht="15.6" x14ac:dyDescent="0.35">
      <c r="E42" s="5" t="s">
        <v>40</v>
      </c>
      <c r="F42" s="5">
        <f>(F37-(F41*F36))</f>
        <v>2.3422046827326994</v>
      </c>
      <c r="H42" s="26">
        <f>E29</f>
        <v>5.208333333333333E-3</v>
      </c>
      <c r="I42" s="26">
        <f>$F$41*H42+$F$42</f>
        <v>2.3474130038670502</v>
      </c>
      <c r="S42" s="5">
        <f>D32</f>
        <v>1</v>
      </c>
      <c r="T42" s="5">
        <f t="shared" si="18"/>
        <v>64.219604501773958</v>
      </c>
    </row>
    <row r="43" spans="1:20" x14ac:dyDescent="0.3">
      <c r="H43" s="26">
        <f>E30</f>
        <v>2.2251891410769915E-3</v>
      </c>
      <c r="I43" s="26">
        <f>$F$41*H43+$F$42</f>
        <v>2.3444298666619279</v>
      </c>
      <c r="S43" s="5">
        <f>D33</f>
        <v>1</v>
      </c>
      <c r="T43" s="5">
        <f t="shared" si="18"/>
        <v>76.176720758106555</v>
      </c>
    </row>
    <row r="44" spans="1:20" ht="15.6" x14ac:dyDescent="0.35">
      <c r="E44" s="5" t="s">
        <v>44</v>
      </c>
      <c r="F44" s="5">
        <f>1/F42</f>
        <v>0.42694816869432561</v>
      </c>
      <c r="H44" s="26">
        <f>E31</f>
        <v>0</v>
      </c>
      <c r="I44" s="26">
        <f>$F$41*H44+$F$42</f>
        <v>2.3422046827326994</v>
      </c>
      <c r="S44" s="56" t="s">
        <v>48</v>
      </c>
      <c r="T44" s="56">
        <f>SUM(T38:T43)/B36</f>
        <v>56.877286201803145</v>
      </c>
    </row>
    <row r="45" spans="1:20" ht="15.6" x14ac:dyDescent="0.35">
      <c r="E45" s="5" t="s">
        <v>45</v>
      </c>
      <c r="F45" s="5">
        <f>1/(F44*F41)</f>
        <v>2.342210168668287</v>
      </c>
      <c r="H45" s="26">
        <f>E32</f>
        <v>4.8313846748478112E-4</v>
      </c>
      <c r="I45" s="26">
        <f>$F$41*H45+$F$42</f>
        <v>2.342687820068575</v>
      </c>
    </row>
    <row r="46" spans="1:20" x14ac:dyDescent="0.3">
      <c r="H46" s="26">
        <f>E33</f>
        <v>1.9204916458613405E-4</v>
      </c>
      <c r="I46" s="26">
        <f>$F$41*H46+$F$42</f>
        <v>2.342396731447467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3</v>
      </c>
      <c r="B1" s="72" t="s">
        <v>53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laboratorio'!X13</f>
        <v>57</v>
      </c>
      <c r="C4" s="37">
        <f>'Datos de laboratorio'!AA13</f>
        <v>1.6779999999999999</v>
      </c>
      <c r="D4" s="5">
        <v>1</v>
      </c>
      <c r="E4" s="47">
        <f t="shared" si="0"/>
        <v>1.7543859649122806E-2</v>
      </c>
      <c r="F4" s="42">
        <f t="shared" si="1"/>
        <v>0.59594755661501786</v>
      </c>
      <c r="G4" s="42">
        <f t="shared" si="2"/>
        <v>1.045522029149154E-2</v>
      </c>
      <c r="H4" s="42">
        <f t="shared" si="3"/>
        <v>3.0778701138811941E-4</v>
      </c>
      <c r="I4" s="42">
        <f t="shared" si="3"/>
        <v>0.35515349023540993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laboratorio'!X14</f>
        <v>440.7</v>
      </c>
      <c r="C5" s="37">
        <f>'Datos de laboratorio'!AA14</f>
        <v>0.85400000000000031</v>
      </c>
      <c r="D5" s="5">
        <v>1</v>
      </c>
      <c r="E5" s="47">
        <f t="shared" si="0"/>
        <v>2.269117313365101E-3</v>
      </c>
      <c r="F5" s="42">
        <f t="shared" si="1"/>
        <v>1.1709601873536295</v>
      </c>
      <c r="G5" s="5">
        <f t="shared" si="2"/>
        <v>2.6570460343853632E-3</v>
      </c>
      <c r="H5" s="5">
        <f t="shared" si="3"/>
        <v>5.1488933818132537E-6</v>
      </c>
      <c r="I5" s="5">
        <f t="shared" si="3"/>
        <v>1.3711477603672471</v>
      </c>
      <c r="S5">
        <f t="shared" ref="S5:S10" si="4">B3</f>
        <v>9.9999999999999995E-7</v>
      </c>
      <c r="T5" s="26">
        <f t="shared" ref="T5:T10" si="5">(($F$19*$F$20)*S5)/(1+$F$20*S5)</f>
        <v>2.9072633650261231E-7</v>
      </c>
    </row>
    <row r="6" spans="1:20" x14ac:dyDescent="0.3">
      <c r="A6" s="41">
        <v>3</v>
      </c>
      <c r="B6" s="26">
        <f>'Datos de laboratorio'!X15</f>
        <v>713.2</v>
      </c>
      <c r="C6" s="37">
        <f>'Datos de laboratorio'!AA15</f>
        <v>4.3609999999999989</v>
      </c>
      <c r="D6" s="5">
        <v>1</v>
      </c>
      <c r="E6" s="47">
        <f t="shared" si="0"/>
        <v>1.4021312394840156E-3</v>
      </c>
      <c r="F6" s="42">
        <f t="shared" si="1"/>
        <v>0.22930520522815873</v>
      </c>
      <c r="G6" s="5">
        <f t="shared" si="2"/>
        <v>3.2151599162669474E-4</v>
      </c>
      <c r="H6" s="5">
        <f t="shared" si="3"/>
        <v>1.9659720127369818E-6</v>
      </c>
      <c r="I6" s="5">
        <f t="shared" si="3"/>
        <v>5.2580877144727992E-2</v>
      </c>
      <c r="S6" s="26">
        <f t="shared" si="4"/>
        <v>57</v>
      </c>
      <c r="T6" s="26">
        <f t="shared" si="5"/>
        <v>1.5591237994147977</v>
      </c>
    </row>
    <row r="7" spans="1:20" x14ac:dyDescent="0.3">
      <c r="A7" s="41">
        <v>4</v>
      </c>
      <c r="B7" s="26">
        <f>'Datos de laboratorio'!X16</f>
        <v>2002.7</v>
      </c>
      <c r="C7" s="37">
        <f>'Datos de laboratorio'!AA16</f>
        <v>1.6099999999999977</v>
      </c>
      <c r="D7" s="5">
        <v>1</v>
      </c>
      <c r="E7" s="47">
        <f t="shared" si="0"/>
        <v>4.9932591002147106E-4</v>
      </c>
      <c r="F7" s="42">
        <f t="shared" si="1"/>
        <v>0.6211180124223612</v>
      </c>
      <c r="G7" s="5">
        <f t="shared" si="2"/>
        <v>3.1014031678352284E-4</v>
      </c>
      <c r="H7" s="5">
        <f t="shared" si="3"/>
        <v>2.4932636441877019E-7</v>
      </c>
      <c r="I7" s="5">
        <f t="shared" si="3"/>
        <v>0.38578758535550445</v>
      </c>
      <c r="S7" s="26">
        <f t="shared" si="4"/>
        <v>440.7</v>
      </c>
      <c r="T7" s="26">
        <f t="shared" si="5"/>
        <v>1.6982370003727345</v>
      </c>
    </row>
    <row r="8" spans="1:20" ht="15" thickBot="1" x14ac:dyDescent="0.35">
      <c r="A8" s="41">
        <v>5</v>
      </c>
      <c r="B8" s="26">
        <f>'Datos de laboratorio'!X17</f>
        <v>5088.7</v>
      </c>
      <c r="C8" s="37">
        <f>'Datos de laboratorio'!AA17</f>
        <v>2.7530000000000019</v>
      </c>
      <c r="D8" s="48">
        <v>1</v>
      </c>
      <c r="E8" s="49">
        <f t="shared" si="0"/>
        <v>1.96513844400338E-4</v>
      </c>
      <c r="F8" s="50">
        <f t="shared" si="1"/>
        <v>0.3632401017072282</v>
      </c>
      <c r="G8" s="48">
        <f t="shared" si="2"/>
        <v>7.1381708826857195E-5</v>
      </c>
      <c r="H8" s="48">
        <f t="shared" si="3"/>
        <v>3.8617691041000259E-8</v>
      </c>
      <c r="I8" s="48">
        <f t="shared" si="3"/>
        <v>0.13194337148827748</v>
      </c>
      <c r="S8" s="26">
        <f t="shared" si="4"/>
        <v>713.2</v>
      </c>
      <c r="T8" s="26">
        <f t="shared" si="5"/>
        <v>1.706881289595408</v>
      </c>
    </row>
    <row r="9" spans="1:20" ht="15" thickBot="1" x14ac:dyDescent="0.35">
      <c r="D9" s="51" t="s">
        <v>30</v>
      </c>
      <c r="E9" s="52">
        <f>SUM(E3:E8)</f>
        <v>2.1910947956393732E-2</v>
      </c>
      <c r="F9" s="53">
        <f>SUM(F3:F8)</f>
        <v>2.9805710633263955</v>
      </c>
      <c r="G9" s="53">
        <f>SUM(G3:G8)</f>
        <v>1.3815304343113979E-2</v>
      </c>
      <c r="H9" s="53">
        <f>SUM(H3:H8)</f>
        <v>3.1518982083812941E-4</v>
      </c>
      <c r="I9" s="54">
        <f>SUM(I3:I8)</f>
        <v>2.2966130845911672</v>
      </c>
      <c r="S9" s="26">
        <f t="shared" si="4"/>
        <v>2002.7</v>
      </c>
      <c r="T9" s="26">
        <f t="shared" si="5"/>
        <v>1.7159767435687467</v>
      </c>
    </row>
    <row r="10" spans="1:20" ht="15" thickBot="1" x14ac:dyDescent="0.35">
      <c r="S10" s="26">
        <f t="shared" si="4"/>
        <v>5088.7</v>
      </c>
      <c r="T10" s="26">
        <f t="shared" si="5"/>
        <v>1.7190492191197178</v>
      </c>
    </row>
    <row r="11" spans="1:20" ht="16.2" thickBot="1" x14ac:dyDescent="0.4">
      <c r="A11" s="43" t="s">
        <v>38</v>
      </c>
      <c r="B11" s="46">
        <v>5</v>
      </c>
      <c r="E11" s="5" t="s">
        <v>33</v>
      </c>
      <c r="F11" s="5">
        <f>E9/B11</f>
        <v>4.3821895912787463E-3</v>
      </c>
      <c r="H11" s="40" t="s">
        <v>35</v>
      </c>
      <c r="I11" s="5">
        <f>SQRT((I9/B11)-(F12^2))</f>
        <v>0.32244451053892653</v>
      </c>
    </row>
    <row r="12" spans="1:20" ht="15.6" x14ac:dyDescent="0.35">
      <c r="E12" s="5" t="s">
        <v>34</v>
      </c>
      <c r="F12" s="5">
        <f>F9/B11</f>
        <v>0.59611421266527909</v>
      </c>
      <c r="H12" s="40" t="s">
        <v>36</v>
      </c>
      <c r="I12" s="5">
        <f>SQRT(F14)</f>
        <v>6.6207536243024553E-3</v>
      </c>
      <c r="T12" t="s">
        <v>47</v>
      </c>
    </row>
    <row r="13" spans="1:20" ht="15.6" x14ac:dyDescent="0.35">
      <c r="E13" s="40" t="s">
        <v>31</v>
      </c>
      <c r="F13" s="5">
        <f>(G9/B11)-(F11*F12)</f>
        <v>1.5077537066768461E-4</v>
      </c>
      <c r="H13" s="55" t="s">
        <v>37</v>
      </c>
      <c r="I13" s="56">
        <f>F13/(I12*I11)</f>
        <v>7.0626549683440148E-2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4.3834378553714092E-5</v>
      </c>
      <c r="H14" s="66" t="s">
        <v>73</v>
      </c>
      <c r="I14" s="67">
        <f>I13^2</f>
        <v>4.9881095201874401E-3</v>
      </c>
      <c r="S14" s="5">
        <f t="shared" si="6"/>
        <v>1</v>
      </c>
      <c r="T14" s="5">
        <f t="shared" si="7"/>
        <v>7.0843981278428014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98.856791612732309</v>
      </c>
    </row>
    <row r="16" spans="1:20" ht="16.2" thickBot="1" x14ac:dyDescent="0.4">
      <c r="E16" s="5" t="s">
        <v>46</v>
      </c>
      <c r="F16" s="5">
        <f>(F13/F14)</f>
        <v>3.4396602767603146</v>
      </c>
      <c r="H16" s="35" t="s">
        <v>25</v>
      </c>
      <c r="I16" s="36" t="s">
        <v>42</v>
      </c>
      <c r="S16" s="5">
        <f>D6</f>
        <v>1</v>
      </c>
      <c r="T16" s="5">
        <f t="shared" si="7"/>
        <v>60.860323558922069</v>
      </c>
    </row>
    <row r="17" spans="1:20" ht="15.6" x14ac:dyDescent="0.35">
      <c r="E17" s="5" t="s">
        <v>40</v>
      </c>
      <c r="F17" s="5">
        <f>(F12-(F16*F11))</f>
        <v>0.58104096920292503</v>
      </c>
      <c r="H17" s="26">
        <f t="shared" ref="H17:H22" si="8">E3</f>
        <v>0</v>
      </c>
      <c r="I17" s="26">
        <f t="shared" ref="I17:I22" si="9">$F$16*H17+$F$17</f>
        <v>0.58104096920292503</v>
      </c>
      <c r="S17" s="5">
        <f>D7</f>
        <v>1</v>
      </c>
      <c r="T17" s="5">
        <f t="shared" si="7"/>
        <v>6.5824064328415686</v>
      </c>
    </row>
    <row r="18" spans="1:20" x14ac:dyDescent="0.3">
      <c r="H18" s="26">
        <f t="shared" si="8"/>
        <v>1.7543859649122806E-2</v>
      </c>
      <c r="I18" s="26">
        <f t="shared" si="9"/>
        <v>0.6413858863390709</v>
      </c>
      <c r="S18" s="5">
        <f>D8</f>
        <v>1</v>
      </c>
      <c r="T18" s="5">
        <f t="shared" si="7"/>
        <v>37.557238680722243</v>
      </c>
    </row>
    <row r="19" spans="1:20" ht="15.6" x14ac:dyDescent="0.35">
      <c r="E19" s="5" t="s">
        <v>44</v>
      </c>
      <c r="F19" s="5">
        <f>1/F17</f>
        <v>1.7210490361321769</v>
      </c>
      <c r="H19" s="26">
        <f t="shared" si="8"/>
        <v>2.269117313365101E-3</v>
      </c>
      <c r="I19" s="26">
        <f t="shared" si="9"/>
        <v>0.58884596188901606</v>
      </c>
      <c r="S19" s="56" t="s">
        <v>48</v>
      </c>
      <c r="T19" s="56">
        <f>SUM(T13:T18)/B11</f>
        <v>42.188231682612198</v>
      </c>
    </row>
    <row r="20" spans="1:20" ht="15.6" x14ac:dyDescent="0.35">
      <c r="E20" s="5" t="s">
        <v>45</v>
      </c>
      <c r="F20" s="5">
        <f>1/(F19*F16)</f>
        <v>0.16892394086958654</v>
      </c>
      <c r="H20" s="26">
        <f t="shared" si="8"/>
        <v>1.4021312394840156E-3</v>
      </c>
      <c r="I20" s="26">
        <f t="shared" si="9"/>
        <v>0.58586382433018291</v>
      </c>
    </row>
    <row r="21" spans="1:20" x14ac:dyDescent="0.3">
      <c r="H21" s="26">
        <f t="shared" si="8"/>
        <v>4.9932591002147106E-4</v>
      </c>
      <c r="I21" s="26">
        <f t="shared" si="9"/>
        <v>0.58275848070078307</v>
      </c>
    </row>
    <row r="22" spans="1:20" x14ac:dyDescent="0.3">
      <c r="H22" s="26">
        <f t="shared" si="8"/>
        <v>1.96513844400338E-4</v>
      </c>
      <c r="I22" s="26">
        <f t="shared" si="9"/>
        <v>0.58171691006734227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3</v>
      </c>
      <c r="B26" s="72" t="str">
        <f>B1</f>
        <v>sal=0,2 dur=5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57</v>
      </c>
      <c r="C29" s="26">
        <f t="shared" si="14"/>
        <v>1.6779999999999999</v>
      </c>
      <c r="D29" s="61">
        <v>1</v>
      </c>
      <c r="E29" s="47">
        <f t="shared" si="10"/>
        <v>1.7543859649122806E-2</v>
      </c>
      <c r="F29" s="42">
        <f t="shared" si="11"/>
        <v>0.59594755661501786</v>
      </c>
      <c r="G29" s="42">
        <f t="shared" si="12"/>
        <v>1.045522029149154E-2</v>
      </c>
      <c r="H29" s="42">
        <f t="shared" si="13"/>
        <v>3.0778701138811941E-4</v>
      </c>
      <c r="I29" s="42">
        <f t="shared" si="13"/>
        <v>0.35515349023540993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440.7</v>
      </c>
      <c r="C30" s="26">
        <f t="shared" si="14"/>
        <v>0.85400000000000031</v>
      </c>
      <c r="D30" s="5">
        <v>1</v>
      </c>
      <c r="E30" s="47">
        <f t="shared" si="10"/>
        <v>2.269117313365101E-3</v>
      </c>
      <c r="F30" s="42">
        <f t="shared" si="11"/>
        <v>1.1709601873536295</v>
      </c>
      <c r="G30" s="5">
        <f t="shared" si="12"/>
        <v>2.6570460343853632E-3</v>
      </c>
      <c r="H30" s="5">
        <f t="shared" si="13"/>
        <v>5.1488933818132537E-6</v>
      </c>
      <c r="I30" s="5">
        <f t="shared" si="13"/>
        <v>1.3711477603672471</v>
      </c>
      <c r="S30" s="26">
        <f t="shared" ref="S30:S35" si="15">B28</f>
        <v>9.9999999999999995E-7</v>
      </c>
      <c r="T30" s="63">
        <f t="shared" ref="T30:T35" si="16">(($F$44*$F$45)*S30)/(1+$F$45*S30)</f>
        <v>1.0000000000000008E-6</v>
      </c>
    </row>
    <row r="31" spans="1:20" x14ac:dyDescent="0.3">
      <c r="A31" s="41">
        <v>3</v>
      </c>
      <c r="B31" s="26">
        <f t="shared" si="14"/>
        <v>713.2</v>
      </c>
      <c r="C31" s="26">
        <f t="shared" si="14"/>
        <v>4.3609999999999989</v>
      </c>
      <c r="D31" s="5">
        <v>0</v>
      </c>
      <c r="E31" s="47">
        <f t="shared" si="10"/>
        <v>0</v>
      </c>
      <c r="F31" s="42">
        <f t="shared" si="11"/>
        <v>0</v>
      </c>
      <c r="G31" s="5">
        <f t="shared" si="12"/>
        <v>0</v>
      </c>
      <c r="H31" s="5">
        <f t="shared" si="13"/>
        <v>0</v>
      </c>
      <c r="I31" s="5">
        <f t="shared" si="13"/>
        <v>0</v>
      </c>
      <c r="S31" s="26">
        <f t="shared" si="15"/>
        <v>57</v>
      </c>
      <c r="T31" s="26">
        <f t="shared" si="16"/>
        <v>1.4280958487628426</v>
      </c>
    </row>
    <row r="32" spans="1:20" x14ac:dyDescent="0.3">
      <c r="A32" s="41">
        <v>4</v>
      </c>
      <c r="B32" s="26">
        <f t="shared" si="14"/>
        <v>2002.7</v>
      </c>
      <c r="C32" s="26">
        <f t="shared" si="14"/>
        <v>1.6099999999999977</v>
      </c>
      <c r="D32" s="5">
        <v>1</v>
      </c>
      <c r="E32" s="47">
        <f t="shared" si="10"/>
        <v>4.9932591002147106E-4</v>
      </c>
      <c r="F32" s="42">
        <f t="shared" si="11"/>
        <v>0.6211180124223612</v>
      </c>
      <c r="G32" s="5">
        <f t="shared" si="12"/>
        <v>3.1014031678352284E-4</v>
      </c>
      <c r="H32" s="5">
        <f t="shared" si="13"/>
        <v>2.4932636441877019E-7</v>
      </c>
      <c r="I32" s="5">
        <f t="shared" si="13"/>
        <v>0.38578758535550445</v>
      </c>
      <c r="S32" s="26">
        <f t="shared" si="15"/>
        <v>440.7</v>
      </c>
      <c r="T32" s="26">
        <f t="shared" si="16"/>
        <v>1.4599427198601194</v>
      </c>
    </row>
    <row r="33" spans="1:20" ht="15" thickBot="1" x14ac:dyDescent="0.35">
      <c r="A33" s="41">
        <v>5</v>
      </c>
      <c r="B33" s="26">
        <f t="shared" si="14"/>
        <v>5088.7</v>
      </c>
      <c r="C33" s="26">
        <f t="shared" si="14"/>
        <v>2.7530000000000019</v>
      </c>
      <c r="D33" s="48">
        <v>1</v>
      </c>
      <c r="E33" s="49">
        <f t="shared" si="10"/>
        <v>1.96513844400338E-4</v>
      </c>
      <c r="F33" s="50">
        <f t="shared" si="11"/>
        <v>0.3632401017072282</v>
      </c>
      <c r="G33" s="48">
        <f t="shared" si="12"/>
        <v>7.1381708826857195E-5</v>
      </c>
      <c r="H33" s="48">
        <f t="shared" si="13"/>
        <v>3.8617691041000259E-8</v>
      </c>
      <c r="I33" s="48">
        <f t="shared" si="13"/>
        <v>0.13194337148827748</v>
      </c>
      <c r="S33" s="26">
        <f t="shared" si="15"/>
        <v>713.2</v>
      </c>
      <c r="T33" s="26">
        <f t="shared" si="16"/>
        <v>1.4617929830752063</v>
      </c>
    </row>
    <row r="34" spans="1:20" ht="15" thickBot="1" x14ac:dyDescent="0.35">
      <c r="D34" s="51" t="s">
        <v>30</v>
      </c>
      <c r="E34" s="52">
        <f>SUM(E28:E33)</f>
        <v>1000000.0205088167</v>
      </c>
      <c r="F34" s="53">
        <f>SUM(F28:F33)</f>
        <v>1000002.7512658582</v>
      </c>
      <c r="G34" s="53">
        <f>SUM(G28:G33)</f>
        <v>1000000000000.0137</v>
      </c>
      <c r="H34" s="53">
        <f>SUM(H28:H33)</f>
        <v>1000000000000.0004</v>
      </c>
      <c r="I34" s="54">
        <f>SUM(I28:I33)</f>
        <v>1000000000002.2439</v>
      </c>
      <c r="S34" s="26">
        <f t="shared" si="15"/>
        <v>2002.7</v>
      </c>
      <c r="T34" s="26">
        <f t="shared" si="16"/>
        <v>1.4637246804349273</v>
      </c>
    </row>
    <row r="35" spans="1:20" ht="15" thickBot="1" x14ac:dyDescent="0.35">
      <c r="S35" s="26">
        <f t="shared" si="15"/>
        <v>5088.7</v>
      </c>
      <c r="T35" s="26">
        <f t="shared" si="16"/>
        <v>1.4643737394808685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200000.00410176333</v>
      </c>
      <c r="H36" s="40" t="s">
        <v>35</v>
      </c>
      <c r="I36" s="5">
        <f>SQRT((I34/B36)-(F37^2))</f>
        <v>399999.72487350204</v>
      </c>
    </row>
    <row r="37" spans="1:20" ht="15.6" x14ac:dyDescent="0.35">
      <c r="A37" s="60" t="s">
        <v>50</v>
      </c>
      <c r="E37" s="5" t="s">
        <v>34</v>
      </c>
      <c r="F37" s="5">
        <f>F34/B36</f>
        <v>200000.55025317165</v>
      </c>
      <c r="H37" s="40" t="s">
        <v>36</v>
      </c>
      <c r="I37" s="5">
        <f>SQRT(F39)</f>
        <v>399999.99794911838</v>
      </c>
      <c r="T37" t="s">
        <v>47</v>
      </c>
    </row>
    <row r="38" spans="1:20" ht="15.6" x14ac:dyDescent="0.35">
      <c r="A38" s="60">
        <v>3</v>
      </c>
      <c r="E38" s="40" t="s">
        <v>31</v>
      </c>
      <c r="F38" s="5">
        <f>(G34/B36)-(F36*F37)</f>
        <v>159999889129.01349</v>
      </c>
      <c r="H38" s="55" t="s">
        <v>37</v>
      </c>
      <c r="I38" s="56">
        <f>F38/(I37*I36)</f>
        <v>0.99999999999977973</v>
      </c>
      <c r="S38" s="5">
        <f t="shared" ref="S38:S43" si="17">D28</f>
        <v>1</v>
      </c>
      <c r="T38" s="5">
        <f t="shared" ref="T38:T43" si="18">(ABS((C28-T30)/C28)*100)*S38</f>
        <v>8.4703294725430034E-14</v>
      </c>
    </row>
    <row r="39" spans="1:20" ht="16.8" x14ac:dyDescent="0.35">
      <c r="E39" s="5" t="s">
        <v>32</v>
      </c>
      <c r="F39" s="5">
        <f>(H34/B36)-(F36^2)</f>
        <v>159999998359.29471</v>
      </c>
      <c r="S39" s="5">
        <f t="shared" si="17"/>
        <v>1</v>
      </c>
      <c r="T39" s="5">
        <f t="shared" si="18"/>
        <v>14.892976831773383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70.953480077297286</v>
      </c>
    </row>
    <row r="41" spans="1:20" ht="16.2" thickBot="1" x14ac:dyDescent="0.4">
      <c r="E41" s="5" t="s">
        <v>46</v>
      </c>
      <c r="F41" s="5">
        <f>(F38/F39)</f>
        <v>0.99999931731073533</v>
      </c>
      <c r="H41" s="35" t="s">
        <v>25</v>
      </c>
      <c r="I41" s="36" t="s">
        <v>42</v>
      </c>
      <c r="S41" s="5">
        <f t="shared" si="17"/>
        <v>0</v>
      </c>
      <c r="T41" s="5">
        <f t="shared" si="18"/>
        <v>0</v>
      </c>
    </row>
    <row r="42" spans="1:20" ht="15.6" x14ac:dyDescent="0.35">
      <c r="E42" s="5" t="s">
        <v>40</v>
      </c>
      <c r="F42" s="5">
        <f>(F37-(F41*F36))</f>
        <v>0.68268926403834485</v>
      </c>
      <c r="H42" s="26">
        <f>E29</f>
        <v>1.7543859649122806E-2</v>
      </c>
      <c r="I42" s="26">
        <f>$F$41*H42+$F$42</f>
        <v>0.70023311171046299</v>
      </c>
      <c r="S42" s="5">
        <f t="shared" si="17"/>
        <v>1</v>
      </c>
      <c r="T42" s="5">
        <f t="shared" si="18"/>
        <v>9.0854235754702213</v>
      </c>
    </row>
    <row r="43" spans="1:20" x14ac:dyDescent="0.3">
      <c r="H43" s="26">
        <f>E30</f>
        <v>2.269117313365101E-3</v>
      </c>
      <c r="I43" s="26">
        <f>$F$41*H43+$F$42</f>
        <v>0.68495837980260788</v>
      </c>
      <c r="S43" s="5">
        <f t="shared" si="17"/>
        <v>1</v>
      </c>
      <c r="T43" s="5">
        <f t="shared" si="18"/>
        <v>46.808073393357517</v>
      </c>
    </row>
    <row r="44" spans="1:20" ht="15.6" x14ac:dyDescent="0.35">
      <c r="E44" s="5" t="s">
        <v>44</v>
      </c>
      <c r="F44" s="5">
        <f>1/F42</f>
        <v>1.4647952629057788</v>
      </c>
      <c r="H44" s="26">
        <f>E31</f>
        <v>0</v>
      </c>
      <c r="I44" s="26">
        <f>$F$41*H44+$F$42</f>
        <v>0.68268926403834485</v>
      </c>
      <c r="S44" s="56" t="s">
        <v>48</v>
      </c>
      <c r="T44" s="56">
        <f>SUM(T38:T43)/B36</f>
        <v>28.347990775579696</v>
      </c>
    </row>
    <row r="45" spans="1:20" ht="15.6" x14ac:dyDescent="0.35">
      <c r="E45" s="5" t="s">
        <v>45</v>
      </c>
      <c r="F45" s="5">
        <f>1/(F44*F41)</f>
        <v>0.68268973010329481</v>
      </c>
      <c r="H45" s="26">
        <f>E32</f>
        <v>4.9932591002147106E-4</v>
      </c>
      <c r="I45" s="26">
        <f>$F$41*H45+$F$42</f>
        <v>0.68318858960748186</v>
      </c>
    </row>
    <row r="46" spans="1:20" x14ac:dyDescent="0.3">
      <c r="H46" s="26">
        <f>E33</f>
        <v>1.96513844400338E-4</v>
      </c>
      <c r="I46" s="26">
        <f>$F$41*H46+$F$42</f>
        <v>0.68288577774858727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6"/>
  <sheetViews>
    <sheetView zoomScale="68" zoomScaleNormal="68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4</v>
      </c>
      <c r="B1" s="72" t="s">
        <v>54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laboratorio'!X18</f>
        <v>6</v>
      </c>
      <c r="C4" s="37">
        <f>'Datos de laboratorio'!AA18</f>
        <v>1.877</v>
      </c>
      <c r="D4" s="5">
        <v>1</v>
      </c>
      <c r="E4" s="47">
        <f t="shared" si="0"/>
        <v>0.16666666666666666</v>
      </c>
      <c r="F4" s="42">
        <f t="shared" si="1"/>
        <v>0.53276505061267976</v>
      </c>
      <c r="G4" s="42">
        <f t="shared" si="2"/>
        <v>8.8794175102113293E-2</v>
      </c>
      <c r="H4" s="42">
        <f t="shared" si="3"/>
        <v>2.7777777777777776E-2</v>
      </c>
      <c r="I4" s="42">
        <f t="shared" si="3"/>
        <v>0.28383859915433124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laboratorio'!X19</f>
        <v>355.2</v>
      </c>
      <c r="C5" s="37">
        <f>'Datos de laboratorio'!AA19</f>
        <v>1.5529999999999999</v>
      </c>
      <c r="D5" s="5">
        <v>1</v>
      </c>
      <c r="E5" s="47">
        <f t="shared" si="0"/>
        <v>2.8153153153153156E-3</v>
      </c>
      <c r="F5" s="42">
        <f t="shared" si="1"/>
        <v>0.64391500321957507</v>
      </c>
      <c r="G5" s="5">
        <f t="shared" si="2"/>
        <v>1.8128237703253804E-3</v>
      </c>
      <c r="H5" s="5">
        <f t="shared" si="3"/>
        <v>7.9260003246489754E-6</v>
      </c>
      <c r="I5" s="5">
        <f t="shared" si="3"/>
        <v>0.41462653137126537</v>
      </c>
      <c r="S5">
        <f t="shared" ref="S5:S10" si="4">B3</f>
        <v>9.9999999999999995E-7</v>
      </c>
      <c r="T5" s="26">
        <f t="shared" ref="T5:T10" si="5">(($F$19*$F$20)*S5)/(1+$F$20*S5)</f>
        <v>-5.6787021066957153E-7</v>
      </c>
    </row>
    <row r="6" spans="1:20" x14ac:dyDescent="0.3">
      <c r="A6" s="41">
        <v>3</v>
      </c>
      <c r="B6" s="26">
        <f>'Datos de laboratorio'!X20</f>
        <v>762.45</v>
      </c>
      <c r="C6" s="37">
        <f>'Datos de laboratorio'!AA20</f>
        <v>0.58949999999999936</v>
      </c>
      <c r="D6" s="5">
        <v>1</v>
      </c>
      <c r="E6" s="47">
        <f t="shared" si="0"/>
        <v>1.3115614138632041E-3</v>
      </c>
      <c r="F6" s="42">
        <f t="shared" si="1"/>
        <v>1.6963528413910112</v>
      </c>
      <c r="G6" s="5">
        <f t="shared" si="2"/>
        <v>2.2248709310656581E-3</v>
      </c>
      <c r="H6" s="5">
        <f t="shared" si="3"/>
        <v>1.7201933423348468E-6</v>
      </c>
      <c r="I6" s="5">
        <f t="shared" si="3"/>
        <v>2.8776129624953573</v>
      </c>
      <c r="S6" s="26">
        <f t="shared" si="4"/>
        <v>6</v>
      </c>
      <c r="T6" s="26">
        <f t="shared" si="5"/>
        <v>1.8668342814941365</v>
      </c>
    </row>
    <row r="7" spans="1:20" x14ac:dyDescent="0.3">
      <c r="A7" s="41">
        <v>4</v>
      </c>
      <c r="B7" s="26">
        <f>'Datos de laboratorio'!X21</f>
        <v>1697.2</v>
      </c>
      <c r="C7" s="37">
        <f>'Datos de laboratorio'!AA21</f>
        <v>1.2</v>
      </c>
      <c r="D7" s="5">
        <v>1</v>
      </c>
      <c r="E7" s="47">
        <f t="shared" si="0"/>
        <v>5.8920575064812632E-4</v>
      </c>
      <c r="F7" s="42">
        <f t="shared" si="1"/>
        <v>0.83333333333333337</v>
      </c>
      <c r="G7" s="5">
        <f t="shared" si="2"/>
        <v>4.9100479220677193E-4</v>
      </c>
      <c r="H7" s="5">
        <f t="shared" si="3"/>
        <v>3.4716341659682201E-7</v>
      </c>
      <c r="I7" s="5">
        <f t="shared" si="3"/>
        <v>0.69444444444444453</v>
      </c>
      <c r="S7" s="26">
        <f t="shared" si="4"/>
        <v>355.2</v>
      </c>
      <c r="T7" s="26">
        <f t="shared" si="5"/>
        <v>1.213293411741438</v>
      </c>
    </row>
    <row r="8" spans="1:20" ht="15" thickBot="1" x14ac:dyDescent="0.35">
      <c r="A8" s="41">
        <v>5</v>
      </c>
      <c r="B8" s="26">
        <f>'Datos de laboratorio'!X22</f>
        <v>4538</v>
      </c>
      <c r="C8" s="37">
        <f>'Datos de laboratorio'!AA22</f>
        <v>7.286000000000004</v>
      </c>
      <c r="D8" s="48">
        <v>1</v>
      </c>
      <c r="E8" s="49">
        <f t="shared" si="0"/>
        <v>2.2036139268400177E-4</v>
      </c>
      <c r="F8" s="50">
        <f t="shared" si="1"/>
        <v>0.13724951962668122</v>
      </c>
      <c r="G8" s="48">
        <f t="shared" si="2"/>
        <v>3.0244495290145709E-5</v>
      </c>
      <c r="H8" s="48">
        <f t="shared" si="3"/>
        <v>4.8559143385632827E-8</v>
      </c>
      <c r="I8" s="48">
        <f t="shared" si="3"/>
        <v>1.8837430637754754E-2</v>
      </c>
      <c r="S8" s="26">
        <f t="shared" si="4"/>
        <v>762.45</v>
      </c>
      <c r="T8" s="26">
        <f t="shared" si="5"/>
        <v>1.2094077368015059</v>
      </c>
    </row>
    <row r="9" spans="1:20" ht="15" thickBot="1" x14ac:dyDescent="0.35">
      <c r="D9" s="51" t="s">
        <v>30</v>
      </c>
      <c r="E9" s="52">
        <f>SUM(E3:E8)</f>
        <v>0.17160311053917732</v>
      </c>
      <c r="F9" s="53">
        <f>SUM(F3:F8)</f>
        <v>3.8436157481832809</v>
      </c>
      <c r="G9" s="53">
        <f>SUM(G3:G8)</f>
        <v>9.3353119091001246E-2</v>
      </c>
      <c r="H9" s="53">
        <f>SUM(H3:H8)</f>
        <v>2.7787819694004744E-2</v>
      </c>
      <c r="I9" s="54">
        <f>SUM(I3:I8)</f>
        <v>4.2893599681031525</v>
      </c>
      <c r="S9" s="26">
        <f t="shared" si="4"/>
        <v>1697.2</v>
      </c>
      <c r="T9" s="26">
        <f t="shared" si="5"/>
        <v>1.2075500175978198</v>
      </c>
    </row>
    <row r="10" spans="1:20" ht="15" thickBot="1" x14ac:dyDescent="0.35">
      <c r="S10" s="26">
        <f t="shared" si="4"/>
        <v>4538</v>
      </c>
      <c r="T10" s="26">
        <f t="shared" si="5"/>
        <v>1.2066036409352876</v>
      </c>
    </row>
    <row r="11" spans="1:20" ht="16.2" thickBot="1" x14ac:dyDescent="0.4">
      <c r="A11" s="43" t="s">
        <v>38</v>
      </c>
      <c r="B11" s="46">
        <v>5</v>
      </c>
      <c r="E11" s="5" t="s">
        <v>33</v>
      </c>
      <c r="F11" s="5">
        <f>E9/B11</f>
        <v>3.4320622107835465E-2</v>
      </c>
      <c r="H11" s="40" t="s">
        <v>35</v>
      </c>
      <c r="I11" s="5">
        <f>SQRT((I9/B11)-(F12^2))</f>
        <v>0.5166591844081837</v>
      </c>
    </row>
    <row r="12" spans="1:20" ht="15.6" x14ac:dyDescent="0.35">
      <c r="E12" s="5" t="s">
        <v>34</v>
      </c>
      <c r="F12" s="5">
        <f>F9/B11</f>
        <v>0.76872314963665622</v>
      </c>
      <c r="H12" s="40" t="s">
        <v>36</v>
      </c>
      <c r="I12" s="5">
        <f>SQRT(F14)</f>
        <v>6.6178990902945212E-2</v>
      </c>
      <c r="T12" t="s">
        <v>47</v>
      </c>
    </row>
    <row r="13" spans="1:20" ht="15.6" x14ac:dyDescent="0.35">
      <c r="E13" s="40" t="s">
        <v>31</v>
      </c>
      <c r="F13" s="5">
        <f>(G9/B11)-(F11*F12)</f>
        <v>-7.7124329060244863E-3</v>
      </c>
      <c r="H13" s="55" t="s">
        <v>37</v>
      </c>
      <c r="I13" s="56">
        <f>F13/(I12*I11)</f>
        <v>-0.22556260633279687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4.379658836932105E-3</v>
      </c>
      <c r="H14" s="66" t="s">
        <v>73</v>
      </c>
      <c r="I14" s="67">
        <f>I13^2</f>
        <v>5.0878489375644292E-2</v>
      </c>
      <c r="S14" s="5">
        <f t="shared" si="6"/>
        <v>1</v>
      </c>
      <c r="T14" s="5">
        <f t="shared" si="7"/>
        <v>0.5415939534290598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21.874216887222275</v>
      </c>
    </row>
    <row r="16" spans="1:20" ht="16.2" thickBot="1" x14ac:dyDescent="0.4">
      <c r="E16" s="5" t="s">
        <v>46</v>
      </c>
      <c r="F16" s="5">
        <f>(F13/F14)</f>
        <v>-1.7609665942443469</v>
      </c>
      <c r="H16" s="35" t="s">
        <v>25</v>
      </c>
      <c r="I16" s="36" t="s">
        <v>42</v>
      </c>
      <c r="S16" s="5">
        <f>D6</f>
        <v>1</v>
      </c>
      <c r="T16" s="5">
        <f t="shared" si="7"/>
        <v>105.15822507235069</v>
      </c>
    </row>
    <row r="17" spans="1:20" ht="15.6" x14ac:dyDescent="0.35">
      <c r="E17" s="5" t="s">
        <v>40</v>
      </c>
      <c r="F17" s="5">
        <f>(F12-(F16*F11))</f>
        <v>0.82916061866223845</v>
      </c>
      <c r="H17" s="26">
        <f t="shared" ref="H17:H22" si="8">E3</f>
        <v>0</v>
      </c>
      <c r="I17" s="26">
        <f t="shared" ref="I17:I22" si="9">$F$16*H17+$F$17</f>
        <v>0.82916061866223845</v>
      </c>
      <c r="S17" s="5">
        <f>D7</f>
        <v>1</v>
      </c>
      <c r="T17" s="5">
        <f t="shared" si="7"/>
        <v>0.62916813315165121</v>
      </c>
    </row>
    <row r="18" spans="1:20" x14ac:dyDescent="0.3">
      <c r="H18" s="26">
        <f t="shared" si="8"/>
        <v>0.16666666666666666</v>
      </c>
      <c r="I18" s="26">
        <f t="shared" si="9"/>
        <v>0.53566618628818063</v>
      </c>
      <c r="S18" s="5">
        <f>D8</f>
        <v>1</v>
      </c>
      <c r="T18" s="5">
        <f t="shared" si="7"/>
        <v>83.43942299018272</v>
      </c>
    </row>
    <row r="19" spans="1:20" ht="15.6" x14ac:dyDescent="0.35">
      <c r="E19" s="5" t="s">
        <v>44</v>
      </c>
      <c r="F19" s="5">
        <f>1/F17</f>
        <v>1.2060389476931412</v>
      </c>
      <c r="H19" s="26">
        <f t="shared" si="8"/>
        <v>2.8153153153153156E-3</v>
      </c>
      <c r="I19" s="26">
        <f t="shared" si="9"/>
        <v>0.82420294243970371</v>
      </c>
      <c r="S19" s="56" t="s">
        <v>48</v>
      </c>
      <c r="T19" s="56">
        <f>SUM(T13:T18)/B11</f>
        <v>42.328525407267279</v>
      </c>
    </row>
    <row r="20" spans="1:20" ht="15.6" x14ac:dyDescent="0.35">
      <c r="E20" s="5" t="s">
        <v>45</v>
      </c>
      <c r="F20" s="5">
        <f>1/(F19*F16)</f>
        <v>-0.47085539349373168</v>
      </c>
      <c r="H20" s="26">
        <f t="shared" si="8"/>
        <v>1.3115614138632041E-3</v>
      </c>
      <c r="I20" s="26">
        <f t="shared" si="9"/>
        <v>0.82685100282612545</v>
      </c>
    </row>
    <row r="21" spans="1:20" x14ac:dyDescent="0.3">
      <c r="H21" s="26">
        <f t="shared" si="8"/>
        <v>5.8920575064812632E-4</v>
      </c>
      <c r="I21" s="26">
        <f t="shared" si="9"/>
        <v>0.82812304701821038</v>
      </c>
    </row>
    <row r="22" spans="1:20" x14ac:dyDescent="0.3">
      <c r="H22" s="26">
        <f t="shared" si="8"/>
        <v>2.2036139268400177E-4</v>
      </c>
      <c r="I22" s="26">
        <f t="shared" si="9"/>
        <v>0.82877256961106072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4</v>
      </c>
      <c r="B26" s="72" t="str">
        <f>B1</f>
        <v>sal=0,2 dur=10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6</v>
      </c>
      <c r="C29" s="26">
        <f t="shared" si="14"/>
        <v>1.877</v>
      </c>
      <c r="D29" s="61">
        <v>1</v>
      </c>
      <c r="E29" s="47">
        <f t="shared" si="10"/>
        <v>0.16666666666666666</v>
      </c>
      <c r="F29" s="42">
        <f t="shared" si="11"/>
        <v>0.53276505061267976</v>
      </c>
      <c r="G29" s="42">
        <f t="shared" si="12"/>
        <v>8.8794175102113293E-2</v>
      </c>
      <c r="H29" s="42">
        <f t="shared" si="13"/>
        <v>2.7777777777777776E-2</v>
      </c>
      <c r="I29" s="42">
        <f t="shared" si="13"/>
        <v>0.28383859915433124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355.2</v>
      </c>
      <c r="C30" s="26">
        <f t="shared" si="14"/>
        <v>1.5529999999999999</v>
      </c>
      <c r="D30" s="5">
        <v>1</v>
      </c>
      <c r="E30" s="47">
        <f t="shared" si="10"/>
        <v>2.8153153153153156E-3</v>
      </c>
      <c r="F30" s="42">
        <f t="shared" si="11"/>
        <v>0.64391500321957507</v>
      </c>
      <c r="G30" s="5">
        <f t="shared" si="12"/>
        <v>1.8128237703253804E-3</v>
      </c>
      <c r="H30" s="5">
        <f t="shared" si="13"/>
        <v>7.9260003246489754E-6</v>
      </c>
      <c r="I30" s="5">
        <f t="shared" si="13"/>
        <v>0.41462653137126537</v>
      </c>
      <c r="S30" s="26">
        <f t="shared" ref="S30:S35" si="15">B28</f>
        <v>9.9999999999999995E-7</v>
      </c>
      <c r="T30" s="63">
        <f t="shared" ref="T30:T35" si="16">(($F$44*$F$45)*S30)/(1+$F$45*S30)</f>
        <v>1.0000000000000209E-6</v>
      </c>
    </row>
    <row r="31" spans="1:20" x14ac:dyDescent="0.3">
      <c r="A31" s="41">
        <v>3</v>
      </c>
      <c r="B31" s="26">
        <f t="shared" si="14"/>
        <v>762.45</v>
      </c>
      <c r="C31" s="26">
        <f t="shared" si="14"/>
        <v>0.58949999999999936</v>
      </c>
      <c r="D31" s="5">
        <v>0</v>
      </c>
      <c r="E31" s="47">
        <f t="shared" si="10"/>
        <v>0</v>
      </c>
      <c r="F31" s="42">
        <f t="shared" si="11"/>
        <v>0</v>
      </c>
      <c r="G31" s="5">
        <f t="shared" si="12"/>
        <v>0</v>
      </c>
      <c r="H31" s="5">
        <f t="shared" si="13"/>
        <v>0</v>
      </c>
      <c r="I31" s="5">
        <f t="shared" si="13"/>
        <v>0</v>
      </c>
      <c r="S31" s="26">
        <f t="shared" si="15"/>
        <v>6</v>
      </c>
      <c r="T31" s="26">
        <f t="shared" si="16"/>
        <v>1.5130665782457084</v>
      </c>
    </row>
    <row r="32" spans="1:20" x14ac:dyDescent="0.3">
      <c r="A32" s="41">
        <v>4</v>
      </c>
      <c r="B32" s="26">
        <f t="shared" si="14"/>
        <v>1697.2</v>
      </c>
      <c r="C32" s="26">
        <f t="shared" si="14"/>
        <v>1.2</v>
      </c>
      <c r="D32" s="5">
        <v>1</v>
      </c>
      <c r="E32" s="47">
        <f t="shared" si="10"/>
        <v>5.8920575064812632E-4</v>
      </c>
      <c r="F32" s="42">
        <f t="shared" si="11"/>
        <v>0.83333333333333337</v>
      </c>
      <c r="G32" s="5">
        <f t="shared" si="12"/>
        <v>4.9100479220677193E-4</v>
      </c>
      <c r="H32" s="5">
        <f t="shared" si="13"/>
        <v>3.4716341659682201E-7</v>
      </c>
      <c r="I32" s="5">
        <f t="shared" si="13"/>
        <v>0.69444444444444453</v>
      </c>
      <c r="S32" s="26">
        <f t="shared" si="15"/>
        <v>355.2</v>
      </c>
      <c r="T32" s="26">
        <f t="shared" si="16"/>
        <v>2.0118369258058628</v>
      </c>
    </row>
    <row r="33" spans="1:20" ht="15" thickBot="1" x14ac:dyDescent="0.35">
      <c r="A33" s="41">
        <v>5</v>
      </c>
      <c r="B33" s="26">
        <f t="shared" si="14"/>
        <v>4538</v>
      </c>
      <c r="C33" s="26">
        <f t="shared" si="14"/>
        <v>7.286000000000004</v>
      </c>
      <c r="D33" s="48">
        <v>1</v>
      </c>
      <c r="E33" s="49">
        <f t="shared" si="10"/>
        <v>2.2036139268400177E-4</v>
      </c>
      <c r="F33" s="50">
        <f t="shared" si="11"/>
        <v>0.13724951962668122</v>
      </c>
      <c r="G33" s="48">
        <f t="shared" si="12"/>
        <v>3.0244495290145709E-5</v>
      </c>
      <c r="H33" s="48">
        <f t="shared" si="13"/>
        <v>4.8559143385632827E-8</v>
      </c>
      <c r="I33" s="48">
        <f t="shared" si="13"/>
        <v>1.8837430637754754E-2</v>
      </c>
      <c r="S33" s="26">
        <f t="shared" si="15"/>
        <v>762.45</v>
      </c>
      <c r="T33" s="26">
        <f t="shared" si="16"/>
        <v>2.017941817558583</v>
      </c>
    </row>
    <row r="34" spans="1:20" ht="15" thickBot="1" x14ac:dyDescent="0.35">
      <c r="D34" s="51" t="s">
        <v>30</v>
      </c>
      <c r="E34" s="52">
        <f>SUM(E28:E33)</f>
        <v>1000000.1702915491</v>
      </c>
      <c r="F34" s="53">
        <f>SUM(F28:F33)</f>
        <v>1000002.1472629068</v>
      </c>
      <c r="G34" s="53">
        <f>SUM(G28:G33)</f>
        <v>1000000000000.0911</v>
      </c>
      <c r="H34" s="53">
        <f>SUM(H28:H33)</f>
        <v>1000000000000.0278</v>
      </c>
      <c r="I34" s="54">
        <f>SUM(I28:I33)</f>
        <v>1000000000001.4117</v>
      </c>
      <c r="S34" s="26">
        <f t="shared" si="15"/>
        <v>1697.2</v>
      </c>
      <c r="T34" s="26">
        <f t="shared" si="16"/>
        <v>2.0208876067758279</v>
      </c>
    </row>
    <row r="35" spans="1:20" ht="15" thickBot="1" x14ac:dyDescent="0.35">
      <c r="S35" s="26">
        <f t="shared" si="15"/>
        <v>4538</v>
      </c>
      <c r="T35" s="26">
        <f t="shared" si="16"/>
        <v>2.0223950851539705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200000.0340583098</v>
      </c>
      <c r="H36" s="40" t="s">
        <v>35</v>
      </c>
      <c r="I36" s="5">
        <f>SQRT((I34/B36)-(F37^2))</f>
        <v>399999.78527377406</v>
      </c>
    </row>
    <row r="37" spans="1:20" ht="15.6" x14ac:dyDescent="0.35">
      <c r="A37" s="60" t="s">
        <v>50</v>
      </c>
      <c r="E37" s="5" t="s">
        <v>34</v>
      </c>
      <c r="F37" s="5">
        <f>F34/B36</f>
        <v>200000.42945258136</v>
      </c>
      <c r="H37" s="40" t="s">
        <v>36</v>
      </c>
      <c r="I37" s="5">
        <f>SQRT(F39)</f>
        <v>399999.98297085025</v>
      </c>
      <c r="T37" t="s">
        <v>47</v>
      </c>
    </row>
    <row r="38" spans="1:20" ht="15.6" x14ac:dyDescent="0.35">
      <c r="A38" s="60">
        <v>3</v>
      </c>
      <c r="E38" s="40" t="s">
        <v>31</v>
      </c>
      <c r="F38" s="5">
        <f>(G34/B36)-(F36*F37)</f>
        <v>159999907297.82538</v>
      </c>
      <c r="H38" s="55" t="s">
        <v>37</v>
      </c>
      <c r="I38" s="56">
        <f>F38/(I37*I36)</f>
        <v>0.99999999999982492</v>
      </c>
      <c r="S38" s="5">
        <f t="shared" ref="S38:S43" si="17">D28</f>
        <v>1</v>
      </c>
      <c r="T38" s="5">
        <f t="shared" ref="T38:T43" si="18">(ABS((C28-T30)/C28)*100)*S38</f>
        <v>2.0964065444543933E-12</v>
      </c>
    </row>
    <row r="39" spans="1:20" ht="16.8" x14ac:dyDescent="0.35">
      <c r="E39" s="5" t="s">
        <v>32</v>
      </c>
      <c r="F39" s="5">
        <f>(H34/B36)-(F36^2)</f>
        <v>159999986376.68048</v>
      </c>
      <c r="S39" s="5">
        <f t="shared" si="17"/>
        <v>1</v>
      </c>
      <c r="T39" s="5">
        <f t="shared" si="18"/>
        <v>19.389100786057089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29.545198055754213</v>
      </c>
    </row>
    <row r="41" spans="1:20" ht="16.2" thickBot="1" x14ac:dyDescent="0.4">
      <c r="E41" s="5" t="s">
        <v>46</v>
      </c>
      <c r="F41" s="5">
        <f>(F38/F39)</f>
        <v>0.99999950575711349</v>
      </c>
      <c r="H41" s="35" t="s">
        <v>25</v>
      </c>
      <c r="I41" s="36" t="s">
        <v>42</v>
      </c>
      <c r="S41" s="5">
        <f t="shared" si="17"/>
        <v>0</v>
      </c>
      <c r="T41" s="5">
        <f t="shared" si="18"/>
        <v>0</v>
      </c>
    </row>
    <row r="42" spans="1:20" ht="15.6" x14ac:dyDescent="0.35">
      <c r="E42" s="5" t="s">
        <v>40</v>
      </c>
      <c r="F42" s="5">
        <f>(F37-(F41*F36))</f>
        <v>0.49424286567955278</v>
      </c>
      <c r="H42" s="26">
        <f>E29</f>
        <v>0.16666666666666666</v>
      </c>
      <c r="I42" s="26">
        <f>$F$41*H42+$F$42</f>
        <v>0.66090944997240508</v>
      </c>
      <c r="S42" s="5">
        <f t="shared" si="17"/>
        <v>1</v>
      </c>
      <c r="T42" s="5">
        <f t="shared" si="18"/>
        <v>68.407300564652331</v>
      </c>
    </row>
    <row r="43" spans="1:20" x14ac:dyDescent="0.3">
      <c r="H43" s="26">
        <f>E30</f>
        <v>2.8153153153153156E-3</v>
      </c>
      <c r="I43" s="26">
        <f>$F$41*H43+$F$42</f>
        <v>0.49705817960341853</v>
      </c>
      <c r="S43" s="5">
        <f t="shared" si="17"/>
        <v>1</v>
      </c>
      <c r="T43" s="5">
        <f t="shared" si="18"/>
        <v>72.242724606725645</v>
      </c>
    </row>
    <row r="44" spans="1:20" ht="15.6" x14ac:dyDescent="0.35">
      <c r="E44" s="5" t="s">
        <v>44</v>
      </c>
      <c r="F44" s="5">
        <f>1/F42</f>
        <v>2.0232967826962218</v>
      </c>
      <c r="H44" s="26">
        <f>E31</f>
        <v>0</v>
      </c>
      <c r="I44" s="26">
        <f>$F$41*H44+$F$42</f>
        <v>0.49424286567955278</v>
      </c>
      <c r="S44" s="56" t="s">
        <v>48</v>
      </c>
      <c r="T44" s="56">
        <f>SUM(T38:T43)/B36</f>
        <v>37.916864802638273</v>
      </c>
    </row>
    <row r="45" spans="1:20" ht="15.6" x14ac:dyDescent="0.35">
      <c r="E45" s="5" t="s">
        <v>45</v>
      </c>
      <c r="F45" s="5">
        <f>1/(F44*F41)</f>
        <v>0.49424310995569409</v>
      </c>
      <c r="H45" s="26">
        <f>E32</f>
        <v>5.8920575064812632E-4</v>
      </c>
      <c r="I45" s="26">
        <f>$F$41*H45+$F$42</f>
        <v>0.49483207113899014</v>
      </c>
    </row>
    <row r="46" spans="1:20" x14ac:dyDescent="0.3">
      <c r="H46" s="26">
        <f>E33</f>
        <v>2.2036139268400177E-4</v>
      </c>
      <c r="I46" s="26">
        <f>$F$41*H46+$F$42</f>
        <v>0.49446322696332473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5</v>
      </c>
      <c r="B1" s="72" t="s">
        <v>55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laboratorio'!X23</f>
        <v>111</v>
      </c>
      <c r="C4" s="37">
        <f>'Datos de laboratorio'!AA23</f>
        <v>1.036</v>
      </c>
      <c r="D4" s="5">
        <v>1</v>
      </c>
      <c r="E4" s="47">
        <f t="shared" si="0"/>
        <v>9.0090090090090089E-3</v>
      </c>
      <c r="F4" s="42">
        <f t="shared" si="1"/>
        <v>0.96525096525096521</v>
      </c>
      <c r="G4" s="42">
        <f t="shared" si="2"/>
        <v>8.695954641900587E-3</v>
      </c>
      <c r="H4" s="42">
        <f t="shared" si="3"/>
        <v>8.1162243324405485E-5</v>
      </c>
      <c r="I4" s="42">
        <f t="shared" si="3"/>
        <v>0.93170942591792005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laboratorio'!X24</f>
        <v>307.95</v>
      </c>
      <c r="C5" s="37">
        <f>'Datos de laboratorio'!AA24</f>
        <v>2.1545000000000001</v>
      </c>
      <c r="D5" s="5">
        <v>1</v>
      </c>
      <c r="E5" s="47">
        <f t="shared" si="0"/>
        <v>3.2472804026627698E-3</v>
      </c>
      <c r="F5" s="42">
        <f t="shared" si="1"/>
        <v>0.46414481318171269</v>
      </c>
      <c r="G5" s="5">
        <f t="shared" si="2"/>
        <v>1.507208355842548E-3</v>
      </c>
      <c r="H5" s="5">
        <f t="shared" si="3"/>
        <v>1.054483001351768E-5</v>
      </c>
      <c r="I5" s="5">
        <f t="shared" si="3"/>
        <v>0.21543040760348697</v>
      </c>
      <c r="S5">
        <f t="shared" ref="S5:S10" si="4">B3</f>
        <v>9.9999999999999995E-7</v>
      </c>
      <c r="T5" s="26">
        <f t="shared" ref="T5:T10" si="5">(($F$19*$F$20)*S5)/(1+$F$20*S5)</f>
        <v>1.2527401790420674E-8</v>
      </c>
    </row>
    <row r="6" spans="1:20" x14ac:dyDescent="0.3">
      <c r="A6" s="41">
        <v>3</v>
      </c>
      <c r="B6" s="26">
        <f>'Datos de laboratorio'!X25</f>
        <v>891.2</v>
      </c>
      <c r="C6" s="37">
        <f>'Datos de laboratorio'!AA25</f>
        <v>1.6729999999999996</v>
      </c>
      <c r="D6" s="5">
        <v>1</v>
      </c>
      <c r="E6" s="47">
        <f t="shared" si="0"/>
        <v>1.1220825852782765E-3</v>
      </c>
      <c r="F6" s="42">
        <f t="shared" si="1"/>
        <v>0.59772863120143471</v>
      </c>
      <c r="G6" s="5">
        <f t="shared" si="2"/>
        <v>6.7070088779335141E-4</v>
      </c>
      <c r="H6" s="5">
        <f t="shared" si="3"/>
        <v>1.2590693281847807E-6</v>
      </c>
      <c r="I6" s="5">
        <f t="shared" si="3"/>
        <v>0.35727951655794077</v>
      </c>
      <c r="S6" s="26">
        <f t="shared" si="4"/>
        <v>111</v>
      </c>
      <c r="T6" s="26">
        <f t="shared" si="5"/>
        <v>1.0302982886675935</v>
      </c>
    </row>
    <row r="7" spans="1:20" x14ac:dyDescent="0.3">
      <c r="A7" s="41">
        <v>4</v>
      </c>
      <c r="B7" s="26">
        <f>'Datos de laboratorio'!X26</f>
        <v>1644.3</v>
      </c>
      <c r="C7" s="37">
        <f>'Datos de laboratorio'!AA26</f>
        <v>5.3360000000000021</v>
      </c>
      <c r="D7" s="5">
        <v>1</v>
      </c>
      <c r="E7" s="47">
        <f t="shared" si="0"/>
        <v>6.0816152770175758E-4</v>
      </c>
      <c r="F7" s="42">
        <f t="shared" si="1"/>
        <v>0.18740629685157414</v>
      </c>
      <c r="G7" s="5">
        <f t="shared" si="2"/>
        <v>1.1397329979418241E-4</v>
      </c>
      <c r="H7" s="5">
        <f t="shared" si="3"/>
        <v>3.6986044377653564E-7</v>
      </c>
      <c r="I7" s="5">
        <f t="shared" si="3"/>
        <v>3.5121120099620332E-2</v>
      </c>
      <c r="S7" s="26">
        <f t="shared" si="4"/>
        <v>307.95</v>
      </c>
      <c r="T7" s="26">
        <f t="shared" si="5"/>
        <v>1.958239954761777</v>
      </c>
    </row>
    <row r="8" spans="1:20" ht="15" thickBot="1" x14ac:dyDescent="0.35">
      <c r="A8" s="41">
        <v>5</v>
      </c>
      <c r="B8" s="26">
        <f>'Datos de laboratorio'!X27</f>
        <v>4523.2</v>
      </c>
      <c r="C8" s="37">
        <f>'Datos de laboratorio'!AA27</f>
        <v>5.6550000000000002</v>
      </c>
      <c r="D8" s="48">
        <v>1</v>
      </c>
      <c r="E8" s="49">
        <f t="shared" si="0"/>
        <v>2.210824195259993E-4</v>
      </c>
      <c r="F8" s="50">
        <f t="shared" si="1"/>
        <v>0.17683465959328026</v>
      </c>
      <c r="G8" s="48">
        <f t="shared" si="2"/>
        <v>3.9095034398938861E-5</v>
      </c>
      <c r="H8" s="48">
        <f t="shared" si="3"/>
        <v>4.8877436223469958E-8</v>
      </c>
      <c r="I8" s="48">
        <f t="shared" si="3"/>
        <v>3.1270496833471308E-2</v>
      </c>
      <c r="S8" s="26">
        <f t="shared" si="4"/>
        <v>891.2</v>
      </c>
      <c r="T8" s="26">
        <f t="shared" si="5"/>
        <v>2.9323904544213257</v>
      </c>
    </row>
    <row r="9" spans="1:20" ht="15" thickBot="1" x14ac:dyDescent="0.35">
      <c r="D9" s="51" t="s">
        <v>30</v>
      </c>
      <c r="E9" s="52">
        <f>SUM(E3:E8)</f>
        <v>1.4207615944177814E-2</v>
      </c>
      <c r="F9" s="53">
        <f>SUM(F3:F8)</f>
        <v>2.3913653660789671</v>
      </c>
      <c r="G9" s="53">
        <f>SUM(G3:G8)</f>
        <v>1.1026932219729607E-2</v>
      </c>
      <c r="H9" s="53">
        <f>SUM(H3:H8)</f>
        <v>9.3384880546107965E-5</v>
      </c>
      <c r="I9" s="54">
        <f>SUM(I3:I8)</f>
        <v>1.5708109670124397</v>
      </c>
      <c r="S9" s="26">
        <f t="shared" si="4"/>
        <v>1644.3</v>
      </c>
      <c r="T9" s="26">
        <f t="shared" si="5"/>
        <v>3.3333894224450593</v>
      </c>
    </row>
    <row r="10" spans="1:20" ht="15" thickBot="1" x14ac:dyDescent="0.35">
      <c r="S10" s="26">
        <f t="shared" si="4"/>
        <v>4523.2</v>
      </c>
      <c r="T10" s="26">
        <f t="shared" si="5"/>
        <v>3.7161409716639939</v>
      </c>
    </row>
    <row r="11" spans="1:20" ht="16.2" thickBot="1" x14ac:dyDescent="0.4">
      <c r="A11" s="43" t="s">
        <v>38</v>
      </c>
      <c r="B11" s="46">
        <v>5</v>
      </c>
      <c r="E11" s="5" t="s">
        <v>33</v>
      </c>
      <c r="F11" s="5">
        <f>E9/B11</f>
        <v>2.841523188835563E-3</v>
      </c>
      <c r="H11" s="40" t="s">
        <v>35</v>
      </c>
      <c r="I11" s="5">
        <f>SQRT((I9/B11)-(F12^2))</f>
        <v>0.29226197296125994</v>
      </c>
    </row>
    <row r="12" spans="1:20" ht="15.6" x14ac:dyDescent="0.35">
      <c r="E12" s="5" t="s">
        <v>34</v>
      </c>
      <c r="F12" s="5">
        <f>F9/B11</f>
        <v>0.47827307321579343</v>
      </c>
      <c r="H12" s="40" t="s">
        <v>36</v>
      </c>
      <c r="I12" s="5">
        <f>SQRT(F14)</f>
        <v>3.256182131965497E-3</v>
      </c>
      <c r="T12" t="s">
        <v>47</v>
      </c>
    </row>
    <row r="13" spans="1:20" ht="15.6" x14ac:dyDescent="0.35">
      <c r="E13" s="40" t="s">
        <v>31</v>
      </c>
      <c r="F13" s="5">
        <f>(G9/B11)-(F11*F12)</f>
        <v>8.4636241580759541E-4</v>
      </c>
      <c r="H13" s="55" t="s">
        <v>37</v>
      </c>
      <c r="I13" s="56">
        <f>F13/(I12*I11)</f>
        <v>0.88935544628350227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1.0602722076531368E-5</v>
      </c>
      <c r="H14" s="66" t="s">
        <v>73</v>
      </c>
      <c r="I14" s="67">
        <f>I13^2</f>
        <v>0.79095310983412748</v>
      </c>
      <c r="S14" s="5">
        <f t="shared" si="6"/>
        <v>1</v>
      </c>
      <c r="T14" s="5">
        <f>(ABS((C4-T6)/C4)*100)*S14</f>
        <v>0.55035823671877304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9.1093082032129509</v>
      </c>
    </row>
    <row r="16" spans="1:20" ht="16.2" thickBot="1" x14ac:dyDescent="0.4">
      <c r="E16" s="5" t="s">
        <v>46</v>
      </c>
      <c r="F16" s="5">
        <f>(F13/F14)</f>
        <v>79.825011888313028</v>
      </c>
      <c r="H16" s="35" t="s">
        <v>25</v>
      </c>
      <c r="I16" s="36" t="s">
        <v>42</v>
      </c>
      <c r="S16" s="5">
        <f>D6</f>
        <v>1</v>
      </c>
      <c r="T16" s="5">
        <f t="shared" si="7"/>
        <v>75.27737324694121</v>
      </c>
    </row>
    <row r="17" spans="1:20" ht="15.6" x14ac:dyDescent="0.35">
      <c r="E17" s="5" t="s">
        <v>40</v>
      </c>
      <c r="F17" s="5">
        <f>(F12-(F16*F11))</f>
        <v>0.25144845088607748</v>
      </c>
      <c r="H17" s="26">
        <f t="shared" ref="H17:H22" si="8">E3</f>
        <v>0</v>
      </c>
      <c r="I17" s="26">
        <f t="shared" ref="I17:I22" si="9">$F$16*H17+$F$17</f>
        <v>0.25144845088607748</v>
      </c>
      <c r="S17" s="5">
        <f>D7</f>
        <v>1</v>
      </c>
      <c r="T17" s="5">
        <f t="shared" si="7"/>
        <v>37.530183237536399</v>
      </c>
    </row>
    <row r="18" spans="1:20" x14ac:dyDescent="0.3">
      <c r="H18" s="26">
        <f t="shared" si="8"/>
        <v>9.0090090090090089E-3</v>
      </c>
      <c r="I18" s="26">
        <f t="shared" si="9"/>
        <v>0.97059270213214077</v>
      </c>
      <c r="S18" s="5">
        <f>D8</f>
        <v>1</v>
      </c>
      <c r="T18" s="5">
        <f t="shared" si="7"/>
        <v>34.285747627515583</v>
      </c>
    </row>
    <row r="19" spans="1:20" ht="15.6" x14ac:dyDescent="0.35">
      <c r="E19" s="5" t="s">
        <v>44</v>
      </c>
      <c r="F19" s="5">
        <f>1/F17</f>
        <v>3.9769582849928358</v>
      </c>
      <c r="H19" s="26">
        <f t="shared" si="8"/>
        <v>3.2472804026627698E-3</v>
      </c>
      <c r="I19" s="26">
        <f t="shared" si="9"/>
        <v>0.51066264763331892</v>
      </c>
      <c r="S19" s="56" t="s">
        <v>48</v>
      </c>
      <c r="T19" s="56">
        <f>SUM(T13:T18)/B11</f>
        <v>31.350594110384982</v>
      </c>
    </row>
    <row r="20" spans="1:20" ht="15.6" x14ac:dyDescent="0.35">
      <c r="E20" s="5" t="s">
        <v>45</v>
      </c>
      <c r="F20" s="5">
        <f>1/(F19*F16)</f>
        <v>3.1499957837512259E-3</v>
      </c>
      <c r="H20" s="26">
        <f t="shared" si="8"/>
        <v>1.1220825852782765E-3</v>
      </c>
      <c r="I20" s="26">
        <f t="shared" si="9"/>
        <v>0.34101870659558492</v>
      </c>
    </row>
    <row r="21" spans="1:20" x14ac:dyDescent="0.3">
      <c r="H21" s="26">
        <f t="shared" si="8"/>
        <v>6.0816152770175758E-4</v>
      </c>
      <c r="I21" s="26">
        <f t="shared" si="9"/>
        <v>0.29999495206488491</v>
      </c>
    </row>
    <row r="22" spans="1:20" x14ac:dyDescent="0.3">
      <c r="H22" s="26">
        <f t="shared" si="8"/>
        <v>2.210824195259993E-4</v>
      </c>
      <c r="I22" s="26">
        <f t="shared" si="9"/>
        <v>0.26909635765303741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5</v>
      </c>
      <c r="B26" s="72" t="str">
        <f>B1</f>
        <v>sal=0,5 dur=0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111</v>
      </c>
      <c r="C29" s="26">
        <f t="shared" si="14"/>
        <v>1.036</v>
      </c>
      <c r="D29" s="61">
        <v>1</v>
      </c>
      <c r="E29" s="47">
        <f t="shared" si="10"/>
        <v>9.0090090090090089E-3</v>
      </c>
      <c r="F29" s="42">
        <f t="shared" si="11"/>
        <v>0.96525096525096521</v>
      </c>
      <c r="G29" s="42">
        <f t="shared" si="12"/>
        <v>8.695954641900587E-3</v>
      </c>
      <c r="H29" s="42">
        <f t="shared" si="13"/>
        <v>8.1162243324405485E-5</v>
      </c>
      <c r="I29" s="42">
        <f t="shared" si="13"/>
        <v>0.93170942591792005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307.95</v>
      </c>
      <c r="C30" s="26">
        <f t="shared" si="14"/>
        <v>2.1545000000000001</v>
      </c>
      <c r="D30" s="5">
        <v>1</v>
      </c>
      <c r="E30" s="47">
        <f t="shared" si="10"/>
        <v>3.2472804026627698E-3</v>
      </c>
      <c r="F30" s="42">
        <f t="shared" si="11"/>
        <v>0.46414481318171269</v>
      </c>
      <c r="G30" s="5">
        <f t="shared" si="12"/>
        <v>1.507208355842548E-3</v>
      </c>
      <c r="H30" s="5">
        <f t="shared" si="13"/>
        <v>1.054483001351768E-5</v>
      </c>
      <c r="I30" s="5">
        <f t="shared" si="13"/>
        <v>0.21543040760348697</v>
      </c>
      <c r="S30" s="26">
        <f t="shared" ref="S30:S35" si="15">B28</f>
        <v>9.9999999999999995E-7</v>
      </c>
      <c r="T30" s="63">
        <f t="shared" ref="T30:T35" si="16">(($F$44*$F$45)*S30)/(1+$F$45*S30)</f>
        <v>9.9999999999999678E-7</v>
      </c>
    </row>
    <row r="31" spans="1:20" x14ac:dyDescent="0.3">
      <c r="A31" s="41">
        <v>3</v>
      </c>
      <c r="B31" s="26">
        <f t="shared" si="14"/>
        <v>891.2</v>
      </c>
      <c r="C31" s="26">
        <f t="shared" si="14"/>
        <v>1.6729999999999996</v>
      </c>
      <c r="D31" s="5">
        <v>1</v>
      </c>
      <c r="E31" s="47">
        <f t="shared" si="10"/>
        <v>1.1220825852782765E-3</v>
      </c>
      <c r="F31" s="42">
        <f t="shared" si="11"/>
        <v>0.59772863120143471</v>
      </c>
      <c r="G31" s="5">
        <f t="shared" si="12"/>
        <v>6.7070088779335141E-4</v>
      </c>
      <c r="H31" s="5">
        <f t="shared" si="13"/>
        <v>1.2590693281847807E-6</v>
      </c>
      <c r="I31" s="5">
        <f t="shared" si="13"/>
        <v>0.35727951655794077</v>
      </c>
      <c r="S31" s="26">
        <f t="shared" si="15"/>
        <v>111</v>
      </c>
      <c r="T31" s="26">
        <f t="shared" si="16"/>
        <v>1.788444702832213</v>
      </c>
    </row>
    <row r="32" spans="1:20" x14ac:dyDescent="0.3">
      <c r="A32" s="41">
        <v>4</v>
      </c>
      <c r="B32" s="26">
        <f t="shared" si="14"/>
        <v>1644.3</v>
      </c>
      <c r="C32" s="26">
        <f t="shared" si="14"/>
        <v>5.3360000000000021</v>
      </c>
      <c r="D32" s="5">
        <v>1</v>
      </c>
      <c r="E32" s="47">
        <f t="shared" si="10"/>
        <v>6.0816152770175758E-4</v>
      </c>
      <c r="F32" s="42">
        <f t="shared" si="11"/>
        <v>0.18740629685157414</v>
      </c>
      <c r="G32" s="5">
        <f t="shared" si="12"/>
        <v>1.1397329979418241E-4</v>
      </c>
      <c r="H32" s="5">
        <f t="shared" si="13"/>
        <v>3.6986044377653564E-7</v>
      </c>
      <c r="I32" s="5">
        <f t="shared" si="13"/>
        <v>3.5121120099620332E-2</v>
      </c>
      <c r="S32" s="26">
        <f t="shared" si="15"/>
        <v>307.95</v>
      </c>
      <c r="T32" s="26">
        <f t="shared" si="16"/>
        <v>1.8070656603275139</v>
      </c>
    </row>
    <row r="33" spans="1:20" ht="15" thickBot="1" x14ac:dyDescent="0.35">
      <c r="A33" s="41">
        <v>5</v>
      </c>
      <c r="B33" s="26">
        <f t="shared" si="14"/>
        <v>4523.2</v>
      </c>
      <c r="C33" s="26">
        <f t="shared" si="14"/>
        <v>5.6550000000000002</v>
      </c>
      <c r="D33" s="48">
        <v>0</v>
      </c>
      <c r="E33" s="49">
        <f t="shared" si="10"/>
        <v>0</v>
      </c>
      <c r="F33" s="50">
        <f t="shared" si="11"/>
        <v>0</v>
      </c>
      <c r="G33" s="48">
        <f t="shared" si="12"/>
        <v>0</v>
      </c>
      <c r="H33" s="48">
        <f t="shared" si="13"/>
        <v>0</v>
      </c>
      <c r="I33" s="48">
        <f t="shared" si="13"/>
        <v>0</v>
      </c>
      <c r="S33" s="26">
        <f t="shared" si="15"/>
        <v>891.2</v>
      </c>
      <c r="T33" s="26">
        <f t="shared" si="16"/>
        <v>1.8140322150155206</v>
      </c>
    </row>
    <row r="34" spans="1:20" ht="15" thickBot="1" x14ac:dyDescent="0.35">
      <c r="D34" s="51" t="s">
        <v>30</v>
      </c>
      <c r="E34" s="52">
        <f>SUM(E28:E33)</f>
        <v>1000000.0139865335</v>
      </c>
      <c r="F34" s="53">
        <f>SUM(F28:F33)</f>
        <v>1000002.2145307064</v>
      </c>
      <c r="G34" s="53">
        <f>SUM(G28:G33)</f>
        <v>1000000000000.0109</v>
      </c>
      <c r="H34" s="53">
        <f>SUM(H28:H33)</f>
        <v>1000000000000.0001</v>
      </c>
      <c r="I34" s="54">
        <f>SUM(I28:I33)</f>
        <v>1000000000001.5397</v>
      </c>
      <c r="S34" s="26">
        <f t="shared" si="15"/>
        <v>1644.3</v>
      </c>
      <c r="T34" s="26">
        <f t="shared" si="16"/>
        <v>1.8157249588194411</v>
      </c>
    </row>
    <row r="35" spans="1:20" ht="15" thickBot="1" x14ac:dyDescent="0.35">
      <c r="S35" s="26">
        <f t="shared" si="15"/>
        <v>4523.2</v>
      </c>
      <c r="T35" s="26">
        <f t="shared" si="16"/>
        <v>1.8170020001749916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200000.00279730669</v>
      </c>
      <c r="H36" s="40" t="s">
        <v>35</v>
      </c>
      <c r="I36" s="5">
        <f>SQRT((I34/B36)-(F37^2))</f>
        <v>399999.77854700777</v>
      </c>
    </row>
    <row r="37" spans="1:20" ht="15.6" x14ac:dyDescent="0.35">
      <c r="A37" s="60" t="s">
        <v>50</v>
      </c>
      <c r="E37" s="5" t="s">
        <v>34</v>
      </c>
      <c r="F37" s="5">
        <f>F34/B36</f>
        <v>200000.44290614128</v>
      </c>
      <c r="H37" s="40" t="s">
        <v>36</v>
      </c>
      <c r="I37" s="5">
        <f>SQRT(F39)</f>
        <v>399999.99860134668</v>
      </c>
      <c r="T37" t="s">
        <v>47</v>
      </c>
    </row>
    <row r="38" spans="1:20" ht="15.6" x14ac:dyDescent="0.35">
      <c r="A38" s="60">
        <v>5</v>
      </c>
      <c r="E38" s="40" t="s">
        <v>31</v>
      </c>
      <c r="F38" s="5">
        <f>(G34/B36)-(F36*F37)</f>
        <v>159999910859.31134</v>
      </c>
      <c r="H38" s="55" t="s">
        <v>37</v>
      </c>
      <c r="I38" s="56">
        <f>F38/(I37*I36)</f>
        <v>0.99999999999980771</v>
      </c>
      <c r="S38" s="5">
        <f t="shared" ref="S38:S43" si="17">D28</f>
        <v>1</v>
      </c>
      <c r="T38" s="5">
        <f t="shared" ref="T38:T43" si="18">(ABS((C28-T30)/C28)*100)*S38</f>
        <v>3.1763735522036263E-13</v>
      </c>
    </row>
    <row r="39" spans="1:20" ht="16.8" x14ac:dyDescent="0.35">
      <c r="E39" s="5" t="s">
        <v>32</v>
      </c>
      <c r="F39" s="5">
        <f>(H34/B36)-(F36^2)</f>
        <v>159999998881.07733</v>
      </c>
      <c r="S39" s="5">
        <f t="shared" si="17"/>
        <v>1</v>
      </c>
      <c r="T39" s="5">
        <f t="shared" si="18"/>
        <v>72.629797570676928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16.125984668019779</v>
      </c>
    </row>
    <row r="41" spans="1:20" ht="16.2" thickBot="1" x14ac:dyDescent="0.4">
      <c r="E41" s="5" t="s">
        <v>46</v>
      </c>
      <c r="F41" s="5">
        <f>(F38/F39)</f>
        <v>0.99999944986395872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8.4298992836533788</v>
      </c>
    </row>
    <row r="42" spans="1:20" ht="15.6" x14ac:dyDescent="0.35">
      <c r="E42" s="5" t="s">
        <v>40</v>
      </c>
      <c r="F42" s="5">
        <f>(F37-(F41*F36))</f>
        <v>0.55013604438863695</v>
      </c>
      <c r="H42" s="26">
        <f>E29</f>
        <v>9.0090090090090089E-3</v>
      </c>
      <c r="I42" s="26">
        <f>$F$41*H42+$F$42</f>
        <v>0.5591450484414654</v>
      </c>
      <c r="S42" s="5">
        <f t="shared" si="17"/>
        <v>1</v>
      </c>
      <c r="T42" s="5">
        <f t="shared" si="18"/>
        <v>65.972170936667169</v>
      </c>
    </row>
    <row r="43" spans="1:20" x14ac:dyDescent="0.3">
      <c r="H43" s="26">
        <f>E30</f>
        <v>3.2472804026627698E-3</v>
      </c>
      <c r="I43" s="26">
        <f>$F$41*H43+$F$42</f>
        <v>0.55338332300485371</v>
      </c>
      <c r="S43" s="5">
        <f t="shared" si="17"/>
        <v>0</v>
      </c>
      <c r="T43" s="5">
        <f t="shared" si="18"/>
        <v>0</v>
      </c>
    </row>
    <row r="44" spans="1:20" ht="15.6" x14ac:dyDescent="0.35">
      <c r="E44" s="5" t="s">
        <v>44</v>
      </c>
      <c r="F44" s="5">
        <f>1/F42</f>
        <v>1.8177321958812829</v>
      </c>
      <c r="H44" s="26">
        <f>E31</f>
        <v>1.1220825852782765E-3</v>
      </c>
      <c r="I44" s="26">
        <f>$F$41*H44+$F$42</f>
        <v>0.5512581263566172</v>
      </c>
      <c r="S44" s="56" t="s">
        <v>48</v>
      </c>
      <c r="T44" s="56">
        <f>SUM(T38:T43)/B36</f>
        <v>32.631570491803515</v>
      </c>
    </row>
    <row r="45" spans="1:20" ht="15.6" x14ac:dyDescent="0.35">
      <c r="E45" s="5" t="s">
        <v>45</v>
      </c>
      <c r="F45" s="5">
        <f>1/(F44*F41)</f>
        <v>0.55013634703846914</v>
      </c>
      <c r="H45" s="26">
        <f>E32</f>
        <v>6.0816152770175758E-4</v>
      </c>
      <c r="I45" s="26">
        <f>$F$41*H45+$F$42</f>
        <v>0.55074420558176718</v>
      </c>
    </row>
    <row r="46" spans="1:20" x14ac:dyDescent="0.3">
      <c r="H46" s="26">
        <f>E33</f>
        <v>0</v>
      </c>
      <c r="I46" s="26">
        <f>$F$41*H46+$F$42</f>
        <v>0.55013604438863695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6</v>
      </c>
      <c r="B1" s="72" t="s">
        <v>56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laboratorio'!X28</f>
        <v>150</v>
      </c>
      <c r="C4" s="37">
        <f>'Datos de laboratorio'!AA28</f>
        <v>0.31900000000000006</v>
      </c>
      <c r="D4" s="5">
        <v>1</v>
      </c>
      <c r="E4" s="47">
        <f t="shared" si="0"/>
        <v>6.6666666666666671E-3</v>
      </c>
      <c r="F4" s="42">
        <f>(1/C4)*D4</f>
        <v>3.1347962382445136</v>
      </c>
      <c r="G4" s="42">
        <f t="shared" si="2"/>
        <v>2.0898641588296758E-2</v>
      </c>
      <c r="H4" s="42">
        <f t="shared" si="3"/>
        <v>4.4444444444444453E-5</v>
      </c>
      <c r="I4" s="42">
        <f t="shared" si="3"/>
        <v>9.826947455311954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laboratorio'!X29</f>
        <v>510.3</v>
      </c>
      <c r="C5" s="37">
        <f>'Datos de laboratorio'!AA29</f>
        <v>0.55999999999999939</v>
      </c>
      <c r="D5" s="5">
        <v>1</v>
      </c>
      <c r="E5" s="47">
        <f t="shared" si="0"/>
        <v>1.9596315892612187E-3</v>
      </c>
      <c r="F5" s="42">
        <f t="shared" si="1"/>
        <v>1.7857142857142876</v>
      </c>
      <c r="G5" s="5">
        <f t="shared" si="2"/>
        <v>3.4993421236807513E-3</v>
      </c>
      <c r="H5" s="5">
        <f t="shared" si="3"/>
        <v>3.8401559656304495E-6</v>
      </c>
      <c r="I5" s="5">
        <f t="shared" si="3"/>
        <v>3.1887755102040884</v>
      </c>
      <c r="S5">
        <f t="shared" ref="S5:S10" si="4">B3</f>
        <v>9.9999999999999995E-7</v>
      </c>
      <c r="T5" s="26">
        <f t="shared" ref="T5:T10" si="5">(($F$19*$F$20)*S5)/(1+$F$20*S5)</f>
        <v>2.1191764517251859E-9</v>
      </c>
    </row>
    <row r="6" spans="1:20" x14ac:dyDescent="0.3">
      <c r="A6" s="41">
        <v>3</v>
      </c>
      <c r="B6" s="26">
        <f>'Datos de laboratorio'!X30</f>
        <v>827.5</v>
      </c>
      <c r="C6" s="37">
        <f>'Datos de laboratorio'!AA30</f>
        <v>2.3670000000000004</v>
      </c>
      <c r="D6" s="5">
        <v>1</v>
      </c>
      <c r="E6" s="47">
        <f t="shared" si="0"/>
        <v>1.2084592145015106E-3</v>
      </c>
      <c r="F6" s="42">
        <f t="shared" si="1"/>
        <v>0.42247570764681025</v>
      </c>
      <c r="G6" s="5">
        <f t="shared" si="2"/>
        <v>5.1054466180883412E-4</v>
      </c>
      <c r="H6" s="5">
        <f t="shared" si="3"/>
        <v>1.460373673113608E-6</v>
      </c>
      <c r="I6" s="5">
        <f t="shared" si="3"/>
        <v>0.17848572355167308</v>
      </c>
      <c r="S6" s="26">
        <f t="shared" si="4"/>
        <v>150</v>
      </c>
      <c r="T6" s="26">
        <f t="shared" si="5"/>
        <v>0.30487212884069947</v>
      </c>
    </row>
    <row r="7" spans="1:20" x14ac:dyDescent="0.3">
      <c r="A7" s="41">
        <v>4</v>
      </c>
      <c r="B7" s="26">
        <f>'Datos de laboratorio'!X31</f>
        <v>1834.7</v>
      </c>
      <c r="C7" s="37">
        <f>'Datos de laboratorio'!AA31</f>
        <v>4.3260000000000014</v>
      </c>
      <c r="D7" s="5">
        <v>1</v>
      </c>
      <c r="E7" s="47">
        <f t="shared" si="0"/>
        <v>5.4504823676895407E-4</v>
      </c>
      <c r="F7" s="42">
        <f t="shared" si="1"/>
        <v>0.23116042533518255</v>
      </c>
      <c r="G7" s="5">
        <f t="shared" si="2"/>
        <v>1.2599358223970271E-4</v>
      </c>
      <c r="H7" s="5">
        <f t="shared" si="3"/>
        <v>2.9707758040494583E-7</v>
      </c>
      <c r="I7" s="5">
        <f t="shared" si="3"/>
        <v>5.3435142241142507E-2</v>
      </c>
      <c r="S7" s="26">
        <f t="shared" si="4"/>
        <v>510.3</v>
      </c>
      <c r="T7" s="26">
        <f t="shared" si="5"/>
        <v>0.94437509821204435</v>
      </c>
    </row>
    <row r="8" spans="1:20" ht="15" thickBot="1" x14ac:dyDescent="0.35">
      <c r="A8" s="41">
        <v>5</v>
      </c>
      <c r="B8" s="26">
        <f>'Datos de laboratorio'!X32</f>
        <v>5018.8999999999996</v>
      </c>
      <c r="C8" s="37">
        <f>'Datos de laboratorio'!AA32</f>
        <v>11.255000000000001</v>
      </c>
      <c r="D8" s="48">
        <v>1</v>
      </c>
      <c r="E8" s="49">
        <f t="shared" si="0"/>
        <v>1.9924684691864753E-4</v>
      </c>
      <c r="F8" s="50">
        <f t="shared" si="1"/>
        <v>8.8849400266548195E-2</v>
      </c>
      <c r="G8" s="48">
        <f t="shared" si="2"/>
        <v>1.7702962853722569E-5</v>
      </c>
      <c r="H8" s="48">
        <f t="shared" si="3"/>
        <v>3.9699306007022964E-8</v>
      </c>
      <c r="I8" s="48">
        <f t="shared" si="3"/>
        <v>7.8942159277252937E-3</v>
      </c>
      <c r="S8" s="26">
        <f t="shared" si="4"/>
        <v>827.5</v>
      </c>
      <c r="T8" s="26">
        <f t="shared" si="5"/>
        <v>1.4195733804962161</v>
      </c>
    </row>
    <row r="9" spans="1:20" ht="15" thickBot="1" x14ac:dyDescent="0.35">
      <c r="D9" s="51" t="s">
        <v>30</v>
      </c>
      <c r="E9" s="52">
        <f>SUM(E3:E8)</f>
        <v>1.0579052554116999E-2</v>
      </c>
      <c r="F9" s="53">
        <f>SUM(F3:F8)</f>
        <v>5.6629960572073417</v>
      </c>
      <c r="G9" s="53">
        <f>SUM(G3:G8)</f>
        <v>2.5052224918879769E-2</v>
      </c>
      <c r="H9" s="53">
        <f>SUM(H3:H8)</f>
        <v>5.0081750969600473E-5</v>
      </c>
      <c r="I9" s="54">
        <f>SUM(I3:I8)</f>
        <v>13.255538047236584</v>
      </c>
      <c r="S9" s="26">
        <f t="shared" si="4"/>
        <v>1834.7</v>
      </c>
      <c r="T9" s="26">
        <f t="shared" si="5"/>
        <v>2.5550245337560558</v>
      </c>
    </row>
    <row r="10" spans="1:20" ht="15" thickBot="1" x14ac:dyDescent="0.35">
      <c r="S10" s="26">
        <f t="shared" si="4"/>
        <v>5018.8999999999996</v>
      </c>
      <c r="T10" s="26">
        <f t="shared" si="5"/>
        <v>4.3819592178920228</v>
      </c>
    </row>
    <row r="11" spans="1:20" ht="16.2" thickBot="1" x14ac:dyDescent="0.4">
      <c r="A11" s="43" t="s">
        <v>38</v>
      </c>
      <c r="B11" s="46">
        <v>5</v>
      </c>
      <c r="E11" s="5" t="s">
        <v>33</v>
      </c>
      <c r="F11" s="5">
        <f>E9/B11</f>
        <v>2.1158105108233997E-3</v>
      </c>
      <c r="H11" s="40" t="s">
        <v>35</v>
      </c>
      <c r="I11" s="5">
        <f>SQRT((I9/B11)-(F12^2))</f>
        <v>1.1697549468540327</v>
      </c>
    </row>
    <row r="12" spans="1:20" ht="15.6" x14ac:dyDescent="0.35">
      <c r="E12" s="5" t="s">
        <v>34</v>
      </c>
      <c r="F12" s="5">
        <f>F9/B11</f>
        <v>1.1325992114414682</v>
      </c>
      <c r="H12" s="40" t="s">
        <v>36</v>
      </c>
      <c r="I12" s="5">
        <f>SQRT(F14)</f>
        <v>2.3536558958797099E-3</v>
      </c>
      <c r="T12" t="s">
        <v>47</v>
      </c>
    </row>
    <row r="13" spans="1:20" ht="15.6" x14ac:dyDescent="0.35">
      <c r="E13" s="40" t="s">
        <v>31</v>
      </c>
      <c r="F13" s="5">
        <f>(G9/B11)-(F11*F12)</f>
        <v>2.6140796676578015E-3</v>
      </c>
      <c r="H13" s="55" t="s">
        <v>37</v>
      </c>
      <c r="I13" s="56">
        <f>F13/(I12*I11)</f>
        <v>0.94946937090045713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5.539696076209319E-6</v>
      </c>
      <c r="H14" s="66" t="s">
        <v>73</v>
      </c>
      <c r="I14" s="67">
        <f>I13^2</f>
        <v>0.90149208627810984</v>
      </c>
      <c r="S14" s="5">
        <f t="shared" si="6"/>
        <v>1</v>
      </c>
      <c r="T14" s="5">
        <f t="shared" si="7"/>
        <v>4.4287997364578633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68.638410395008108</v>
      </c>
    </row>
    <row r="16" spans="1:20" ht="16.2" thickBot="1" x14ac:dyDescent="0.4">
      <c r="E16" s="5" t="s">
        <v>46</v>
      </c>
      <c r="F16" s="5">
        <f>(F13/F14)</f>
        <v>471.88142304127149</v>
      </c>
      <c r="H16" s="35" t="s">
        <v>25</v>
      </c>
      <c r="I16" s="36" t="s">
        <v>42</v>
      </c>
      <c r="S16" s="5">
        <f>D6</f>
        <v>1</v>
      </c>
      <c r="T16" s="5">
        <f t="shared" si="7"/>
        <v>40.026473151828654</v>
      </c>
    </row>
    <row r="17" spans="1:20" ht="15.6" x14ac:dyDescent="0.35">
      <c r="E17" s="5" t="s">
        <v>40</v>
      </c>
      <c r="F17" s="5">
        <f>(F12-(F16*F11))</f>
        <v>0.13418753670844286</v>
      </c>
      <c r="H17" s="26">
        <f t="shared" ref="H17:H22" si="8">E3</f>
        <v>0</v>
      </c>
      <c r="I17" s="26">
        <f t="shared" ref="I17:I22" si="9">$F$16*H17+$F$17</f>
        <v>0.13418753670844286</v>
      </c>
      <c r="S17" s="5">
        <f>D7</f>
        <v>1</v>
      </c>
      <c r="T17" s="5">
        <f t="shared" si="7"/>
        <v>40.937944203512366</v>
      </c>
    </row>
    <row r="18" spans="1:20" x14ac:dyDescent="0.3">
      <c r="H18" s="26">
        <f t="shared" si="8"/>
        <v>6.6666666666666671E-3</v>
      </c>
      <c r="I18" s="26">
        <f t="shared" si="9"/>
        <v>3.2800636903169198</v>
      </c>
      <c r="S18" s="5">
        <f>D8</f>
        <v>1</v>
      </c>
      <c r="T18" s="5">
        <f t="shared" si="7"/>
        <v>61.066555149782118</v>
      </c>
    </row>
    <row r="19" spans="1:20" ht="15.6" x14ac:dyDescent="0.35">
      <c r="E19" s="5" t="s">
        <v>44</v>
      </c>
      <c r="F19" s="5">
        <f>1/F17</f>
        <v>7.4522569273535346</v>
      </c>
      <c r="H19" s="26">
        <f t="shared" si="8"/>
        <v>1.9596315892612187E-3</v>
      </c>
      <c r="I19" s="26">
        <f t="shared" si="9"/>
        <v>1.0589012796856552</v>
      </c>
      <c r="S19" s="56" t="s">
        <v>48</v>
      </c>
      <c r="T19" s="56">
        <f>SUM(T13:T18)/B11</f>
        <v>43.019636527317822</v>
      </c>
    </row>
    <row r="20" spans="1:20" ht="15.6" x14ac:dyDescent="0.35">
      <c r="E20" s="5" t="s">
        <v>45</v>
      </c>
      <c r="F20" s="5">
        <f>1/(F19*F16)</f>
        <v>2.8436706798840565E-4</v>
      </c>
      <c r="H20" s="26">
        <f t="shared" si="8"/>
        <v>1.2084592145015106E-3</v>
      </c>
      <c r="I20" s="26">
        <f t="shared" si="9"/>
        <v>0.70443699053475284</v>
      </c>
    </row>
    <row r="21" spans="1:20" x14ac:dyDescent="0.3">
      <c r="H21" s="26">
        <f t="shared" si="8"/>
        <v>5.4504823676895407E-4</v>
      </c>
      <c r="I21" s="26">
        <f t="shared" si="9"/>
        <v>0.39138567430111276</v>
      </c>
    </row>
    <row r="22" spans="1:20" x14ac:dyDescent="0.3">
      <c r="H22" s="26">
        <f t="shared" si="8"/>
        <v>1.9924684691864753E-4</v>
      </c>
      <c r="I22" s="26">
        <f t="shared" si="9"/>
        <v>0.22820842236890063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6</v>
      </c>
      <c r="B26" s="72" t="str">
        <f>B1</f>
        <v>sal=0,5 dur=2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150</v>
      </c>
      <c r="C29" s="26">
        <f t="shared" si="14"/>
        <v>0.31900000000000006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510.3</v>
      </c>
      <c r="C30" s="26">
        <f t="shared" si="14"/>
        <v>0.55999999999999939</v>
      </c>
      <c r="D30" s="5">
        <v>1</v>
      </c>
      <c r="E30" s="47">
        <f t="shared" si="10"/>
        <v>1.9596315892612187E-3</v>
      </c>
      <c r="F30" s="42">
        <f t="shared" si="11"/>
        <v>1.7857142857142876</v>
      </c>
      <c r="G30" s="5">
        <f t="shared" si="12"/>
        <v>3.4993421236807513E-3</v>
      </c>
      <c r="H30" s="5">
        <f t="shared" si="13"/>
        <v>3.8401559656304495E-6</v>
      </c>
      <c r="I30" s="5">
        <f t="shared" si="13"/>
        <v>3.1887755102040884</v>
      </c>
      <c r="S30" s="26">
        <f t="shared" ref="S30:S35" si="15">B28</f>
        <v>9.9999999999999995E-7</v>
      </c>
      <c r="T30" s="63">
        <f t="shared" ref="T30:T35" si="16">(($F$44*$F$45)*S30)/(1+$F$45*S30)</f>
        <v>9.9999999999999868E-7</v>
      </c>
    </row>
    <row r="31" spans="1:20" x14ac:dyDescent="0.3">
      <c r="A31" s="41">
        <v>3</v>
      </c>
      <c r="B31" s="26">
        <f t="shared" si="14"/>
        <v>827.5</v>
      </c>
      <c r="C31" s="26">
        <f t="shared" si="14"/>
        <v>2.3670000000000004</v>
      </c>
      <c r="D31" s="5">
        <v>1</v>
      </c>
      <c r="E31" s="47">
        <f t="shared" si="10"/>
        <v>1.2084592145015106E-3</v>
      </c>
      <c r="F31" s="42">
        <f t="shared" si="11"/>
        <v>0.42247570764681025</v>
      </c>
      <c r="G31" s="5">
        <f t="shared" si="12"/>
        <v>5.1054466180883412E-4</v>
      </c>
      <c r="H31" s="5">
        <f t="shared" si="13"/>
        <v>1.460373673113608E-6</v>
      </c>
      <c r="I31" s="5">
        <f t="shared" si="13"/>
        <v>0.17848572355167308</v>
      </c>
      <c r="S31" s="26">
        <f t="shared" si="15"/>
        <v>150</v>
      </c>
      <c r="T31" s="26">
        <f t="shared" si="16"/>
        <v>1.2216788051740408</v>
      </c>
    </row>
    <row r="32" spans="1:20" x14ac:dyDescent="0.3">
      <c r="A32" s="41">
        <v>4</v>
      </c>
      <c r="B32" s="26">
        <f t="shared" si="14"/>
        <v>1834.7</v>
      </c>
      <c r="C32" s="26">
        <f t="shared" si="14"/>
        <v>4.3260000000000014</v>
      </c>
      <c r="D32" s="5">
        <v>1</v>
      </c>
      <c r="E32" s="47">
        <f t="shared" si="10"/>
        <v>5.4504823676895407E-4</v>
      </c>
      <c r="F32" s="42">
        <f t="shared" si="11"/>
        <v>0.23116042533518255</v>
      </c>
      <c r="G32" s="5">
        <f t="shared" si="12"/>
        <v>1.2599358223970271E-4</v>
      </c>
      <c r="H32" s="5">
        <f t="shared" si="13"/>
        <v>2.9707758040494583E-7</v>
      </c>
      <c r="I32" s="5">
        <f t="shared" si="13"/>
        <v>5.3435142241142507E-2</v>
      </c>
      <c r="S32" s="26">
        <f t="shared" si="15"/>
        <v>510.3</v>
      </c>
      <c r="T32" s="26">
        <f t="shared" si="16"/>
        <v>1.2287446772596382</v>
      </c>
    </row>
    <row r="33" spans="1:20" ht="15" thickBot="1" x14ac:dyDescent="0.35">
      <c r="A33" s="41">
        <v>5</v>
      </c>
      <c r="B33" s="26">
        <f t="shared" si="14"/>
        <v>5018.8999999999996</v>
      </c>
      <c r="C33" s="26">
        <f t="shared" si="14"/>
        <v>11.255000000000001</v>
      </c>
      <c r="D33" s="48">
        <v>0</v>
      </c>
      <c r="E33" s="49">
        <f t="shared" si="10"/>
        <v>0</v>
      </c>
      <c r="F33" s="50">
        <f t="shared" si="11"/>
        <v>0</v>
      </c>
      <c r="G33" s="48">
        <f t="shared" si="12"/>
        <v>0</v>
      </c>
      <c r="H33" s="48">
        <f t="shared" si="13"/>
        <v>0</v>
      </c>
      <c r="I33" s="48">
        <f t="shared" si="13"/>
        <v>0</v>
      </c>
      <c r="S33" s="26">
        <f t="shared" si="15"/>
        <v>827.5</v>
      </c>
      <c r="T33" s="26">
        <f t="shared" si="16"/>
        <v>1.2298798542839724</v>
      </c>
    </row>
    <row r="34" spans="1:20" ht="15" thickBot="1" x14ac:dyDescent="0.35">
      <c r="D34" s="51" t="s">
        <v>30</v>
      </c>
      <c r="E34" s="52">
        <f>SUM(E28:E33)</f>
        <v>1000000.0037131391</v>
      </c>
      <c r="F34" s="53">
        <f>SUM(F28:F33)</f>
        <v>1000002.4393504186</v>
      </c>
      <c r="G34" s="53">
        <f>SUM(G28:G33)</f>
        <v>1000000000000.0042</v>
      </c>
      <c r="H34" s="53">
        <f>SUM(H28:H33)</f>
        <v>1000000000000</v>
      </c>
      <c r="I34" s="54">
        <f>SUM(I28:I33)</f>
        <v>1000000000003.4207</v>
      </c>
      <c r="S34" s="26">
        <f t="shared" si="15"/>
        <v>1834.7</v>
      </c>
      <c r="T34" s="26">
        <f t="shared" si="16"/>
        <v>1.230884151291457</v>
      </c>
    </row>
    <row r="35" spans="1:20" ht="15" thickBot="1" x14ac:dyDescent="0.35">
      <c r="S35" s="26">
        <f t="shared" si="15"/>
        <v>5018.8999999999996</v>
      </c>
      <c r="T35" s="26">
        <f t="shared" si="16"/>
        <v>1.2314082892760312</v>
      </c>
    </row>
    <row r="36" spans="1:20" ht="16.2" thickBot="1" x14ac:dyDescent="0.4">
      <c r="A36" s="43" t="s">
        <v>38</v>
      </c>
      <c r="B36" s="46">
        <v>4</v>
      </c>
      <c r="E36" s="5" t="s">
        <v>33</v>
      </c>
      <c r="F36" s="5">
        <f>E34/B36</f>
        <v>250000.00092828478</v>
      </c>
      <c r="H36" s="40" t="s">
        <v>35</v>
      </c>
      <c r="I36" s="5">
        <f>SQRT((I34/B36)-(F37^2))</f>
        <v>433012.34980272898</v>
      </c>
    </row>
    <row r="37" spans="1:20" ht="15.6" x14ac:dyDescent="0.35">
      <c r="A37" s="60" t="s">
        <v>50</v>
      </c>
      <c r="E37" s="5" t="s">
        <v>34</v>
      </c>
      <c r="F37" s="5">
        <f>F34/B36</f>
        <v>250000.60983760466</v>
      </c>
      <c r="H37" s="40" t="s">
        <v>36</v>
      </c>
      <c r="I37" s="5">
        <f>SQRT(F39)</f>
        <v>433012.70135627384</v>
      </c>
      <c r="T37" t="s">
        <v>47</v>
      </c>
    </row>
    <row r="38" spans="1:20" ht="15.6" x14ac:dyDescent="0.35">
      <c r="A38" s="60">
        <v>1.5</v>
      </c>
      <c r="E38" s="40" t="s">
        <v>31</v>
      </c>
      <c r="F38" s="5">
        <f>(G34/B36)-(F36*F37)</f>
        <v>187499847308.52811</v>
      </c>
      <c r="H38" s="55" t="s">
        <v>37</v>
      </c>
      <c r="I38" s="56">
        <f>F38/(I37*I36)</f>
        <v>0.99999999999904343</v>
      </c>
      <c r="S38" s="5">
        <f t="shared" ref="S38:S43" si="17">D28</f>
        <v>1</v>
      </c>
      <c r="T38" s="5">
        <f t="shared" ref="T38:T43" si="18">(ABS((C28-T30)/C28)*100)*S38</f>
        <v>1.2705494208814505E-13</v>
      </c>
    </row>
    <row r="39" spans="1:20" ht="16.8" x14ac:dyDescent="0.35">
      <c r="E39" s="5" t="s">
        <v>32</v>
      </c>
      <c r="F39" s="5">
        <f>(H34/B36)-(F36^2)</f>
        <v>187499999535.8576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119.41869236779277</v>
      </c>
    </row>
    <row r="41" spans="1:20" ht="16.2" thickBot="1" x14ac:dyDescent="0.4">
      <c r="E41" s="5" t="s">
        <v>46</v>
      </c>
      <c r="F41" s="5">
        <f>(F38/F39)</f>
        <v>0.99999918812090738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48.040563824082291</v>
      </c>
    </row>
    <row r="42" spans="1:20" ht="15.6" x14ac:dyDescent="0.35">
      <c r="E42" s="5" t="s">
        <v>40</v>
      </c>
      <c r="F42" s="5">
        <f>(F37-(F41*F36))</f>
        <v>0.81187909378786571</v>
      </c>
      <c r="H42" s="26">
        <f>E29</f>
        <v>0</v>
      </c>
      <c r="I42" s="26">
        <f>$F$41*H42+$F$42</f>
        <v>0.81187909378786571</v>
      </c>
      <c r="S42" s="5">
        <f t="shared" si="17"/>
        <v>1</v>
      </c>
      <c r="T42" s="5">
        <f t="shared" si="18"/>
        <v>71.546829604913157</v>
      </c>
    </row>
    <row r="43" spans="1:20" x14ac:dyDescent="0.3">
      <c r="H43" s="26">
        <f>E30</f>
        <v>1.9596315892612187E-3</v>
      </c>
      <c r="I43" s="26">
        <f>$F$41*H43+$F$42</f>
        <v>0.81383872378614297</v>
      </c>
      <c r="S43" s="5">
        <f t="shared" si="17"/>
        <v>0</v>
      </c>
      <c r="T43" s="5">
        <f t="shared" si="18"/>
        <v>0</v>
      </c>
    </row>
    <row r="44" spans="1:20" ht="15.6" x14ac:dyDescent="0.35">
      <c r="E44" s="5" t="s">
        <v>44</v>
      </c>
      <c r="F44" s="5">
        <f>1/F42</f>
        <v>1.2317104943969501</v>
      </c>
      <c r="H44" s="26">
        <f>E31</f>
        <v>1.2084592145015106E-3</v>
      </c>
      <c r="I44" s="26">
        <f>$F$41*H44+$F$42</f>
        <v>0.8130875520212445</v>
      </c>
      <c r="S44" s="56" t="s">
        <v>48</v>
      </c>
      <c r="T44" s="56">
        <f>SUM(T38:T43)/B36</f>
        <v>59.751521449197085</v>
      </c>
    </row>
    <row r="45" spans="1:20" ht="15.6" x14ac:dyDescent="0.35">
      <c r="E45" s="5" t="s">
        <v>45</v>
      </c>
      <c r="F45" s="5">
        <f>1/(F44*F41)</f>
        <v>0.81187975293606296</v>
      </c>
      <c r="H45" s="26">
        <f>E32</f>
        <v>5.4504823676895407E-4</v>
      </c>
      <c r="I45" s="26">
        <f>$F$41*H45+$F$42</f>
        <v>0.8124241415821214</v>
      </c>
    </row>
    <row r="46" spans="1:20" x14ac:dyDescent="0.3">
      <c r="H46" s="26">
        <f>E33</f>
        <v>0</v>
      </c>
      <c r="I46" s="26">
        <f>$F$41*H46+$F$42</f>
        <v>0.81187909378786571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7</v>
      </c>
      <c r="B1" s="72" t="s">
        <v>57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laboratorio'!X33</f>
        <v>150</v>
      </c>
      <c r="C4" s="37">
        <f>'Datos de laboratorio'!AA33</f>
        <v>0.7330000000000001</v>
      </c>
      <c r="D4" s="5">
        <v>1</v>
      </c>
      <c r="E4" s="47">
        <f t="shared" si="0"/>
        <v>6.6666666666666671E-3</v>
      </c>
      <c r="F4" s="42">
        <f t="shared" si="1"/>
        <v>1.3642564802182808</v>
      </c>
      <c r="G4" s="42">
        <f t="shared" si="2"/>
        <v>9.0950432014552055E-3</v>
      </c>
      <c r="H4" s="42">
        <f t="shared" si="3"/>
        <v>4.4444444444444453E-5</v>
      </c>
      <c r="I4" s="42">
        <f t="shared" si="3"/>
        <v>1.8611957438175726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laboratorio'!X34</f>
        <v>415.1</v>
      </c>
      <c r="C5" s="37">
        <f>'Datos de laboratorio'!AA34</f>
        <v>0.72099999999999964</v>
      </c>
      <c r="D5" s="5">
        <v>1</v>
      </c>
      <c r="E5" s="47">
        <f t="shared" si="0"/>
        <v>2.4090580582992048E-3</v>
      </c>
      <c r="F5" s="42">
        <f t="shared" si="1"/>
        <v>1.3869625520110964</v>
      </c>
      <c r="G5" s="5">
        <f t="shared" si="2"/>
        <v>3.341273312481562E-3</v>
      </c>
      <c r="H5" s="5">
        <f t="shared" si="3"/>
        <v>5.8035607282563347E-6</v>
      </c>
      <c r="I5" s="5">
        <f t="shared" si="3"/>
        <v>1.9236651206811333</v>
      </c>
      <c r="S5">
        <f t="shared" ref="S5:S10" si="4">B3</f>
        <v>9.9999999999999995E-7</v>
      </c>
      <c r="T5" s="26">
        <f t="shared" ref="T5:T10" si="5">(($F$19*$F$20)*S5)/(1+$F$20*S5)</f>
        <v>6.3195049009763112E-9</v>
      </c>
    </row>
    <row r="6" spans="1:20" x14ac:dyDescent="0.3">
      <c r="A6" s="41">
        <v>3</v>
      </c>
      <c r="B6" s="26">
        <f>'Datos de laboratorio'!X35</f>
        <v>780.4</v>
      </c>
      <c r="C6" s="37">
        <f>'Datos de laboratorio'!AA35</f>
        <v>1.4230000000000007</v>
      </c>
      <c r="D6" s="5">
        <v>1</v>
      </c>
      <c r="E6" s="47">
        <f t="shared" si="0"/>
        <v>1.2813941568426449E-3</v>
      </c>
      <c r="F6" s="42">
        <f t="shared" si="1"/>
        <v>0.70274068868587458</v>
      </c>
      <c r="G6" s="5">
        <f t="shared" si="2"/>
        <v>9.0048781225765594E-4</v>
      </c>
      <c r="H6" s="5">
        <f t="shared" si="3"/>
        <v>1.6419709851904729E-6</v>
      </c>
      <c r="I6" s="5">
        <f t="shared" si="3"/>
        <v>0.49384447553469729</v>
      </c>
      <c r="S6" s="26">
        <f t="shared" si="4"/>
        <v>150</v>
      </c>
      <c r="T6" s="26">
        <f t="shared" si="5"/>
        <v>0.65056924261113225</v>
      </c>
    </row>
    <row r="7" spans="1:20" x14ac:dyDescent="0.3">
      <c r="A7" s="41">
        <v>4</v>
      </c>
      <c r="B7" s="26">
        <f>'Datos de laboratorio'!X36</f>
        <v>1898.2</v>
      </c>
      <c r="C7" s="37">
        <f>'Datos de laboratorio'!AA36</f>
        <v>2.4789999999999988</v>
      </c>
      <c r="D7" s="5">
        <v>1</v>
      </c>
      <c r="E7" s="47">
        <f t="shared" si="0"/>
        <v>5.2681487725213358E-4</v>
      </c>
      <c r="F7" s="42">
        <f t="shared" si="1"/>
        <v>0.40338846308995585</v>
      </c>
      <c r="G7" s="5">
        <f t="shared" si="2"/>
        <v>2.1251104366766191E-4</v>
      </c>
      <c r="H7" s="5">
        <f t="shared" si="3"/>
        <v>2.7753391489418058E-7</v>
      </c>
      <c r="I7" s="5">
        <f t="shared" si="3"/>
        <v>0.16272225215407668</v>
      </c>
      <c r="S7" s="26">
        <f t="shared" si="4"/>
        <v>415.1</v>
      </c>
      <c r="T7" s="26">
        <f t="shared" si="5"/>
        <v>1.1582246355857142</v>
      </c>
    </row>
    <row r="8" spans="1:20" ht="15" thickBot="1" x14ac:dyDescent="0.35">
      <c r="A8" s="41">
        <v>5</v>
      </c>
      <c r="B8" s="26">
        <f>'Datos de laboratorio'!X37</f>
        <v>4457.2</v>
      </c>
      <c r="C8" s="37">
        <f>'Datos de laboratorio'!AA37</f>
        <v>3.211999999999998</v>
      </c>
      <c r="D8" s="48">
        <v>1</v>
      </c>
      <c r="E8" s="49">
        <f t="shared" si="0"/>
        <v>2.2435609799874361E-4</v>
      </c>
      <c r="F8" s="50">
        <f t="shared" si="1"/>
        <v>0.31133250311332522</v>
      </c>
      <c r="G8" s="48">
        <f t="shared" si="2"/>
        <v>6.9849345578687345E-5</v>
      </c>
      <c r="H8" s="48">
        <f t="shared" si="3"/>
        <v>5.0335658709221843E-8</v>
      </c>
      <c r="I8" s="48">
        <f t="shared" si="3"/>
        <v>9.6927927494808663E-2</v>
      </c>
      <c r="S8" s="26">
        <f t="shared" si="4"/>
        <v>780.4</v>
      </c>
      <c r="T8" s="26">
        <f t="shared" si="5"/>
        <v>1.4599636460143597</v>
      </c>
    </row>
    <row r="9" spans="1:20" ht="15" thickBot="1" x14ac:dyDescent="0.35">
      <c r="D9" s="51" t="s">
        <v>30</v>
      </c>
      <c r="E9" s="52">
        <f>SUM(E3:E8)</f>
        <v>1.1108289857059394E-2</v>
      </c>
      <c r="F9" s="53">
        <f>SUM(F3:F8)</f>
        <v>4.1686806871185329</v>
      </c>
      <c r="G9" s="53">
        <f>SUM(G3:G8)</f>
        <v>1.3619164715440772E-2</v>
      </c>
      <c r="H9" s="53">
        <f>SUM(H3:H8)</f>
        <v>5.2217845731494661E-5</v>
      </c>
      <c r="I9" s="54">
        <f>SUM(I3:I8)</f>
        <v>4.5383555196822885</v>
      </c>
      <c r="S9" s="26">
        <f t="shared" si="4"/>
        <v>1898.2</v>
      </c>
      <c r="T9" s="26">
        <f t="shared" si="5"/>
        <v>1.768209789319003</v>
      </c>
    </row>
    <row r="10" spans="1:20" ht="15" thickBot="1" x14ac:dyDescent="0.35">
      <c r="S10" s="26">
        <f t="shared" si="4"/>
        <v>4457.2</v>
      </c>
      <c r="T10" s="26">
        <f t="shared" si="5"/>
        <v>1.9316855473170538</v>
      </c>
    </row>
    <row r="11" spans="1:20" ht="16.2" thickBot="1" x14ac:dyDescent="0.4">
      <c r="A11" s="43" t="s">
        <v>38</v>
      </c>
      <c r="B11" s="46">
        <v>5</v>
      </c>
      <c r="E11" s="5" t="s">
        <v>33</v>
      </c>
      <c r="F11" s="5">
        <f>E9/B11</f>
        <v>2.221657971411879E-3</v>
      </c>
      <c r="H11" s="40" t="s">
        <v>35</v>
      </c>
      <c r="I11" s="5">
        <f>SQRT((I9/B11)-(F12^2))</f>
        <v>0.46103704524718614</v>
      </c>
    </row>
    <row r="12" spans="1:20" ht="15.6" x14ac:dyDescent="0.35">
      <c r="E12" s="5" t="s">
        <v>34</v>
      </c>
      <c r="F12" s="5">
        <f>F9/B11</f>
        <v>0.83373613742370656</v>
      </c>
      <c r="H12" s="40" t="s">
        <v>36</v>
      </c>
      <c r="I12" s="5">
        <f>SQRT(F14)</f>
        <v>2.3468713224974623E-3</v>
      </c>
      <c r="T12" t="s">
        <v>47</v>
      </c>
    </row>
    <row r="13" spans="1:20" ht="15.6" x14ac:dyDescent="0.35">
      <c r="E13" s="40" t="s">
        <v>31</v>
      </c>
      <c r="F13" s="5">
        <f>(G9/B11)-(F11*F12)</f>
        <v>8.7155640732662675E-4</v>
      </c>
      <c r="H13" s="55" t="s">
        <v>37</v>
      </c>
      <c r="I13" s="56">
        <f>F13/(I12*I11)</f>
        <v>0.80550900266621406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5.5078050043609868E-6</v>
      </c>
      <c r="H14" s="66" t="s">
        <v>73</v>
      </c>
      <c r="I14" s="67">
        <f>I13^2</f>
        <v>0.64884475337631886</v>
      </c>
      <c r="S14" s="5">
        <f t="shared" si="6"/>
        <v>1</v>
      </c>
      <c r="T14" s="5">
        <f t="shared" si="7"/>
        <v>11.245669493706389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60.641419637408433</v>
      </c>
    </row>
    <row r="16" spans="1:20" ht="16.2" thickBot="1" x14ac:dyDescent="0.4">
      <c r="E16" s="5" t="s">
        <v>46</v>
      </c>
      <c r="F16" s="5">
        <f>(F13/F14)</f>
        <v>158.24024391505202</v>
      </c>
      <c r="H16" s="35" t="s">
        <v>25</v>
      </c>
      <c r="I16" s="36" t="s">
        <v>42</v>
      </c>
      <c r="S16" s="5">
        <f>D6</f>
        <v>1</v>
      </c>
      <c r="T16" s="5">
        <f t="shared" si="7"/>
        <v>2.5975858056471508</v>
      </c>
    </row>
    <row r="17" spans="1:20" ht="15.6" x14ac:dyDescent="0.35">
      <c r="E17" s="5" t="s">
        <v>40</v>
      </c>
      <c r="F17" s="5">
        <f>(F12-(F16*F11))</f>
        <v>0.48218043813167116</v>
      </c>
      <c r="H17" s="26">
        <f t="shared" ref="H17:H22" si="8">E3</f>
        <v>0</v>
      </c>
      <c r="I17" s="26">
        <f t="shared" ref="I17:I22" si="9">$F$16*H17+$F$17</f>
        <v>0.48218043813167116</v>
      </c>
      <c r="S17" s="5">
        <f>D7</f>
        <v>1</v>
      </c>
      <c r="T17" s="5">
        <f t="shared" si="7"/>
        <v>28.672457066599279</v>
      </c>
    </row>
    <row r="18" spans="1:20" x14ac:dyDescent="0.3">
      <c r="H18" s="26">
        <f t="shared" si="8"/>
        <v>6.6666666666666671E-3</v>
      </c>
      <c r="I18" s="26">
        <f t="shared" si="9"/>
        <v>1.5371153975653513</v>
      </c>
      <c r="S18" s="5">
        <f>D8</f>
        <v>1</v>
      </c>
      <c r="T18" s="5">
        <f t="shared" si="7"/>
        <v>39.860350332594798</v>
      </c>
    </row>
    <row r="19" spans="1:20" ht="15.6" x14ac:dyDescent="0.35">
      <c r="E19" s="5" t="s">
        <v>44</v>
      </c>
      <c r="F19" s="5">
        <f>1/F17</f>
        <v>2.0739124214054607</v>
      </c>
      <c r="H19" s="26">
        <f t="shared" si="8"/>
        <v>2.4090580582992048E-3</v>
      </c>
      <c r="I19" s="26">
        <f t="shared" si="9"/>
        <v>0.86339037288245901</v>
      </c>
      <c r="S19" s="56" t="s">
        <v>48</v>
      </c>
      <c r="T19" s="56">
        <f>SUM(T13:T18)/B11</f>
        <v>28.603496467191214</v>
      </c>
    </row>
    <row r="20" spans="1:20" ht="15.6" x14ac:dyDescent="0.35">
      <c r="E20" s="5" t="s">
        <v>45</v>
      </c>
      <c r="F20" s="5">
        <f>1/(F19*F16)</f>
        <v>3.0471416512130732E-3</v>
      </c>
      <c r="H20" s="26">
        <f t="shared" si="8"/>
        <v>1.2813941568426449E-3</v>
      </c>
      <c r="I20" s="26">
        <f t="shared" si="9"/>
        <v>0.68494856206177368</v>
      </c>
    </row>
    <row r="21" spans="1:20" x14ac:dyDescent="0.3">
      <c r="H21" s="26">
        <f t="shared" si="8"/>
        <v>5.2681487725213358E-4</v>
      </c>
      <c r="I21" s="26">
        <f t="shared" si="9"/>
        <v>0.56554375280612701</v>
      </c>
    </row>
    <row r="22" spans="1:20" x14ac:dyDescent="0.3">
      <c r="H22" s="26">
        <f t="shared" si="8"/>
        <v>2.2435609799874361E-4</v>
      </c>
      <c r="I22" s="26">
        <f t="shared" si="9"/>
        <v>0.51768260180282166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7</v>
      </c>
      <c r="B26" s="72" t="str">
        <f>B1</f>
        <v>sal=0,5 dur=5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150</v>
      </c>
      <c r="C29" s="26">
        <f t="shared" si="14"/>
        <v>0.7330000000000001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415.1</v>
      </c>
      <c r="C30" s="26">
        <f t="shared" si="14"/>
        <v>0.72099999999999964</v>
      </c>
      <c r="D30" s="5">
        <v>1</v>
      </c>
      <c r="E30" s="47">
        <f t="shared" si="10"/>
        <v>2.4090580582992048E-3</v>
      </c>
      <c r="F30" s="42">
        <f t="shared" si="11"/>
        <v>1.3869625520110964</v>
      </c>
      <c r="G30" s="5">
        <f t="shared" si="12"/>
        <v>3.341273312481562E-3</v>
      </c>
      <c r="H30" s="5">
        <f t="shared" si="13"/>
        <v>5.8035607282563347E-6</v>
      </c>
      <c r="I30" s="5">
        <f t="shared" si="13"/>
        <v>1.9236651206811333</v>
      </c>
      <c r="S30" s="26">
        <f t="shared" ref="S30:S35" si="15">B28</f>
        <v>9.9999999999999995E-7</v>
      </c>
      <c r="T30" s="63">
        <f t="shared" ref="T30:T35" si="16">(($F$44*$F$45)*S30)/(1+$F$45*S30)</f>
        <v>9.9999999999999826E-7</v>
      </c>
    </row>
    <row r="31" spans="1:20" x14ac:dyDescent="0.3">
      <c r="A31" s="41">
        <v>3</v>
      </c>
      <c r="B31" s="26">
        <f t="shared" si="14"/>
        <v>780.4</v>
      </c>
      <c r="C31" s="26">
        <f t="shared" si="14"/>
        <v>1.4230000000000007</v>
      </c>
      <c r="D31" s="5">
        <v>1</v>
      </c>
      <c r="E31" s="47">
        <f t="shared" si="10"/>
        <v>1.2813941568426449E-3</v>
      </c>
      <c r="F31" s="42">
        <f t="shared" si="11"/>
        <v>0.70274068868587458</v>
      </c>
      <c r="G31" s="5">
        <f t="shared" si="12"/>
        <v>9.0048781225765594E-4</v>
      </c>
      <c r="H31" s="5">
        <f t="shared" si="13"/>
        <v>1.6419709851904729E-6</v>
      </c>
      <c r="I31" s="5">
        <f t="shared" si="13"/>
        <v>0.49384447553469729</v>
      </c>
      <c r="S31" s="26">
        <f t="shared" si="15"/>
        <v>150</v>
      </c>
      <c r="T31" s="26">
        <f t="shared" si="16"/>
        <v>1.4151030672478502</v>
      </c>
    </row>
    <row r="32" spans="1:20" x14ac:dyDescent="0.3">
      <c r="A32" s="41">
        <v>4</v>
      </c>
      <c r="B32" s="26">
        <f t="shared" si="14"/>
        <v>1898.2</v>
      </c>
      <c r="C32" s="26">
        <f t="shared" si="14"/>
        <v>2.4789999999999988</v>
      </c>
      <c r="D32" s="5">
        <v>1</v>
      </c>
      <c r="E32" s="47">
        <f t="shared" si="10"/>
        <v>5.2681487725213358E-4</v>
      </c>
      <c r="F32" s="42">
        <f t="shared" si="11"/>
        <v>0.40338846308995585</v>
      </c>
      <c r="G32" s="5">
        <f t="shared" si="12"/>
        <v>2.1251104366766191E-4</v>
      </c>
      <c r="H32" s="5">
        <f t="shared" si="13"/>
        <v>2.7753391489418058E-7</v>
      </c>
      <c r="I32" s="5">
        <f t="shared" si="13"/>
        <v>0.16272225215407668</v>
      </c>
      <c r="S32" s="26">
        <f t="shared" si="15"/>
        <v>415.1</v>
      </c>
      <c r="T32" s="26">
        <f t="shared" si="16"/>
        <v>1.4236806732353702</v>
      </c>
    </row>
    <row r="33" spans="1:20" ht="15" thickBot="1" x14ac:dyDescent="0.35">
      <c r="A33" s="41">
        <v>5</v>
      </c>
      <c r="B33" s="26">
        <f t="shared" si="14"/>
        <v>4457.2</v>
      </c>
      <c r="C33" s="26">
        <f t="shared" si="14"/>
        <v>3.211999999999998</v>
      </c>
      <c r="D33" s="48">
        <v>1</v>
      </c>
      <c r="E33" s="49">
        <f t="shared" si="10"/>
        <v>2.2435609799874361E-4</v>
      </c>
      <c r="F33" s="50">
        <f t="shared" si="11"/>
        <v>0.31133250311332522</v>
      </c>
      <c r="G33" s="48">
        <f t="shared" si="12"/>
        <v>6.9849345578687345E-5</v>
      </c>
      <c r="H33" s="48">
        <f t="shared" si="13"/>
        <v>5.0335658709221843E-8</v>
      </c>
      <c r="I33" s="48">
        <f t="shared" si="13"/>
        <v>9.6927927494808663E-2</v>
      </c>
      <c r="S33" s="26">
        <f t="shared" si="15"/>
        <v>780.4</v>
      </c>
      <c r="T33" s="26">
        <f t="shared" si="16"/>
        <v>1.4259699713130516</v>
      </c>
    </row>
    <row r="34" spans="1:20" ht="15" thickBot="1" x14ac:dyDescent="0.35">
      <c r="D34" s="51" t="s">
        <v>30</v>
      </c>
      <c r="E34" s="52">
        <f>SUM(E28:E33)</f>
        <v>1000000.0044416231</v>
      </c>
      <c r="F34" s="53">
        <f>SUM(F28:F33)</f>
        <v>1000002.8044242068</v>
      </c>
      <c r="G34" s="53">
        <f>SUM(G28:G33)</f>
        <v>1000000000000.0045</v>
      </c>
      <c r="H34" s="53">
        <f>SUM(H28:H33)</f>
        <v>1000000000000</v>
      </c>
      <c r="I34" s="54">
        <f>SUM(I28:I33)</f>
        <v>1000000000002.6772</v>
      </c>
      <c r="S34" s="26">
        <f t="shared" si="15"/>
        <v>1898.2</v>
      </c>
      <c r="T34" s="26">
        <f t="shared" si="16"/>
        <v>1.4275059772238559</v>
      </c>
    </row>
    <row r="35" spans="1:20" ht="15" thickBot="1" x14ac:dyDescent="0.35">
      <c r="S35" s="26">
        <f t="shared" si="15"/>
        <v>4457.2</v>
      </c>
      <c r="T35" s="26">
        <f t="shared" si="16"/>
        <v>1.4281225854493105</v>
      </c>
    </row>
    <row r="36" spans="1:20" ht="16.2" thickBot="1" x14ac:dyDescent="0.4">
      <c r="A36" s="43" t="s">
        <v>38</v>
      </c>
      <c r="B36" s="46">
        <v>5</v>
      </c>
      <c r="E36" s="5" t="s">
        <v>33</v>
      </c>
      <c r="F36" s="5">
        <f>E34/B36</f>
        <v>200000.00088832463</v>
      </c>
      <c r="H36" s="40" t="s">
        <v>35</v>
      </c>
      <c r="I36" s="5">
        <f>SQRT((I34/B36)-(F37^2))</f>
        <v>399999.71955775708</v>
      </c>
    </row>
    <row r="37" spans="1:20" ht="15.6" x14ac:dyDescent="0.35">
      <c r="A37" s="60" t="s">
        <v>50</v>
      </c>
      <c r="E37" s="5" t="s">
        <v>34</v>
      </c>
      <c r="F37" s="5">
        <f>F34/B36</f>
        <v>200000.56088484137</v>
      </c>
      <c r="H37" s="40" t="s">
        <v>36</v>
      </c>
      <c r="I37" s="5">
        <f>SQRT(F39)</f>
        <v>399999.99955583765</v>
      </c>
      <c r="T37" t="s">
        <v>47</v>
      </c>
    </row>
    <row r="38" spans="1:20" ht="15.6" x14ac:dyDescent="0.35">
      <c r="A38" s="60">
        <v>1</v>
      </c>
      <c r="E38" s="40" t="s">
        <v>31</v>
      </c>
      <c r="F38" s="5">
        <f>(G34/B36)-(F36*F37)</f>
        <v>159999887645.36722</v>
      </c>
      <c r="H38" s="55" t="s">
        <v>37</v>
      </c>
      <c r="I38" s="56">
        <f>F38/(I37*I36)</f>
        <v>0.99999999999955747</v>
      </c>
      <c r="S38" s="5">
        <f t="shared" ref="S38:S43" si="17">D28</f>
        <v>1</v>
      </c>
      <c r="T38" s="5">
        <f t="shared" ref="T38:T43" si="18">(ABS((C28-T30)/C28)*100)*S38</f>
        <v>1.6940658945086007E-13</v>
      </c>
    </row>
    <row r="39" spans="1:20" ht="16.8" x14ac:dyDescent="0.35">
      <c r="E39" s="5" t="s">
        <v>32</v>
      </c>
      <c r="F39" s="5">
        <f>(H34/B36)-(F36^2)</f>
        <v>159999999644.67014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97.459177979940478</v>
      </c>
    </row>
    <row r="41" spans="1:20" ht="16.2" thickBot="1" x14ac:dyDescent="0.4">
      <c r="E41" s="5" t="s">
        <v>46</v>
      </c>
      <c r="F41" s="5">
        <f>(F38/F39)</f>
        <v>0.99999930000435522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0.20871196859106655</v>
      </c>
    </row>
    <row r="42" spans="1:20" ht="15.6" x14ac:dyDescent="0.35">
      <c r="E42" s="5" t="s">
        <v>40</v>
      </c>
      <c r="F42" s="5">
        <f>(F37-(F41*F36))</f>
        <v>0.69999564631143585</v>
      </c>
      <c r="H42" s="26">
        <f>E29</f>
        <v>0</v>
      </c>
      <c r="I42" s="26">
        <f>$F$41*H42+$F$42</f>
        <v>0.69999564631143585</v>
      </c>
      <c r="S42" s="5">
        <f t="shared" si="17"/>
        <v>1</v>
      </c>
      <c r="T42" s="5">
        <f t="shared" si="18"/>
        <v>42.41605577959433</v>
      </c>
    </row>
    <row r="43" spans="1:20" x14ac:dyDescent="0.3">
      <c r="H43" s="26">
        <f>E30</f>
        <v>2.4090580582992048E-3</v>
      </c>
      <c r="I43" s="26">
        <f>$F$41*H43+$F$42</f>
        <v>0.70240470268340494</v>
      </c>
      <c r="S43" s="5">
        <f t="shared" si="17"/>
        <v>1</v>
      </c>
      <c r="T43" s="5">
        <f t="shared" si="18"/>
        <v>55.53790207193925</v>
      </c>
    </row>
    <row r="44" spans="1:20" ht="15.6" x14ac:dyDescent="0.35">
      <c r="E44" s="5" t="s">
        <v>44</v>
      </c>
      <c r="F44" s="5">
        <f>1/F42</f>
        <v>1.4285803137053925</v>
      </c>
      <c r="H44" s="26">
        <f>E31</f>
        <v>1.2813941568426449E-3</v>
      </c>
      <c r="I44" s="26">
        <f>$F$41*H44+$F$42</f>
        <v>0.70127703957130816</v>
      </c>
      <c r="S44" s="56" t="s">
        <v>48</v>
      </c>
      <c r="T44" s="56">
        <f>SUM(T38:T43)/B36</f>
        <v>39.124369560013051</v>
      </c>
    </row>
    <row r="45" spans="1:20" ht="15.6" x14ac:dyDescent="0.35">
      <c r="E45" s="5" t="s">
        <v>45</v>
      </c>
      <c r="F45" s="5">
        <f>1/(F44*F41)</f>
        <v>0.69999613630568269</v>
      </c>
      <c r="H45" s="26">
        <f>E32</f>
        <v>5.2681487725213358E-4</v>
      </c>
      <c r="I45" s="26">
        <f>$F$41*H45+$F$42</f>
        <v>0.70052246081991987</v>
      </c>
    </row>
    <row r="46" spans="1:20" x14ac:dyDescent="0.3">
      <c r="H46" s="26">
        <f>E33</f>
        <v>2.2435609799874361E-4</v>
      </c>
      <c r="I46" s="26">
        <f>$F$41*H46+$F$42</f>
        <v>0.70022000225238634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6"/>
  <sheetViews>
    <sheetView zoomScale="57" zoomScaleNormal="57" workbookViewId="0">
      <selection activeCell="AH35" sqref="AH35"/>
    </sheetView>
  </sheetViews>
  <sheetFormatPr baseColWidth="10" defaultColWidth="9.109375" defaultRowHeight="14.4" x14ac:dyDescent="0.3"/>
  <cols>
    <col min="3" max="3" width="10.33203125" customWidth="1"/>
    <col min="5" max="5" width="11.5546875" customWidth="1"/>
    <col min="6" max="6" width="11" customWidth="1"/>
    <col min="7" max="7" width="13.109375" customWidth="1"/>
    <col min="8" max="8" width="12" customWidth="1"/>
    <col min="20" max="20" width="10.5546875" customWidth="1"/>
  </cols>
  <sheetData>
    <row r="1" spans="1:20" ht="15" thickBot="1" x14ac:dyDescent="0.35">
      <c r="A1" s="34">
        <v>8</v>
      </c>
      <c r="B1" s="72" t="s">
        <v>58</v>
      </c>
      <c r="C1" s="73"/>
    </row>
    <row r="2" spans="1:20" ht="17.399999999999999" thickBot="1" x14ac:dyDescent="0.4">
      <c r="A2" s="59" t="s">
        <v>51</v>
      </c>
      <c r="B2" s="38" t="s">
        <v>23</v>
      </c>
      <c r="C2" s="64" t="s">
        <v>24</v>
      </c>
      <c r="D2" s="5" t="s">
        <v>39</v>
      </c>
      <c r="E2" s="5" t="s">
        <v>25</v>
      </c>
      <c r="F2" s="65" t="s">
        <v>26</v>
      </c>
      <c r="G2" s="44" t="s">
        <v>27</v>
      </c>
      <c r="H2" s="35" t="s">
        <v>28</v>
      </c>
      <c r="I2" s="45" t="s">
        <v>29</v>
      </c>
    </row>
    <row r="3" spans="1:20" ht="15" thickBot="1" x14ac:dyDescent="0.35">
      <c r="A3" s="41">
        <v>0</v>
      </c>
      <c r="B3" s="26">
        <f>0.000001</f>
        <v>9.9999999999999995E-7</v>
      </c>
      <c r="C3" s="37">
        <f>0.000001</f>
        <v>9.9999999999999995E-7</v>
      </c>
      <c r="D3" s="5">
        <v>0</v>
      </c>
      <c r="E3" s="5">
        <f t="shared" ref="E3:E8" si="0">(1/B3)*D3</f>
        <v>0</v>
      </c>
      <c r="F3" s="47">
        <f t="shared" ref="F3:F8" si="1">(1/C3)*D3</f>
        <v>0</v>
      </c>
      <c r="G3" s="42">
        <f t="shared" ref="G3:G8" si="2">E3*F3</f>
        <v>0</v>
      </c>
      <c r="H3" s="42">
        <f t="shared" ref="H3:I8" si="3">E3^2</f>
        <v>0</v>
      </c>
      <c r="I3" s="42">
        <f t="shared" si="3"/>
        <v>0</v>
      </c>
    </row>
    <row r="4" spans="1:20" ht="15.6" x14ac:dyDescent="0.35">
      <c r="A4" s="41">
        <v>1</v>
      </c>
      <c r="B4" s="26">
        <f>'Datos de laboratorio'!X38</f>
        <v>24</v>
      </c>
      <c r="C4" s="37">
        <f>'Datos de laboratorio'!AA38</f>
        <v>1.849</v>
      </c>
      <c r="D4" s="5">
        <v>0</v>
      </c>
      <c r="E4" s="47">
        <f t="shared" si="0"/>
        <v>0</v>
      </c>
      <c r="F4" s="42">
        <f t="shared" si="1"/>
        <v>0</v>
      </c>
      <c r="G4" s="42">
        <f t="shared" si="2"/>
        <v>0</v>
      </c>
      <c r="H4" s="42">
        <f t="shared" si="3"/>
        <v>0</v>
      </c>
      <c r="I4" s="42">
        <f t="shared" si="3"/>
        <v>0</v>
      </c>
      <c r="S4" s="38" t="s">
        <v>23</v>
      </c>
      <c r="T4" s="39" t="s">
        <v>43</v>
      </c>
    </row>
    <row r="5" spans="1:20" x14ac:dyDescent="0.3">
      <c r="A5" s="41">
        <v>2</v>
      </c>
      <c r="B5" s="26">
        <f>'Datos de laboratorio'!X39</f>
        <v>358.9</v>
      </c>
      <c r="C5" s="37">
        <f>'Datos de laboratorio'!AA39</f>
        <v>1.1890000000000005</v>
      </c>
      <c r="D5" s="5">
        <v>1</v>
      </c>
      <c r="E5" s="47">
        <f t="shared" si="0"/>
        <v>2.7862914460852605E-3</v>
      </c>
      <c r="F5" s="42">
        <f t="shared" si="1"/>
        <v>0.84104289318755221</v>
      </c>
      <c r="G5" s="5">
        <f t="shared" si="2"/>
        <v>2.343390619079276E-3</v>
      </c>
      <c r="H5" s="5">
        <f t="shared" si="3"/>
        <v>7.7634200225278922E-6</v>
      </c>
      <c r="I5" s="5">
        <f t="shared" si="3"/>
        <v>0.70735314818128836</v>
      </c>
      <c r="S5">
        <f t="shared" ref="S5:S10" si="4">B3</f>
        <v>9.9999999999999995E-7</v>
      </c>
      <c r="T5" s="26">
        <f t="shared" ref="T5:T10" si="5">(($F$19*$F$20)*S5)/(1+$F$20*S5)</f>
        <v>4.46803525236331E-9</v>
      </c>
    </row>
    <row r="6" spans="1:20" x14ac:dyDescent="0.3">
      <c r="A6" s="41">
        <v>3</v>
      </c>
      <c r="B6" s="26">
        <f>'Datos de laboratorio'!X40</f>
        <v>839.7</v>
      </c>
      <c r="C6" s="37">
        <f>'Datos de laboratorio'!AA40</f>
        <v>0.6489999999999998</v>
      </c>
      <c r="D6" s="5">
        <v>1</v>
      </c>
      <c r="E6" s="47">
        <f t="shared" si="0"/>
        <v>1.1909015124449208E-3</v>
      </c>
      <c r="F6" s="42">
        <f t="shared" si="1"/>
        <v>1.5408320493066261</v>
      </c>
      <c r="G6" s="5">
        <f t="shared" si="2"/>
        <v>1.8349792179428678E-3</v>
      </c>
      <c r="H6" s="5">
        <f t="shared" si="3"/>
        <v>1.4182464123435998E-6</v>
      </c>
      <c r="I6" s="5">
        <f t="shared" si="3"/>
        <v>2.3741634041704569</v>
      </c>
      <c r="S6" s="26">
        <f t="shared" si="4"/>
        <v>24</v>
      </c>
      <c r="T6" s="26">
        <f t="shared" si="5"/>
        <v>0.10198876400675165</v>
      </c>
    </row>
    <row r="7" spans="1:20" x14ac:dyDescent="0.3">
      <c r="A7" s="41">
        <v>4</v>
      </c>
      <c r="B7" s="26">
        <f>'Datos de laboratorio'!X41</f>
        <v>1760</v>
      </c>
      <c r="C7" s="37">
        <f>'Datos de laboratorio'!AA41</f>
        <v>3.0290000000000008</v>
      </c>
      <c r="D7" s="5">
        <v>1</v>
      </c>
      <c r="E7" s="47">
        <f t="shared" si="0"/>
        <v>5.6818181818181815E-4</v>
      </c>
      <c r="F7" s="42">
        <f t="shared" si="1"/>
        <v>0.3301419610432485</v>
      </c>
      <c r="G7" s="5">
        <f t="shared" si="2"/>
        <v>1.8758065968366391E-4</v>
      </c>
      <c r="H7" s="5">
        <f t="shared" si="3"/>
        <v>3.2283057851239667E-7</v>
      </c>
      <c r="I7" s="5">
        <f t="shared" si="3"/>
        <v>0.10899371444148181</v>
      </c>
      <c r="S7" s="26">
        <f t="shared" si="4"/>
        <v>358.9</v>
      </c>
      <c r="T7" s="26">
        <f t="shared" si="5"/>
        <v>0.9065309340172758</v>
      </c>
    </row>
    <row r="8" spans="1:20" ht="15" thickBot="1" x14ac:dyDescent="0.35">
      <c r="A8" s="41">
        <v>5</v>
      </c>
      <c r="B8" s="26">
        <f>'Datos de laboratorio'!X42</f>
        <v>4326.3999999999996</v>
      </c>
      <c r="C8" s="37">
        <f>'Datos de laboratorio'!AA42</f>
        <v>3.6360000000000037</v>
      </c>
      <c r="D8" s="48">
        <v>1</v>
      </c>
      <c r="E8" s="49">
        <f t="shared" si="0"/>
        <v>2.3113905325443788E-4</v>
      </c>
      <c r="F8" s="50">
        <f t="shared" si="1"/>
        <v>0.27502750275027477</v>
      </c>
      <c r="G8" s="48">
        <f t="shared" si="2"/>
        <v>6.3569596604630825E-5</v>
      </c>
      <c r="H8" s="48">
        <f t="shared" si="3"/>
        <v>5.3425261939357875E-8</v>
      </c>
      <c r="I8" s="48">
        <f t="shared" si="3"/>
        <v>7.5640127269052393E-2</v>
      </c>
      <c r="S8" s="26">
        <f t="shared" si="4"/>
        <v>839.7</v>
      </c>
      <c r="T8" s="26">
        <f t="shared" si="5"/>
        <v>1.3404127276569484</v>
      </c>
    </row>
    <row r="9" spans="1:20" ht="15" thickBot="1" x14ac:dyDescent="0.35">
      <c r="D9" s="51" t="s">
        <v>30</v>
      </c>
      <c r="E9" s="52">
        <f>SUM(E3:E8)</f>
        <v>4.7765138299664381E-3</v>
      </c>
      <c r="F9" s="53">
        <f>SUM(F3:F8)</f>
        <v>2.9870444062877017</v>
      </c>
      <c r="G9" s="53">
        <f>SUM(G3:G8)</f>
        <v>4.4295200933104385E-3</v>
      </c>
      <c r="H9" s="53">
        <f>SUM(H3:H8)</f>
        <v>9.5579222753232456E-6</v>
      </c>
      <c r="I9" s="54">
        <f>SUM(I3:I8)</f>
        <v>3.2661503940622798</v>
      </c>
      <c r="S9" s="26">
        <f t="shared" si="4"/>
        <v>1760</v>
      </c>
      <c r="T9" s="26">
        <f t="shared" si="5"/>
        <v>1.6483515049298854</v>
      </c>
    </row>
    <row r="10" spans="1:20" ht="15" thickBot="1" x14ac:dyDescent="0.35">
      <c r="S10" s="26">
        <f t="shared" si="4"/>
        <v>4326.3999999999996</v>
      </c>
      <c r="T10" s="26">
        <f t="shared" si="5"/>
        <v>1.8824149600197455</v>
      </c>
    </row>
    <row r="11" spans="1:20" ht="16.2" thickBot="1" x14ac:dyDescent="0.4">
      <c r="A11" s="43" t="s">
        <v>38</v>
      </c>
      <c r="B11" s="46">
        <v>4</v>
      </c>
      <c r="E11" s="5" t="s">
        <v>33</v>
      </c>
      <c r="F11" s="5">
        <f>E9/B11</f>
        <v>1.1941284574916095E-3</v>
      </c>
      <c r="H11" s="40" t="s">
        <v>35</v>
      </c>
      <c r="I11" s="5">
        <f>SQRT((I9/B11)-(F12^2))</f>
        <v>0.50880787699745211</v>
      </c>
    </row>
    <row r="12" spans="1:20" ht="15.6" x14ac:dyDescent="0.35">
      <c r="A12" s="68">
        <v>1</v>
      </c>
      <c r="E12" s="5" t="s">
        <v>34</v>
      </c>
      <c r="F12" s="5">
        <f>F9/B11</f>
        <v>0.74676110157192543</v>
      </c>
      <c r="H12" s="40" t="s">
        <v>36</v>
      </c>
      <c r="I12" s="5">
        <f>SQRT(F14)</f>
        <v>9.8159961075762491E-4</v>
      </c>
      <c r="T12" t="s">
        <v>47</v>
      </c>
    </row>
    <row r="13" spans="1:20" ht="15.6" x14ac:dyDescent="0.35">
      <c r="E13" s="40" t="s">
        <v>31</v>
      </c>
      <c r="F13" s="5">
        <f>(G9/B11)-(F11*F12)</f>
        <v>2.1565134099279116E-4</v>
      </c>
      <c r="H13" s="55" t="s">
        <v>37</v>
      </c>
      <c r="I13" s="56">
        <f>F13/(I12*I11)</f>
        <v>0.43178142913473055</v>
      </c>
      <c r="S13" s="5">
        <f t="shared" ref="S13:S15" si="6">D3</f>
        <v>0</v>
      </c>
      <c r="T13" s="5">
        <f t="shared" ref="T13:T18" si="7">(ABS((C3-T5)/C3)*100)*S13</f>
        <v>0</v>
      </c>
    </row>
    <row r="14" spans="1:20" ht="16.8" x14ac:dyDescent="0.35">
      <c r="E14" s="5" t="s">
        <v>32</v>
      </c>
      <c r="F14" s="5">
        <f>(H9/B11)-(F11^2)</f>
        <v>9.6353779583952078E-7</v>
      </c>
      <c r="H14" s="66" t="s">
        <v>73</v>
      </c>
      <c r="I14" s="67">
        <f>I13^2</f>
        <v>0.18643520254563034</v>
      </c>
      <c r="S14" s="5">
        <f t="shared" si="6"/>
        <v>0</v>
      </c>
      <c r="T14" s="5">
        <f t="shared" si="7"/>
        <v>0</v>
      </c>
    </row>
    <row r="15" spans="1:20" ht="15" thickBot="1" x14ac:dyDescent="0.35">
      <c r="H15" s="57" t="s">
        <v>41</v>
      </c>
      <c r="I15" s="57"/>
      <c r="S15" s="5">
        <f t="shared" si="6"/>
        <v>1</v>
      </c>
      <c r="T15" s="5">
        <f t="shared" si="7"/>
        <v>23.756860049009639</v>
      </c>
    </row>
    <row r="16" spans="1:20" ht="16.2" thickBot="1" x14ac:dyDescent="0.4">
      <c r="E16" s="5" t="s">
        <v>46</v>
      </c>
      <c r="F16" s="5">
        <f>(F13/F14)</f>
        <v>223.81202058077682</v>
      </c>
      <c r="H16" s="35" t="s">
        <v>25</v>
      </c>
      <c r="I16" s="36" t="s">
        <v>42</v>
      </c>
      <c r="S16" s="5">
        <f>D6</f>
        <v>1</v>
      </c>
      <c r="T16" s="5">
        <f t="shared" si="7"/>
        <v>106.53508900723403</v>
      </c>
    </row>
    <row r="17" spans="1:20" ht="15.6" x14ac:dyDescent="0.35">
      <c r="E17" s="5" t="s">
        <v>40</v>
      </c>
      <c r="F17" s="5">
        <f>(F12-(F16*F11))</f>
        <v>0.47950079866772205</v>
      </c>
      <c r="H17" s="26">
        <f t="shared" ref="H17:H22" si="8">E3</f>
        <v>0</v>
      </c>
      <c r="I17" s="26">
        <f t="shared" ref="I17:I22" si="9">$F$16*H17+$F$17</f>
        <v>0.47950079866772205</v>
      </c>
      <c r="S17" s="5">
        <f>D7</f>
        <v>1</v>
      </c>
      <c r="T17" s="5">
        <f t="shared" si="7"/>
        <v>45.581000167385774</v>
      </c>
    </row>
    <row r="18" spans="1:20" x14ac:dyDescent="0.3">
      <c r="H18" s="26">
        <f t="shared" si="8"/>
        <v>0</v>
      </c>
      <c r="I18" s="26">
        <f t="shared" si="9"/>
        <v>0.47950079866772205</v>
      </c>
      <c r="S18" s="5">
        <f>D8</f>
        <v>1</v>
      </c>
      <c r="T18" s="5">
        <f t="shared" si="7"/>
        <v>48.228411440601107</v>
      </c>
    </row>
    <row r="19" spans="1:20" ht="15.6" x14ac:dyDescent="0.35">
      <c r="E19" s="5" t="s">
        <v>44</v>
      </c>
      <c r="F19" s="5">
        <f>1/F17</f>
        <v>2.0855022614737426</v>
      </c>
      <c r="H19" s="26">
        <f t="shared" si="8"/>
        <v>2.7862914460852605E-3</v>
      </c>
      <c r="I19" s="26">
        <f t="shared" si="9"/>
        <v>1.1031063171429987</v>
      </c>
      <c r="S19" s="56" t="s">
        <v>48</v>
      </c>
      <c r="T19" s="56">
        <f>SUM(T13:T18)/B11</f>
        <v>56.025340166057646</v>
      </c>
    </row>
    <row r="20" spans="1:20" ht="15.6" x14ac:dyDescent="0.35">
      <c r="E20" s="5" t="s">
        <v>45</v>
      </c>
      <c r="F20" s="5">
        <f>1/(F19*F16)</f>
        <v>2.1424264765737351E-3</v>
      </c>
      <c r="H20" s="26">
        <f t="shared" si="8"/>
        <v>1.1909015124449208E-3</v>
      </c>
      <c r="I20" s="26">
        <f t="shared" si="9"/>
        <v>0.74603887248072287</v>
      </c>
    </row>
    <row r="21" spans="1:20" x14ac:dyDescent="0.3">
      <c r="H21" s="26">
        <f t="shared" si="8"/>
        <v>5.6818181818181815E-4</v>
      </c>
      <c r="I21" s="26">
        <f t="shared" si="9"/>
        <v>0.60666671945225437</v>
      </c>
    </row>
    <row r="22" spans="1:20" x14ac:dyDescent="0.3">
      <c r="H22" s="26">
        <f t="shared" si="8"/>
        <v>2.3113905325443788E-4</v>
      </c>
      <c r="I22" s="26">
        <f t="shared" si="9"/>
        <v>0.53123249721172561</v>
      </c>
    </row>
    <row r="24" spans="1:20" x14ac:dyDescent="0.3">
      <c r="A24" s="74" t="s">
        <v>49</v>
      </c>
      <c r="B24" s="74"/>
      <c r="C24" s="74"/>
      <c r="D24" s="74"/>
      <c r="E24" s="74"/>
    </row>
    <row r="25" spans="1:20" ht="15" thickBot="1" x14ac:dyDescent="0.35"/>
    <row r="26" spans="1:20" ht="15" thickBot="1" x14ac:dyDescent="0.35">
      <c r="A26" s="34">
        <f>A1</f>
        <v>8</v>
      </c>
      <c r="B26" s="72" t="str">
        <f>B1</f>
        <v>sal=0,5 dur=10</v>
      </c>
      <c r="C26" s="73"/>
    </row>
    <row r="27" spans="1:20" ht="17.399999999999999" thickBot="1" x14ac:dyDescent="0.4">
      <c r="A27" s="59" t="s">
        <v>51</v>
      </c>
      <c r="B27" s="58" t="s">
        <v>23</v>
      </c>
      <c r="C27" s="64" t="s">
        <v>24</v>
      </c>
      <c r="D27" s="5" t="s">
        <v>39</v>
      </c>
      <c r="E27" s="5" t="s">
        <v>25</v>
      </c>
      <c r="F27" s="65" t="s">
        <v>26</v>
      </c>
      <c r="G27" s="44" t="s">
        <v>27</v>
      </c>
      <c r="H27" s="35" t="s">
        <v>28</v>
      </c>
      <c r="I27" s="45" t="s">
        <v>29</v>
      </c>
    </row>
    <row r="28" spans="1:20" ht="15" thickBot="1" x14ac:dyDescent="0.35">
      <c r="A28" s="41">
        <v>0</v>
      </c>
      <c r="B28" s="26">
        <f>0.000001</f>
        <v>9.9999999999999995E-7</v>
      </c>
      <c r="C28" s="37">
        <f>0.000001</f>
        <v>9.9999999999999995E-7</v>
      </c>
      <c r="D28" s="5">
        <v>1</v>
      </c>
      <c r="E28" s="5">
        <f t="shared" ref="E28:E33" si="10">(1/B28)*D28</f>
        <v>1000000</v>
      </c>
      <c r="F28" s="47">
        <f t="shared" ref="F28:F33" si="11">(1/C28)*D28</f>
        <v>1000000</v>
      </c>
      <c r="G28" s="42">
        <f t="shared" ref="G28:G33" si="12">E28*F28</f>
        <v>1000000000000</v>
      </c>
      <c r="H28" s="42">
        <f t="shared" ref="H28:I33" si="13">E28^2</f>
        <v>1000000000000</v>
      </c>
      <c r="I28" s="42">
        <f t="shared" si="13"/>
        <v>1000000000000</v>
      </c>
    </row>
    <row r="29" spans="1:20" ht="15.6" x14ac:dyDescent="0.35">
      <c r="A29" s="41">
        <v>1</v>
      </c>
      <c r="B29" s="26">
        <f t="shared" ref="B29:C33" si="14">B4</f>
        <v>24</v>
      </c>
      <c r="C29" s="26">
        <f t="shared" si="14"/>
        <v>1.849</v>
      </c>
      <c r="D29" s="61">
        <v>0</v>
      </c>
      <c r="E29" s="47">
        <f t="shared" si="10"/>
        <v>0</v>
      </c>
      <c r="F29" s="42">
        <f t="shared" si="11"/>
        <v>0</v>
      </c>
      <c r="G29" s="42">
        <f t="shared" si="12"/>
        <v>0</v>
      </c>
      <c r="H29" s="42">
        <f t="shared" si="13"/>
        <v>0</v>
      </c>
      <c r="I29" s="42">
        <f t="shared" si="13"/>
        <v>0</v>
      </c>
      <c r="S29" s="5" t="s">
        <v>23</v>
      </c>
      <c r="T29" s="62" t="s">
        <v>43</v>
      </c>
    </row>
    <row r="30" spans="1:20" x14ac:dyDescent="0.3">
      <c r="A30" s="41">
        <v>2</v>
      </c>
      <c r="B30" s="26">
        <f t="shared" si="14"/>
        <v>358.9</v>
      </c>
      <c r="C30" s="26">
        <f t="shared" si="14"/>
        <v>1.1890000000000005</v>
      </c>
      <c r="D30" s="5">
        <v>1</v>
      </c>
      <c r="E30" s="47">
        <f t="shared" si="10"/>
        <v>2.7862914460852605E-3</v>
      </c>
      <c r="F30" s="42">
        <f t="shared" si="11"/>
        <v>0.84104289318755221</v>
      </c>
      <c r="G30" s="5">
        <f t="shared" si="12"/>
        <v>2.343390619079276E-3</v>
      </c>
      <c r="H30" s="5">
        <f t="shared" si="13"/>
        <v>7.7634200225278922E-6</v>
      </c>
      <c r="I30" s="5">
        <f t="shared" si="13"/>
        <v>0.70735314818128836</v>
      </c>
      <c r="S30" s="26">
        <f t="shared" ref="S30:S35" si="15">B28</f>
        <v>9.9999999999999995E-7</v>
      </c>
      <c r="T30" s="63">
        <f t="shared" ref="T30:T35" si="16">(($F$44*$F$45)*S30)/(1+$F$45*S30)</f>
        <v>1.0000000000000002E-6</v>
      </c>
    </row>
    <row r="31" spans="1:20" x14ac:dyDescent="0.3">
      <c r="A31" s="41">
        <v>3</v>
      </c>
      <c r="B31" s="26">
        <f t="shared" si="14"/>
        <v>839.7</v>
      </c>
      <c r="C31" s="26">
        <f t="shared" si="14"/>
        <v>0.6489999999999998</v>
      </c>
      <c r="D31" s="5">
        <v>1</v>
      </c>
      <c r="E31" s="47">
        <f t="shared" si="10"/>
        <v>1.1909015124449208E-3</v>
      </c>
      <c r="F31" s="42">
        <f t="shared" si="11"/>
        <v>1.5408320493066261</v>
      </c>
      <c r="G31" s="5">
        <f t="shared" si="12"/>
        <v>1.8349792179428678E-3</v>
      </c>
      <c r="H31" s="5">
        <f t="shared" si="13"/>
        <v>1.4182464123435998E-6</v>
      </c>
      <c r="I31" s="5">
        <f t="shared" si="13"/>
        <v>2.3741634041704569</v>
      </c>
      <c r="S31" s="26">
        <f t="shared" si="15"/>
        <v>24</v>
      </c>
      <c r="T31" s="26">
        <f t="shared" si="16"/>
        <v>0.96547842633189151</v>
      </c>
    </row>
    <row r="32" spans="1:20" x14ac:dyDescent="0.3">
      <c r="A32" s="41">
        <v>4</v>
      </c>
      <c r="B32" s="26">
        <f t="shared" si="14"/>
        <v>1760</v>
      </c>
      <c r="C32" s="26">
        <f t="shared" si="14"/>
        <v>3.0290000000000008</v>
      </c>
      <c r="D32" s="5">
        <v>1</v>
      </c>
      <c r="E32" s="47">
        <f t="shared" si="10"/>
        <v>5.6818181818181815E-4</v>
      </c>
      <c r="F32" s="42">
        <f t="shared" si="11"/>
        <v>0.3301419610432485</v>
      </c>
      <c r="G32" s="5">
        <f t="shared" si="12"/>
        <v>1.8758065968366391E-4</v>
      </c>
      <c r="H32" s="5">
        <f t="shared" si="13"/>
        <v>3.2283057851239667E-7</v>
      </c>
      <c r="I32" s="5">
        <f t="shared" si="13"/>
        <v>0.10899371444148181</v>
      </c>
      <c r="S32" s="26">
        <f t="shared" si="15"/>
        <v>358.9</v>
      </c>
      <c r="T32" s="26">
        <f t="shared" si="16"/>
        <v>1.0031342046690654</v>
      </c>
    </row>
    <row r="33" spans="1:20" ht="15" thickBot="1" x14ac:dyDescent="0.35">
      <c r="A33" s="41">
        <v>5</v>
      </c>
      <c r="B33" s="26">
        <f t="shared" si="14"/>
        <v>4326.3999999999996</v>
      </c>
      <c r="C33" s="26">
        <f t="shared" si="14"/>
        <v>3.6360000000000037</v>
      </c>
      <c r="D33" s="48">
        <v>1</v>
      </c>
      <c r="E33" s="49">
        <f t="shared" si="10"/>
        <v>2.3113905325443788E-4</v>
      </c>
      <c r="F33" s="50">
        <f t="shared" si="11"/>
        <v>0.27502750275027477</v>
      </c>
      <c r="G33" s="48">
        <f t="shared" si="12"/>
        <v>6.3569596604630825E-5</v>
      </c>
      <c r="H33" s="48">
        <f t="shared" si="13"/>
        <v>5.3425261939357875E-8</v>
      </c>
      <c r="I33" s="48">
        <f t="shared" si="13"/>
        <v>7.5640127269052393E-2</v>
      </c>
      <c r="S33" s="26">
        <f t="shared" si="15"/>
        <v>839.7</v>
      </c>
      <c r="T33" s="26">
        <f t="shared" si="16"/>
        <v>1.0047421826254679</v>
      </c>
    </row>
    <row r="34" spans="1:20" ht="15" thickBot="1" x14ac:dyDescent="0.35">
      <c r="D34" s="51" t="s">
        <v>30</v>
      </c>
      <c r="E34" s="52">
        <f>SUM(E28:E33)</f>
        <v>1000000.0047765138</v>
      </c>
      <c r="F34" s="53">
        <f>SUM(F28:F33)</f>
        <v>1000002.9870444064</v>
      </c>
      <c r="G34" s="53">
        <f>SUM(G28:G33)</f>
        <v>1000000000000.0045</v>
      </c>
      <c r="H34" s="53">
        <f>SUM(H28:H33)</f>
        <v>1000000000000</v>
      </c>
      <c r="I34" s="54">
        <f>SUM(I28:I33)</f>
        <v>1000000000003.2662</v>
      </c>
      <c r="S34" s="26">
        <f t="shared" si="15"/>
        <v>1760</v>
      </c>
      <c r="T34" s="26">
        <f t="shared" si="16"/>
        <v>1.0053712153679923</v>
      </c>
    </row>
    <row r="35" spans="1:20" ht="15" thickBot="1" x14ac:dyDescent="0.35">
      <c r="S35" s="26">
        <f t="shared" si="15"/>
        <v>4326.3999999999996</v>
      </c>
      <c r="T35" s="26">
        <f t="shared" si="16"/>
        <v>1.0057120036535363</v>
      </c>
    </row>
    <row r="36" spans="1:20" ht="16.2" thickBot="1" x14ac:dyDescent="0.4">
      <c r="A36" s="43" t="s">
        <v>38</v>
      </c>
      <c r="B36" s="46">
        <v>4</v>
      </c>
      <c r="E36" s="5" t="s">
        <v>33</v>
      </c>
      <c r="F36" s="5">
        <f>E34/B36</f>
        <v>250000.00119412845</v>
      </c>
      <c r="H36" s="40" t="s">
        <v>35</v>
      </c>
      <c r="I36" s="5">
        <f>SQRT((I34/B36)-(F37^2))</f>
        <v>433012.27074958064</v>
      </c>
    </row>
    <row r="37" spans="1:20" ht="15.6" x14ac:dyDescent="0.35">
      <c r="A37" s="60" t="s">
        <v>50</v>
      </c>
      <c r="E37" s="5" t="s">
        <v>34</v>
      </c>
      <c r="F37" s="5">
        <f>F34/B36</f>
        <v>250000.74676110159</v>
      </c>
      <c r="H37" s="40" t="s">
        <v>36</v>
      </c>
      <c r="I37" s="5">
        <f>SQRT(F39)</f>
        <v>433012.70120278897</v>
      </c>
      <c r="T37" t="s">
        <v>47</v>
      </c>
    </row>
    <row r="38" spans="1:20" ht="15.6" x14ac:dyDescent="0.35">
      <c r="A38" s="60">
        <v>1</v>
      </c>
      <c r="E38" s="40" t="s">
        <v>31</v>
      </c>
      <c r="F38" s="5">
        <f>(G34/B36)-(F36*F37)</f>
        <v>187499813011.19272</v>
      </c>
      <c r="H38" s="55" t="s">
        <v>37</v>
      </c>
      <c r="I38" s="56">
        <f>F38/(I37*I36)</f>
        <v>0.99999999999980482</v>
      </c>
      <c r="S38" s="5">
        <f t="shared" ref="S38:S43" si="17">D28</f>
        <v>1</v>
      </c>
      <c r="T38" s="5">
        <f t="shared" ref="T38:T43" si="18">(ABS((C28-T30)/C28)*100)*S38</f>
        <v>2.1175823681357508E-14</v>
      </c>
    </row>
    <row r="39" spans="1:20" ht="16.8" x14ac:dyDescent="0.35">
      <c r="E39" s="5" t="s">
        <v>32</v>
      </c>
      <c r="F39" s="5">
        <f>(H34/B36)-(F36^2)</f>
        <v>187499999402.93579</v>
      </c>
      <c r="S39" s="5">
        <f t="shared" si="17"/>
        <v>0</v>
      </c>
      <c r="T39" s="5">
        <f t="shared" si="18"/>
        <v>0</v>
      </c>
    </row>
    <row r="40" spans="1:20" ht="15" thickBot="1" x14ac:dyDescent="0.35">
      <c r="H40" s="57" t="s">
        <v>41</v>
      </c>
      <c r="I40" s="57"/>
      <c r="S40" s="5">
        <f t="shared" si="17"/>
        <v>1</v>
      </c>
      <c r="T40" s="5">
        <f t="shared" si="18"/>
        <v>15.632110624973505</v>
      </c>
    </row>
    <row r="41" spans="1:20" ht="16.2" thickBot="1" x14ac:dyDescent="0.4">
      <c r="E41" s="5" t="s">
        <v>46</v>
      </c>
      <c r="F41" s="5">
        <f>(F38/F39)</f>
        <v>0.99999900591070046</v>
      </c>
      <c r="H41" s="35" t="s">
        <v>25</v>
      </c>
      <c r="I41" s="36" t="s">
        <v>42</v>
      </c>
      <c r="S41" s="5">
        <f t="shared" si="17"/>
        <v>1</v>
      </c>
      <c r="T41" s="5">
        <f t="shared" si="18"/>
        <v>54.813895627961195</v>
      </c>
    </row>
    <row r="42" spans="1:20" ht="15.6" x14ac:dyDescent="0.35">
      <c r="E42" s="5" t="s">
        <v>40</v>
      </c>
      <c r="F42" s="5">
        <f>(F37-(F41*F36))</f>
        <v>0.9940892992017325</v>
      </c>
      <c r="H42" s="26">
        <f>E29</f>
        <v>0</v>
      </c>
      <c r="I42" s="26">
        <f>$F$41*H42+$F$42</f>
        <v>0.9940892992017325</v>
      </c>
      <c r="S42" s="5">
        <f t="shared" si="17"/>
        <v>1</v>
      </c>
      <c r="T42" s="5">
        <f t="shared" si="18"/>
        <v>66.808477538197693</v>
      </c>
    </row>
    <row r="43" spans="1:20" x14ac:dyDescent="0.3">
      <c r="H43" s="26">
        <f>E30</f>
        <v>2.7862914460852605E-3</v>
      </c>
      <c r="I43" s="26">
        <f>$F$41*H43+$F$42</f>
        <v>0.99687558787799524</v>
      </c>
      <c r="S43" s="5">
        <f t="shared" si="17"/>
        <v>1</v>
      </c>
      <c r="T43" s="5">
        <f t="shared" si="18"/>
        <v>72.340153914919284</v>
      </c>
    </row>
    <row r="44" spans="1:20" ht="15.6" x14ac:dyDescent="0.35">
      <c r="E44" s="5" t="s">
        <v>44</v>
      </c>
      <c r="F44" s="5">
        <f>1/F42</f>
        <v>1.0059458449085146</v>
      </c>
      <c r="H44" s="26">
        <f>E31</f>
        <v>1.1909015124449208E-3</v>
      </c>
      <c r="I44" s="26">
        <f>$F$41*H44+$F$42</f>
        <v>0.99528019953031499</v>
      </c>
      <c r="S44" s="56" t="s">
        <v>48</v>
      </c>
      <c r="T44" s="56">
        <f>SUM(T38:T43)/B36</f>
        <v>52.398659426512928</v>
      </c>
    </row>
    <row r="45" spans="1:20" ht="15.6" x14ac:dyDescent="0.35">
      <c r="E45" s="5" t="s">
        <v>45</v>
      </c>
      <c r="F45" s="5">
        <f>1/(F44*F41)</f>
        <v>0.99409028741625005</v>
      </c>
      <c r="H45" s="26">
        <f>E32</f>
        <v>5.6818181818181815E-4</v>
      </c>
      <c r="I45" s="26">
        <f>$F$41*H45+$F$42</f>
        <v>0.99465748045509084</v>
      </c>
    </row>
    <row r="46" spans="1:20" x14ac:dyDescent="0.3">
      <c r="H46" s="26">
        <f>E33</f>
        <v>2.3113905325443788E-4</v>
      </c>
      <c r="I46" s="26">
        <f>$F$41*H46+$F$42</f>
        <v>0.99432043802521408</v>
      </c>
    </row>
  </sheetData>
  <mergeCells count="3">
    <mergeCell ref="B1:C1"/>
    <mergeCell ref="A24:E24"/>
    <mergeCell ref="B26:C26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F88108822FB74394395B80CC211F38" ma:contentTypeVersion="4" ma:contentTypeDescription="Crear nuevo documento." ma:contentTypeScope="" ma:versionID="f8d1dffae2ffd24914c731cdc21c497c">
  <xsd:schema xmlns:xsd="http://www.w3.org/2001/XMLSchema" xmlns:xs="http://www.w3.org/2001/XMLSchema" xmlns:p="http://schemas.microsoft.com/office/2006/metadata/properties" xmlns:ns2="8a90932f-22e5-4a0c-919e-2ead68215799" targetNamespace="http://schemas.microsoft.com/office/2006/metadata/properties" ma:root="true" ma:fieldsID="184934c268f119344aac11251eca962b" ns2:_="">
    <xsd:import namespace="8a90932f-22e5-4a0c-919e-2ead682157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0932f-22e5-4a0c-919e-2ead682157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A88B37-987A-42EA-8E88-AB3DBEA5B404}"/>
</file>

<file path=customXml/itemProps2.xml><?xml version="1.0" encoding="utf-8"?>
<ds:datastoreItem xmlns:ds="http://schemas.openxmlformats.org/officeDocument/2006/customXml" ds:itemID="{9E27C2B1-A878-4A1D-AB89-D8F62B2198E9}"/>
</file>

<file path=customXml/itemProps3.xml><?xml version="1.0" encoding="utf-8"?>
<ds:datastoreItem xmlns:ds="http://schemas.openxmlformats.org/officeDocument/2006/customXml" ds:itemID="{61DAE561-85B0-4916-BFA6-9A34AE7416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Datos de laboratorio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2021-04-27T16:46:01Z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0x010100D9F88108822FB74394395B80CC211F38</vt:lpwstr>
  </property>
</Properties>
</file>