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3/mesures/"/>
    </mc:Choice>
  </mc:AlternateContent>
  <xr:revisionPtr revIDLastSave="0" documentId="13_ncr:1_{3033CC60-0074-1D42-B83C-618EA67EC80E}" xr6:coauthVersionLast="47" xr6:coauthVersionMax="47" xr10:uidLastSave="{00000000-0000-0000-0000-000000000000}"/>
  <bookViews>
    <workbookView xWindow="0" yWindow="500" windowWidth="28800" windowHeight="16360" xr2:uid="{0B3496DC-FE75-484B-81FB-5E96C744887E}"/>
  </bookViews>
  <sheets>
    <sheet name="Facteurs correctifs" sheetId="2" r:id="rId1"/>
    <sheet name="Mesures Clinac 2" sheetId="1" r:id="rId2"/>
    <sheet name="Déplacements" sheetId="4" r:id="rId3"/>
    <sheet name="RDT" sheetId="3" r:id="rId4"/>
    <sheet name="RDT f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L54" i="1"/>
  <c r="K54" i="1"/>
  <c r="J54" i="1"/>
  <c r="I54" i="1"/>
  <c r="K50" i="1"/>
  <c r="F55" i="1"/>
  <c r="E55" i="1"/>
  <c r="D55" i="1"/>
  <c r="F54" i="1"/>
  <c r="E54" i="1"/>
  <c r="D54" i="1"/>
  <c r="C54" i="1"/>
  <c r="C14" i="2"/>
  <c r="P40" i="1"/>
  <c r="P39" i="1"/>
  <c r="R43" i="1" s="1"/>
  <c r="L73" i="1"/>
  <c r="L72" i="1"/>
  <c r="L71" i="1"/>
  <c r="K73" i="1"/>
  <c r="K72" i="1"/>
  <c r="K71" i="1"/>
  <c r="J73" i="1"/>
  <c r="J72" i="1"/>
  <c r="J71" i="1"/>
  <c r="I73" i="1"/>
  <c r="I72" i="1"/>
  <c r="I71" i="1"/>
  <c r="J74" i="1"/>
  <c r="I74" i="1"/>
  <c r="L74" i="1"/>
  <c r="K74" i="1"/>
  <c r="C27" i="2"/>
  <c r="L65" i="1"/>
  <c r="I48" i="1"/>
  <c r="E48" i="1"/>
  <c r="C48" i="1"/>
  <c r="D26" i="4"/>
  <c r="C26" i="4"/>
  <c r="D13" i="4"/>
  <c r="C13" i="4"/>
  <c r="H4" i="4"/>
  <c r="C35" i="2"/>
  <c r="C34" i="2"/>
  <c r="L27" i="3"/>
  <c r="L28" i="3" s="1"/>
  <c r="L31" i="3" s="1"/>
  <c r="K27" i="3"/>
  <c r="K28" i="3" s="1"/>
  <c r="K31" i="3" s="1"/>
  <c r="D25" i="2"/>
  <c r="E25" i="2"/>
  <c r="F25" i="2"/>
  <c r="G25" i="2"/>
  <c r="H25" i="2"/>
  <c r="I25" i="2"/>
  <c r="G27" i="2" s="1"/>
  <c r="I35" i="2" s="1"/>
  <c r="J25" i="2"/>
  <c r="C25" i="2"/>
  <c r="D73" i="1"/>
  <c r="C73" i="1"/>
  <c r="D13" i="2"/>
  <c r="E13" i="2"/>
  <c r="F13" i="2"/>
  <c r="C13" i="2"/>
  <c r="C15" i="2" s="1"/>
  <c r="H13" i="2"/>
  <c r="I13" i="2"/>
  <c r="J13" i="2"/>
  <c r="G13" i="2"/>
  <c r="G14" i="2" s="1"/>
  <c r="G34" i="2" s="1"/>
  <c r="L49" i="1"/>
  <c r="K49" i="1"/>
  <c r="J49" i="1"/>
  <c r="I49" i="1"/>
  <c r="L48" i="1"/>
  <c r="K48" i="1"/>
  <c r="J48" i="1"/>
  <c r="E49" i="1"/>
  <c r="F49" i="1"/>
  <c r="D49" i="1"/>
  <c r="C49" i="1"/>
  <c r="F48" i="1"/>
  <c r="D48" i="1"/>
  <c r="D72" i="1"/>
  <c r="C72" i="1"/>
  <c r="F16" i="1"/>
  <c r="D16" i="1"/>
  <c r="C4" i="2"/>
  <c r="O20" i="2"/>
  <c r="E16" i="1"/>
  <c r="J70" i="1" s="1"/>
  <c r="J76" i="1" s="1"/>
  <c r="J77" i="1" s="1"/>
  <c r="C16" i="1"/>
  <c r="I70" i="1" s="1"/>
  <c r="K70" i="1" l="1"/>
  <c r="K76" i="1" s="1"/>
  <c r="K77" i="1" s="1"/>
  <c r="Q43" i="1"/>
  <c r="L70" i="1"/>
  <c r="L76" i="1" s="1"/>
  <c r="L77" i="1" s="1"/>
  <c r="I76" i="1"/>
  <c r="I77" i="1" s="1"/>
  <c r="C36" i="2"/>
  <c r="F35" i="2"/>
  <c r="G15" i="2"/>
  <c r="G35" i="2" s="1"/>
  <c r="G28" i="2"/>
  <c r="C28" i="2"/>
  <c r="H35" i="2"/>
  <c r="K30" i="3"/>
  <c r="L30" i="3"/>
  <c r="G26" i="2"/>
  <c r="I34" i="2" s="1"/>
  <c r="C26" i="2"/>
  <c r="D20" i="1"/>
  <c r="D21" i="1" s="1"/>
  <c r="C20" i="1"/>
  <c r="C21" i="1" s="1"/>
  <c r="C16" i="2"/>
  <c r="G16" i="2"/>
  <c r="F34" i="2"/>
  <c r="K65" i="1" l="1"/>
  <c r="H34" i="2"/>
  <c r="D22" i="1"/>
  <c r="C22" i="1"/>
  <c r="C16" i="4" s="1"/>
  <c r="K12" i="1"/>
  <c r="L12" i="1"/>
  <c r="C50" i="1" l="1"/>
  <c r="I50" i="1"/>
  <c r="I51" i="1" s="1"/>
  <c r="I52" i="1" s="1"/>
  <c r="I53" i="1" s="1"/>
  <c r="D16" i="4"/>
  <c r="L50" i="1"/>
  <c r="L51" i="1" s="1"/>
  <c r="L52" i="1" s="1"/>
  <c r="L53" i="1" s="1"/>
  <c r="E50" i="1"/>
  <c r="F50" i="1"/>
  <c r="F51" i="1" s="1"/>
  <c r="F52" i="1" s="1"/>
  <c r="F53" i="1" s="1"/>
  <c r="J50" i="1"/>
  <c r="J51" i="1" s="1"/>
  <c r="J52" i="1" s="1"/>
  <c r="J53" i="1" s="1"/>
  <c r="D50" i="1"/>
  <c r="D51" i="1" s="1"/>
  <c r="D52" i="1" s="1"/>
  <c r="D53" i="1" s="1"/>
  <c r="K51" i="1"/>
  <c r="K52" i="1" s="1"/>
  <c r="K53" i="1" s="1"/>
  <c r="E76" i="1"/>
  <c r="D76" i="1"/>
  <c r="E26" i="1"/>
  <c r="D30" i="1" s="1"/>
  <c r="D31" i="1" s="1"/>
  <c r="D32" i="1" s="1"/>
  <c r="D26" i="1"/>
  <c r="C30" i="1" s="1"/>
  <c r="C31" i="1" s="1"/>
  <c r="C32" i="1" s="1"/>
  <c r="D79" i="1" l="1"/>
  <c r="C55" i="1"/>
  <c r="E79" i="1"/>
  <c r="E51" i="1"/>
  <c r="E52" i="1" s="1"/>
  <c r="E53" i="1" s="1"/>
  <c r="C51" i="1"/>
  <c r="C52" i="1" s="1"/>
  <c r="C53" i="1" s="1"/>
  <c r="C82" i="1"/>
  <c r="C83" i="1" s="1"/>
  <c r="C84" i="1" s="1"/>
  <c r="D78" i="1"/>
  <c r="D82" i="1"/>
  <c r="D83" i="1" s="1"/>
  <c r="D84" i="1" s="1"/>
  <c r="E78" i="1"/>
  <c r="E27" i="1"/>
  <c r="D27" i="1"/>
</calcChain>
</file>

<file path=xl/sharedStrings.xml><?xml version="1.0" encoding="utf-8"?>
<sst xmlns="http://schemas.openxmlformats.org/spreadsheetml/2006/main" count="183" uniqueCount="78">
  <si>
    <t>X6</t>
  </si>
  <si>
    <t>X23</t>
  </si>
  <si>
    <t>Tension (V)</t>
  </si>
  <si>
    <t>Charge moyenne (nC)</t>
  </si>
  <si>
    <t>Charge 1 (nC)</t>
  </si>
  <si>
    <t>Charge 2 (nC)</t>
  </si>
  <si>
    <t>Charge 3 (nC)</t>
  </si>
  <si>
    <t>krec</t>
  </si>
  <si>
    <t>T mes (°C)</t>
  </si>
  <si>
    <t>P mes (hPa)</t>
  </si>
  <si>
    <t>Mesures brutes (nC)</t>
  </si>
  <si>
    <t>Recette</t>
  </si>
  <si>
    <t>Mesure</t>
  </si>
  <si>
    <t>ER (%)</t>
  </si>
  <si>
    <t>Produit des facteurs correctifs</t>
  </si>
  <si>
    <t>PTW 011924</t>
  </si>
  <si>
    <t>PTW 012164</t>
  </si>
  <si>
    <t>10 cm</t>
  </si>
  <si>
    <t>20 cm</t>
  </si>
  <si>
    <t>Qualité</t>
  </si>
  <si>
    <r>
      <t>N</t>
    </r>
    <r>
      <rPr>
        <vertAlign val="subscript"/>
        <sz val="12"/>
        <color theme="1"/>
        <rFont val="Calibri (Corps)"/>
      </rPr>
      <t>Dw</t>
    </r>
    <r>
      <rPr>
        <sz val="12"/>
        <color theme="1"/>
        <rFont val="Calibri"/>
        <family val="2"/>
        <scheme val="minor"/>
      </rPr>
      <t xml:space="preserve"> (Gy/nC)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</si>
  <si>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</si>
  <si>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</si>
  <si>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</si>
  <si>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</si>
  <si>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</si>
  <si>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</si>
  <si>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</si>
  <si>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Mesure Pinpoint</t>
  </si>
  <si>
    <t>Mesure Farmer</t>
  </si>
  <si>
    <t>Pré irradiation + zéro électromètre à chaque changement de tension CI</t>
  </si>
  <si>
    <r>
      <t>k</t>
    </r>
    <r>
      <rPr>
        <b/>
        <vertAlign val="subscript"/>
        <sz val="12"/>
        <color theme="1"/>
        <rFont val="Calibri (Corps)"/>
      </rPr>
      <t>Q,Q0</t>
    </r>
  </si>
  <si>
    <t>kpol 400 V</t>
  </si>
  <si>
    <t>kpol 100 V</t>
  </si>
  <si>
    <t>Chambre PinPoint</t>
  </si>
  <si>
    <t>Inncertitudes de placement</t>
  </si>
  <si>
    <t>101 mm</t>
  </si>
  <si>
    <t>109 mm</t>
  </si>
  <si>
    <t>Ecart type (nC)</t>
  </si>
  <si>
    <t>PinPoint 31014</t>
  </si>
  <si>
    <t>Dose dans l'eau pour
200 UM (Gy)</t>
  </si>
  <si>
    <t>400 UM/min</t>
  </si>
  <si>
    <t>REF 1</t>
  </si>
  <si>
    <t>REF 2</t>
  </si>
  <si>
    <t>Profondeur (cm)</t>
  </si>
  <si>
    <t>D20/D10</t>
  </si>
  <si>
    <t>IQ</t>
  </si>
  <si>
    <t>Charge X6 (nC)</t>
  </si>
  <si>
    <t>Charge X23 (nC)</t>
  </si>
  <si>
    <t>Recette D20/D10</t>
  </si>
  <si>
    <t>ER D20/D10 (%)</t>
  </si>
  <si>
    <t>ER IQ (%)</t>
  </si>
  <si>
    <t>Température</t>
  </si>
  <si>
    <t>Pression</t>
  </si>
  <si>
    <t>kpol</t>
  </si>
  <si>
    <t>Farmer</t>
  </si>
  <si>
    <t>PinPoint</t>
  </si>
  <si>
    <t>Incertitude absolue</t>
  </si>
  <si>
    <t>kTP</t>
  </si>
  <si>
    <t>Charge (nC)</t>
  </si>
  <si>
    <t>Dose (Gy)</t>
  </si>
  <si>
    <t>20x20</t>
  </si>
  <si>
    <t>10x10</t>
  </si>
  <si>
    <t>Incertitude absolue (k=2)</t>
  </si>
  <si>
    <t>Incertitude relative (%)</t>
  </si>
  <si>
    <t>Incertitudes</t>
  </si>
  <si>
    <t>Charge</t>
  </si>
  <si>
    <t>total</t>
  </si>
  <si>
    <t>élargie k=2 (%)</t>
  </si>
  <si>
    <t>kQQ0 (%)</t>
  </si>
  <si>
    <t>Ndeau (%)</t>
  </si>
  <si>
    <t>Pinpoint</t>
  </si>
  <si>
    <t>Incertitude (%)</t>
  </si>
  <si>
    <t>Incertitude k=2 (%)</t>
  </si>
  <si>
    <t>Incertitude absolue (Gy)</t>
  </si>
  <si>
    <t>ER ref 1 (%)</t>
  </si>
  <si>
    <t>Ecart (mGy)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</si>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</sst>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"/>
    <numFmt numFmtId="168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vertAlign val="subscript"/>
      <sz val="12"/>
      <color theme="1"/>
      <name val="Calibri (Corps)"/>
    </font>
    <font>
      <sz val="12"/>
      <color rgb="FFFF0000"/>
      <name val="Calibri (Corps)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4" fillId="0" borderId="0" xfId="0" applyFont="1"/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0" xfId="0" applyNumberFormat="1"/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0" fillId="5" borderId="12" xfId="0" applyNumberFormat="1" applyFill="1" applyBorder="1" applyAlignment="1">
      <alignment horizontal="center"/>
    </xf>
    <xf numFmtId="167" fontId="0" fillId="5" borderId="15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/>
    <xf numFmtId="167" fontId="0" fillId="0" borderId="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4" fontId="0" fillId="5" borderId="0" xfId="0" applyNumberFormat="1" applyFill="1" applyAlignment="1">
      <alignment vertical="center"/>
    </xf>
    <xf numFmtId="164" fontId="0" fillId="5" borderId="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vertical="center"/>
    </xf>
    <xf numFmtId="168" fontId="0" fillId="5" borderId="14" xfId="0" applyNumberFormat="1" applyFill="1" applyBorder="1" applyAlignment="1">
      <alignment vertical="center"/>
    </xf>
    <xf numFmtId="165" fontId="0" fillId="5" borderId="15" xfId="0" applyNumberFormat="1" applyFill="1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7" fontId="0" fillId="5" borderId="14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quotePrefix="1"/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RDT mini cuve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RDT!$B$1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RDT!$B$2:$B$25</c:f>
              <c:numCache>
                <c:formatCode>0.00</c:formatCode>
                <c:ptCount val="24"/>
                <c:pt idx="0">
                  <c:v>15.52</c:v>
                </c:pt>
                <c:pt idx="1">
                  <c:v>35.94</c:v>
                </c:pt>
                <c:pt idx="2">
                  <c:v>36.83</c:v>
                </c:pt>
                <c:pt idx="3">
                  <c:v>35.299999999999997</c:v>
                </c:pt>
                <c:pt idx="4">
                  <c:v>33.729999999999997</c:v>
                </c:pt>
                <c:pt idx="5">
                  <c:v>32.15</c:v>
                </c:pt>
                <c:pt idx="6">
                  <c:v>30.6</c:v>
                </c:pt>
                <c:pt idx="7">
                  <c:v>29.05</c:v>
                </c:pt>
                <c:pt idx="8">
                  <c:v>27.56</c:v>
                </c:pt>
                <c:pt idx="9">
                  <c:v>26.14</c:v>
                </c:pt>
                <c:pt idx="10">
                  <c:v>24.76</c:v>
                </c:pt>
                <c:pt idx="11">
                  <c:v>23.45</c:v>
                </c:pt>
                <c:pt idx="12">
                  <c:v>22.2</c:v>
                </c:pt>
                <c:pt idx="13">
                  <c:v>20.96</c:v>
                </c:pt>
                <c:pt idx="14">
                  <c:v>19.84</c:v>
                </c:pt>
                <c:pt idx="15">
                  <c:v>18.73</c:v>
                </c:pt>
                <c:pt idx="16">
                  <c:v>17.73</c:v>
                </c:pt>
                <c:pt idx="17">
                  <c:v>16.739999999999998</c:v>
                </c:pt>
                <c:pt idx="18">
                  <c:v>15.83</c:v>
                </c:pt>
                <c:pt idx="19">
                  <c:v>14.93</c:v>
                </c:pt>
                <c:pt idx="20">
                  <c:v>14.13</c:v>
                </c:pt>
                <c:pt idx="21">
                  <c:v>13.33</c:v>
                </c:pt>
                <c:pt idx="22">
                  <c:v>12.6</c:v>
                </c:pt>
                <c:pt idx="2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543-9D40-8B231420A94E}"/>
            </c:ext>
          </c:extLst>
        </c:ser>
        <c:ser>
          <c:idx val="1"/>
          <c:order val="1"/>
          <c:tx>
            <c:strRef>
              <c:f>RDT!$C$1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RDT!$C$2:$C$25</c:f>
              <c:numCache>
                <c:formatCode>0.00</c:formatCode>
                <c:ptCount val="24"/>
                <c:pt idx="0">
                  <c:v>8.3089999999999993</c:v>
                </c:pt>
                <c:pt idx="1">
                  <c:v>28.64</c:v>
                </c:pt>
                <c:pt idx="2">
                  <c:v>36.19</c:v>
                </c:pt>
                <c:pt idx="3">
                  <c:v>38</c:v>
                </c:pt>
                <c:pt idx="4">
                  <c:v>37.78</c:v>
                </c:pt>
                <c:pt idx="5">
                  <c:v>36.76</c:v>
                </c:pt>
                <c:pt idx="6">
                  <c:v>35.51</c:v>
                </c:pt>
                <c:pt idx="7">
                  <c:v>34.19</c:v>
                </c:pt>
                <c:pt idx="8">
                  <c:v>32.89</c:v>
                </c:pt>
                <c:pt idx="9">
                  <c:v>31.58</c:v>
                </c:pt>
                <c:pt idx="10">
                  <c:v>30.35</c:v>
                </c:pt>
                <c:pt idx="11">
                  <c:v>29.13</c:v>
                </c:pt>
                <c:pt idx="12">
                  <c:v>27.99</c:v>
                </c:pt>
                <c:pt idx="13">
                  <c:v>26.84</c:v>
                </c:pt>
                <c:pt idx="14">
                  <c:v>25.78</c:v>
                </c:pt>
                <c:pt idx="15">
                  <c:v>24.73</c:v>
                </c:pt>
                <c:pt idx="16">
                  <c:v>23.75</c:v>
                </c:pt>
                <c:pt idx="17">
                  <c:v>22.78</c:v>
                </c:pt>
                <c:pt idx="18">
                  <c:v>21.87</c:v>
                </c:pt>
                <c:pt idx="19">
                  <c:v>20.99</c:v>
                </c:pt>
                <c:pt idx="20">
                  <c:v>20.149999999999999</c:v>
                </c:pt>
                <c:pt idx="21">
                  <c:v>19.309999999999999</c:v>
                </c:pt>
                <c:pt idx="22">
                  <c:v>18.54</c:v>
                </c:pt>
                <c:pt idx="23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543-9D40-8B231420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00944"/>
        <c:axId val="1365824304"/>
      </c:scatterChart>
      <c:valAx>
        <c:axId val="1365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824304"/>
        <c:crosses val="autoZero"/>
        <c:crossBetween val="midCat"/>
      </c:valAx>
      <c:valAx>
        <c:axId val="13658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7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'RDT fin'!$B$1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fin'!$B$2:$B$26</c:f>
              <c:numCache>
                <c:formatCode>General</c:formatCode>
                <c:ptCount val="25"/>
                <c:pt idx="0">
                  <c:v>15.86</c:v>
                </c:pt>
                <c:pt idx="1">
                  <c:v>17.3</c:v>
                </c:pt>
                <c:pt idx="2">
                  <c:v>20.75</c:v>
                </c:pt>
                <c:pt idx="3">
                  <c:v>31.7</c:v>
                </c:pt>
                <c:pt idx="4">
                  <c:v>34.65</c:v>
                </c:pt>
                <c:pt idx="5">
                  <c:v>36.229999999999997</c:v>
                </c:pt>
                <c:pt idx="6">
                  <c:v>36.93</c:v>
                </c:pt>
                <c:pt idx="7">
                  <c:v>37.229999999999997</c:v>
                </c:pt>
                <c:pt idx="8">
                  <c:v>37.229999999999997</c:v>
                </c:pt>
                <c:pt idx="9">
                  <c:v>37.08</c:v>
                </c:pt>
                <c:pt idx="10">
                  <c:v>36.909999999999997</c:v>
                </c:pt>
                <c:pt idx="11">
                  <c:v>36.65</c:v>
                </c:pt>
                <c:pt idx="12">
                  <c:v>36.299999999999997</c:v>
                </c:pt>
                <c:pt idx="13">
                  <c:v>35.979999999999997</c:v>
                </c:pt>
                <c:pt idx="14">
                  <c:v>35.69</c:v>
                </c:pt>
                <c:pt idx="15">
                  <c:v>35.35</c:v>
                </c:pt>
                <c:pt idx="16">
                  <c:v>34.56</c:v>
                </c:pt>
                <c:pt idx="17">
                  <c:v>33.76</c:v>
                </c:pt>
                <c:pt idx="18">
                  <c:v>30.63</c:v>
                </c:pt>
                <c:pt idx="19">
                  <c:v>26.15</c:v>
                </c:pt>
                <c:pt idx="20">
                  <c:v>22.21</c:v>
                </c:pt>
                <c:pt idx="21">
                  <c:v>18.739999999999998</c:v>
                </c:pt>
                <c:pt idx="22">
                  <c:v>15.86</c:v>
                </c:pt>
                <c:pt idx="23">
                  <c:v>13.35</c:v>
                </c:pt>
                <c:pt idx="24">
                  <c:v>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C-424E-B1DD-B6C0FEE22EF8}"/>
            </c:ext>
          </c:extLst>
        </c:ser>
        <c:ser>
          <c:idx val="1"/>
          <c:order val="1"/>
          <c:tx>
            <c:strRef>
              <c:f>'RDT fin'!$C$1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fin'!$C$2:$C$26</c:f>
              <c:numCache>
                <c:formatCode>General</c:formatCode>
                <c:ptCount val="25"/>
                <c:pt idx="0">
                  <c:v>10.119999999999999</c:v>
                </c:pt>
                <c:pt idx="1">
                  <c:v>11.03</c:v>
                </c:pt>
                <c:pt idx="2">
                  <c:v>13.34</c:v>
                </c:pt>
                <c:pt idx="3">
                  <c:v>22.15</c:v>
                </c:pt>
                <c:pt idx="4">
                  <c:v>26.05</c:v>
                </c:pt>
                <c:pt idx="5">
                  <c:v>29.11</c:v>
                </c:pt>
                <c:pt idx="6">
                  <c:v>31.33</c:v>
                </c:pt>
                <c:pt idx="7">
                  <c:v>33.14</c:v>
                </c:pt>
                <c:pt idx="8">
                  <c:v>34.5</c:v>
                </c:pt>
                <c:pt idx="9">
                  <c:v>35.57</c:v>
                </c:pt>
                <c:pt idx="10">
                  <c:v>36.340000000000003</c:v>
                </c:pt>
                <c:pt idx="11">
                  <c:v>36.979999999999997</c:v>
                </c:pt>
                <c:pt idx="12">
                  <c:v>37.4</c:v>
                </c:pt>
                <c:pt idx="13">
                  <c:v>37.770000000000003</c:v>
                </c:pt>
                <c:pt idx="14">
                  <c:v>37.93</c:v>
                </c:pt>
                <c:pt idx="15">
                  <c:v>38.090000000000003</c:v>
                </c:pt>
                <c:pt idx="16">
                  <c:v>38.06</c:v>
                </c:pt>
                <c:pt idx="17">
                  <c:v>37.81</c:v>
                </c:pt>
                <c:pt idx="18">
                  <c:v>35.49</c:v>
                </c:pt>
                <c:pt idx="19">
                  <c:v>31.62</c:v>
                </c:pt>
                <c:pt idx="20">
                  <c:v>27.97</c:v>
                </c:pt>
                <c:pt idx="21">
                  <c:v>24.75</c:v>
                </c:pt>
                <c:pt idx="22">
                  <c:v>21.86</c:v>
                </c:pt>
                <c:pt idx="23">
                  <c:v>19.34</c:v>
                </c:pt>
                <c:pt idx="24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C-424E-B1DD-B6C0FEE2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919"/>
        <c:axId val="101495519"/>
      </c:scatterChart>
      <c:valAx>
        <c:axId val="708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19"/>
        <c:crosses val="autoZero"/>
        <c:crossBetween val="midCat"/>
      </c:valAx>
      <c:valAx>
        <c:axId val="101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3</xdr:row>
      <xdr:rowOff>203200</xdr:rowOff>
    </xdr:from>
    <xdr:to>
      <xdr:col>19</xdr:col>
      <xdr:colOff>723900</xdr:colOff>
      <xdr:row>17</xdr:row>
      <xdr:rowOff>166779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48984D-C549-DF4A-B6BE-BA48D851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300" y="889000"/>
          <a:ext cx="7772400" cy="2922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0</xdr:row>
      <xdr:rowOff>177800</xdr:rowOff>
    </xdr:from>
    <xdr:to>
      <xdr:col>14</xdr:col>
      <xdr:colOff>609600</xdr:colOff>
      <xdr:row>24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B3BC03-74A0-A414-C018-6B4472C6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190500</xdr:rowOff>
    </xdr:from>
    <xdr:to>
      <xdr:col>14</xdr:col>
      <xdr:colOff>349250</xdr:colOff>
      <xdr:row>26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C96B5E-DAF7-50EB-CF69-8091D3B4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B24-2B93-C343-AFA4-0AA761761623}">
  <dimension ref="B1:R37"/>
  <sheetViews>
    <sheetView tabSelected="1" topLeftCell="A6" zoomScale="97" workbookViewId="0">
      <selection activeCell="L32" sqref="L32"/>
    </sheetView>
  </sheetViews>
  <sheetFormatPr baseColWidth="10" defaultRowHeight="16" x14ac:dyDescent="0.2"/>
  <cols>
    <col min="2" max="2" width="19" bestFit="1" customWidth="1"/>
  </cols>
  <sheetData>
    <row r="1" spans="2:10" ht="17" thickBot="1" x14ac:dyDescent="0.25"/>
    <row r="2" spans="2:10" ht="18" x14ac:dyDescent="0.2">
      <c r="B2" s="24" t="s">
        <v>8</v>
      </c>
      <c r="C2" s="6">
        <v>21</v>
      </c>
      <c r="E2" s="24" t="s">
        <v>22</v>
      </c>
      <c r="F2" s="2">
        <v>1013.25</v>
      </c>
      <c r="I2" s="33" t="s">
        <v>30</v>
      </c>
    </row>
    <row r="3" spans="2:10" ht="19" thickBot="1" x14ac:dyDescent="0.25">
      <c r="B3" s="25" t="s">
        <v>9</v>
      </c>
      <c r="C3" s="8">
        <v>1015</v>
      </c>
      <c r="E3" s="25" t="s">
        <v>23</v>
      </c>
      <c r="F3" s="5">
        <v>20</v>
      </c>
    </row>
    <row r="4" spans="2:10" ht="19" thickBot="1" x14ac:dyDescent="0.25">
      <c r="B4" s="16" t="s">
        <v>21</v>
      </c>
      <c r="C4" s="17">
        <f>(F2*(C2+273.15))/((F3+273.15)*C3)</f>
        <v>1.0016812035735501</v>
      </c>
    </row>
    <row r="5" spans="2:10" x14ac:dyDescent="0.2">
      <c r="B5" s="13"/>
      <c r="C5" s="15"/>
    </row>
    <row r="6" spans="2:10" x14ac:dyDescent="0.2">
      <c r="B6" s="168" t="s">
        <v>29</v>
      </c>
      <c r="C6" s="168"/>
      <c r="D6" s="168"/>
      <c r="E6" s="168"/>
      <c r="F6" s="168"/>
      <c r="G6" s="168"/>
      <c r="H6" s="168"/>
      <c r="I6" s="168"/>
      <c r="J6" s="168"/>
    </row>
    <row r="7" spans="2:10" ht="17" thickBot="1" x14ac:dyDescent="0.25"/>
    <row r="8" spans="2:10" ht="17" thickBot="1" x14ac:dyDescent="0.25">
      <c r="B8" s="1"/>
      <c r="C8" s="172" t="s">
        <v>0</v>
      </c>
      <c r="D8" s="173"/>
      <c r="E8" s="173"/>
      <c r="F8" s="174"/>
      <c r="G8" s="169" t="s">
        <v>1</v>
      </c>
      <c r="H8" s="170"/>
      <c r="I8" s="170"/>
      <c r="J8" s="171"/>
    </row>
    <row r="9" spans="2:10" ht="17" thickBot="1" x14ac:dyDescent="0.25">
      <c r="B9" s="26" t="s">
        <v>2</v>
      </c>
      <c r="C9" s="30">
        <v>400</v>
      </c>
      <c r="D9" s="31">
        <v>100</v>
      </c>
      <c r="E9" s="31">
        <v>-400</v>
      </c>
      <c r="F9" s="32">
        <v>-100</v>
      </c>
      <c r="G9" s="57">
        <v>400</v>
      </c>
      <c r="H9" s="58">
        <v>100</v>
      </c>
      <c r="I9" s="58">
        <v>-400</v>
      </c>
      <c r="J9" s="59">
        <v>-100</v>
      </c>
    </row>
    <row r="10" spans="2:10" x14ac:dyDescent="0.2">
      <c r="B10" s="56" t="s">
        <v>4</v>
      </c>
      <c r="C10" s="11">
        <v>29.69</v>
      </c>
      <c r="D10" s="54">
        <v>29.5</v>
      </c>
      <c r="E10" s="54">
        <v>29.8</v>
      </c>
      <c r="F10" s="62">
        <v>29.61</v>
      </c>
      <c r="G10" s="47">
        <v>36.64</v>
      </c>
      <c r="H10" s="53">
        <v>36.15</v>
      </c>
      <c r="I10" s="53">
        <v>36.78</v>
      </c>
      <c r="J10" s="63">
        <v>36.28</v>
      </c>
    </row>
    <row r="11" spans="2:10" x14ac:dyDescent="0.2">
      <c r="B11" s="56" t="s">
        <v>5</v>
      </c>
      <c r="C11" s="11">
        <v>29.7</v>
      </c>
      <c r="D11" s="54">
        <v>29.52</v>
      </c>
      <c r="E11" s="54">
        <v>29.82</v>
      </c>
      <c r="F11" s="62">
        <v>29.59</v>
      </c>
      <c r="G11" s="1">
        <v>36.619999999999997</v>
      </c>
      <c r="H11" s="54">
        <v>36.1</v>
      </c>
      <c r="I11" s="54">
        <v>36.75</v>
      </c>
      <c r="J11" s="62">
        <v>36.25</v>
      </c>
    </row>
    <row r="12" spans="2:10" ht="17" thickBot="1" x14ac:dyDescent="0.25">
      <c r="B12" s="56" t="s">
        <v>6</v>
      </c>
      <c r="C12" s="11">
        <v>29.73</v>
      </c>
      <c r="D12" s="54">
        <v>29.55</v>
      </c>
      <c r="E12" s="54">
        <v>29.8</v>
      </c>
      <c r="F12" s="62">
        <v>29.61</v>
      </c>
      <c r="G12" s="1">
        <v>36.61</v>
      </c>
      <c r="H12" s="54">
        <v>36.08</v>
      </c>
      <c r="I12" s="54">
        <v>36.729999999999997</v>
      </c>
      <c r="J12" s="62">
        <v>36.21</v>
      </c>
    </row>
    <row r="13" spans="2:10" ht="17" thickBot="1" x14ac:dyDescent="0.25">
      <c r="B13" s="56" t="s">
        <v>3</v>
      </c>
      <c r="C13" s="50">
        <f>AVERAGE(C10:C12)</f>
        <v>29.706666666666667</v>
      </c>
      <c r="D13" s="52">
        <f t="shared" ref="D13:E13" si="0">AVERAGE(D10:D12)</f>
        <v>29.52333333333333</v>
      </c>
      <c r="E13" s="52">
        <f t="shared" si="0"/>
        <v>29.806666666666668</v>
      </c>
      <c r="F13" s="61">
        <f>AVERAGE(F10:F12)</f>
        <v>29.603333333333335</v>
      </c>
      <c r="G13" s="52">
        <f>AVERAGE(G10:G12)</f>
        <v>36.623333333333328</v>
      </c>
      <c r="H13" s="52">
        <f t="shared" ref="H13:J13" si="1">AVERAGE(H10:H12)</f>
        <v>36.11</v>
      </c>
      <c r="I13" s="52">
        <f t="shared" si="1"/>
        <v>36.75333333333333</v>
      </c>
      <c r="J13" s="61">
        <f t="shared" si="1"/>
        <v>36.24666666666667</v>
      </c>
    </row>
    <row r="14" spans="2:10" x14ac:dyDescent="0.2">
      <c r="B14" s="29" t="s">
        <v>7</v>
      </c>
      <c r="C14" s="155">
        <f>P20+Q20*C13/D13+R20*(C13/D13)^2</f>
        <v>1.0019940684631883</v>
      </c>
      <c r="D14" s="136"/>
      <c r="E14" s="136"/>
      <c r="F14" s="137"/>
      <c r="G14" s="135">
        <f>P20+Q20*G13/H13+R20*(G13/H13)^2</f>
        <v>1.0046037597782551</v>
      </c>
      <c r="H14" s="136"/>
      <c r="I14" s="136"/>
      <c r="J14" s="137"/>
    </row>
    <row r="15" spans="2:10" x14ac:dyDescent="0.2">
      <c r="B15" s="36" t="s">
        <v>32</v>
      </c>
      <c r="C15" s="135">
        <f>(ABS(C13)+ABS(E13))/(2*ABS(C11))</f>
        <v>1.0019079685746353</v>
      </c>
      <c r="D15" s="136"/>
      <c r="E15" s="136"/>
      <c r="F15" s="137"/>
      <c r="G15" s="135">
        <f>(ABS(G13)+ABS(I13))/(2*ABS(G11))</f>
        <v>1.0018660112870927</v>
      </c>
      <c r="H15" s="136"/>
      <c r="I15" s="136"/>
      <c r="J15" s="137"/>
    </row>
    <row r="16" spans="2:10" ht="17" thickBot="1" x14ac:dyDescent="0.25">
      <c r="B16" s="18" t="s">
        <v>33</v>
      </c>
      <c r="C16" s="138">
        <f>(ABS(D13)+ABS(F13))/(2*ABS(D13))</f>
        <v>1.0013548605622673</v>
      </c>
      <c r="D16" s="139"/>
      <c r="E16" s="139"/>
      <c r="F16" s="140"/>
      <c r="G16" s="138">
        <f>(ABS(H13)+ABS(J13))/(2*ABS(H13))</f>
        <v>1.0018923659189514</v>
      </c>
      <c r="H16" s="139"/>
      <c r="I16" s="139"/>
      <c r="J16" s="140"/>
    </row>
    <row r="17" spans="2:18" x14ac:dyDescent="0.2">
      <c r="B17" s="1"/>
      <c r="C17" s="1"/>
      <c r="D17" s="1"/>
      <c r="E17" s="1"/>
      <c r="F17" s="1"/>
      <c r="G17" s="1"/>
      <c r="H17" s="1"/>
    </row>
    <row r="18" spans="2:18" ht="17" thickBot="1" x14ac:dyDescent="0.25">
      <c r="B18" s="168" t="s">
        <v>28</v>
      </c>
      <c r="C18" s="168"/>
      <c r="D18" s="168"/>
      <c r="E18" s="168"/>
      <c r="F18" s="168"/>
      <c r="G18" s="168"/>
      <c r="H18" s="168"/>
      <c r="I18" s="168"/>
      <c r="J18" s="168"/>
    </row>
    <row r="19" spans="2:18" ht="19" thickBot="1" x14ac:dyDescent="0.25">
      <c r="O19" s="26" t="s">
        <v>24</v>
      </c>
      <c r="P19" s="21" t="s">
        <v>25</v>
      </c>
      <c r="Q19" s="27" t="s">
        <v>26</v>
      </c>
      <c r="R19" s="28" t="s">
        <v>27</v>
      </c>
    </row>
    <row r="20" spans="2:18" ht="17" thickBot="1" x14ac:dyDescent="0.25">
      <c r="B20" s="1"/>
      <c r="C20" s="172" t="s">
        <v>0</v>
      </c>
      <c r="D20" s="173"/>
      <c r="E20" s="173"/>
      <c r="F20" s="174"/>
      <c r="G20" s="169" t="s">
        <v>1</v>
      </c>
      <c r="H20" s="170"/>
      <c r="I20" s="170"/>
      <c r="J20" s="171"/>
      <c r="O20" s="25">
        <f>C9/D9</f>
        <v>4</v>
      </c>
      <c r="P20" s="4">
        <v>1.022</v>
      </c>
      <c r="Q20" s="4">
        <v>-0.36299999999999999</v>
      </c>
      <c r="R20" s="5">
        <v>0.34100000000000003</v>
      </c>
    </row>
    <row r="21" spans="2:18" ht="17" thickBot="1" x14ac:dyDescent="0.25">
      <c r="B21" s="26" t="s">
        <v>2</v>
      </c>
      <c r="C21" s="57">
        <v>400</v>
      </c>
      <c r="D21" s="58">
        <v>100</v>
      </c>
      <c r="E21" s="58">
        <v>-400</v>
      </c>
      <c r="F21" s="59">
        <v>-100</v>
      </c>
      <c r="G21" s="57">
        <v>400</v>
      </c>
      <c r="H21" s="58">
        <v>100</v>
      </c>
      <c r="I21" s="58">
        <v>-400</v>
      </c>
      <c r="J21" s="59">
        <v>-100</v>
      </c>
    </row>
    <row r="22" spans="2:18" x14ac:dyDescent="0.2">
      <c r="B22" s="56" t="s">
        <v>4</v>
      </c>
      <c r="C22" s="46">
        <v>0.67420000000000002</v>
      </c>
      <c r="D22" s="76">
        <v>0.66890000000000005</v>
      </c>
      <c r="E22" s="76">
        <v>0.68500000000000005</v>
      </c>
      <c r="F22" s="77">
        <v>0.68310000000000004</v>
      </c>
      <c r="G22" s="47">
        <v>0.83120000000000005</v>
      </c>
      <c r="H22" s="76">
        <v>0.8236</v>
      </c>
      <c r="I22" s="76">
        <v>0.84789999999999999</v>
      </c>
      <c r="J22" s="77">
        <v>0.84289999999999998</v>
      </c>
    </row>
    <row r="23" spans="2:18" x14ac:dyDescent="0.2">
      <c r="B23" s="56" t="s">
        <v>5</v>
      </c>
      <c r="C23" s="11">
        <v>0.67449999999999999</v>
      </c>
      <c r="D23" s="75">
        <v>0.66959999999999997</v>
      </c>
      <c r="E23" s="75">
        <v>0.68489999999999995</v>
      </c>
      <c r="F23" s="74">
        <v>0.68340000000000001</v>
      </c>
      <c r="G23" s="1">
        <v>0.83130000000000004</v>
      </c>
      <c r="H23" s="75">
        <v>0.82269999999999999</v>
      </c>
      <c r="I23" s="75">
        <v>0.84699999999999998</v>
      </c>
      <c r="J23" s="74">
        <v>0.84279999999999999</v>
      </c>
    </row>
    <row r="24" spans="2:18" x14ac:dyDescent="0.2">
      <c r="B24" s="56" t="s">
        <v>6</v>
      </c>
      <c r="C24" s="11">
        <v>0.67430000000000001</v>
      </c>
      <c r="D24" s="75">
        <v>0.6694</v>
      </c>
      <c r="E24" s="75">
        <v>0.68469999999999998</v>
      </c>
      <c r="F24" s="74">
        <v>0.68340000000000001</v>
      </c>
      <c r="G24" s="1">
        <v>0.83089999999999997</v>
      </c>
      <c r="H24" s="75">
        <v>0.82199999999999995</v>
      </c>
      <c r="I24" s="75">
        <v>0.84640000000000004</v>
      </c>
      <c r="J24" s="74">
        <v>0.84309999999999996</v>
      </c>
    </row>
    <row r="25" spans="2:18" ht="17" thickBot="1" x14ac:dyDescent="0.25">
      <c r="B25" s="56" t="s">
        <v>3</v>
      </c>
      <c r="C25" s="78">
        <f>AVERAGE(C22:C24)</f>
        <v>0.67433333333333334</v>
      </c>
      <c r="D25" s="79">
        <f t="shared" ref="D25:J25" si="2">AVERAGE(D22:D24)</f>
        <v>0.66930000000000012</v>
      </c>
      <c r="E25" s="79">
        <f t="shared" si="2"/>
        <v>0.68486666666666662</v>
      </c>
      <c r="F25" s="64">
        <f t="shared" si="2"/>
        <v>0.68330000000000002</v>
      </c>
      <c r="G25" s="79">
        <f t="shared" si="2"/>
        <v>0.83113333333333339</v>
      </c>
      <c r="H25" s="79">
        <f>AVERAGE(H22:H24)</f>
        <v>0.82276666666666676</v>
      </c>
      <c r="I25" s="79">
        <f t="shared" si="2"/>
        <v>0.84710000000000008</v>
      </c>
      <c r="J25" s="64">
        <f t="shared" si="2"/>
        <v>0.84293333333333331</v>
      </c>
    </row>
    <row r="26" spans="2:18" x14ac:dyDescent="0.2">
      <c r="B26" s="29" t="s">
        <v>7</v>
      </c>
      <c r="C26" s="141">
        <f>P20+Q20*C25/D25+R20*(C25/D25)^2</f>
        <v>1.0024182592510269</v>
      </c>
      <c r="D26" s="117"/>
      <c r="E26" s="117"/>
      <c r="F26" s="118"/>
      <c r="G26" s="142">
        <f>P20+Q20*G25/H25+R20*(G25/H25)^2</f>
        <v>1.0032791544759843</v>
      </c>
      <c r="H26" s="117"/>
      <c r="I26" s="117"/>
      <c r="J26" s="118"/>
    </row>
    <row r="27" spans="2:18" x14ac:dyDescent="0.2">
      <c r="B27" s="36" t="s">
        <v>32</v>
      </c>
      <c r="C27" s="141">
        <f>(ABS(C25)+ABS(E25))/(2*ABS(C22))</f>
        <v>1.0080094927321268</v>
      </c>
      <c r="D27" s="117"/>
      <c r="E27" s="117"/>
      <c r="F27" s="118"/>
      <c r="G27" s="142">
        <f>(ABS(G25)+ABS(I25))/(2*ABS(G23))</f>
        <v>1.0094029431813625</v>
      </c>
      <c r="H27" s="117"/>
      <c r="I27" s="117"/>
      <c r="J27" s="118"/>
    </row>
    <row r="28" spans="2:18" ht="17" thickBot="1" x14ac:dyDescent="0.25">
      <c r="B28" s="18" t="s">
        <v>33</v>
      </c>
      <c r="C28" s="143">
        <f>(ABS(D25)+ABS(F25))/(2*ABS(D25))</f>
        <v>1.0104586881816824</v>
      </c>
      <c r="D28" s="120"/>
      <c r="E28" s="120"/>
      <c r="F28" s="121"/>
      <c r="G28" s="119">
        <f>(ABS(H25)+ABS(J25))/(2*ABS(H25))</f>
        <v>1.0122553984523761</v>
      </c>
      <c r="H28" s="120"/>
      <c r="I28" s="120"/>
      <c r="J28" s="121"/>
    </row>
    <row r="30" spans="2:18" x14ac:dyDescent="0.2">
      <c r="B30" s="168" t="s">
        <v>65</v>
      </c>
      <c r="C30" s="175"/>
      <c r="D30" s="175"/>
      <c r="E30" s="175"/>
      <c r="F30" s="175"/>
      <c r="G30" s="175"/>
      <c r="H30" s="175"/>
      <c r="I30" s="175"/>
      <c r="J30" s="175"/>
    </row>
    <row r="31" spans="2:18" ht="17" thickBot="1" x14ac:dyDescent="0.25"/>
    <row r="32" spans="2:18" ht="17" thickBot="1" x14ac:dyDescent="0.25">
      <c r="B32" s="1"/>
      <c r="C32" s="1"/>
      <c r="D32" s="1"/>
      <c r="E32" s="1"/>
      <c r="F32" s="166" t="s">
        <v>55</v>
      </c>
      <c r="G32" s="167"/>
      <c r="H32" s="164" t="s">
        <v>56</v>
      </c>
      <c r="I32" s="165"/>
    </row>
    <row r="33" spans="2:9" ht="17" thickBot="1" x14ac:dyDescent="0.25">
      <c r="B33" s="1"/>
      <c r="C33" s="1"/>
      <c r="D33" s="1"/>
      <c r="E33" s="1"/>
      <c r="F33" s="128" t="s">
        <v>0</v>
      </c>
      <c r="G33" s="101" t="s">
        <v>1</v>
      </c>
      <c r="H33" s="128" t="s">
        <v>0</v>
      </c>
      <c r="I33" s="101" t="s">
        <v>1</v>
      </c>
    </row>
    <row r="34" spans="2:9" x14ac:dyDescent="0.2">
      <c r="B34" s="110" t="s">
        <v>52</v>
      </c>
      <c r="C34" s="116">
        <f>0.2/C2/SQRT(12)</f>
        <v>2.7492869961410755E-3</v>
      </c>
      <c r="D34" s="1"/>
      <c r="E34" s="110" t="s">
        <v>7</v>
      </c>
      <c r="F34" s="129">
        <f>C14*SQRT((STDEV(C10:C12)/C13)^2+(STDEV(D10:D12)/D13)^2)</f>
        <v>1.1056709961229057E-3</v>
      </c>
      <c r="G34" s="116">
        <f>G14*SQRT((STDEV(G10:G12)/G13)^2+(STDEV(H10:H12)/H13)^2)</f>
        <v>1.087085759540086E-3</v>
      </c>
      <c r="H34" s="131">
        <f>C26*SQRT((STDEV(C22:C24)/C25)^2+(STDEV(D22:D24)/D25)^2)</f>
        <v>5.8580681886589005E-4</v>
      </c>
      <c r="I34" s="126">
        <f>G26*SQRT((STDEV(G22:G24)/G25)^2+(STDEV(H22:H24)/H25)^2)</f>
        <v>1.0098186893410365E-3</v>
      </c>
    </row>
    <row r="35" spans="2:9" ht="17" thickBot="1" x14ac:dyDescent="0.25">
      <c r="B35" s="127" t="s">
        <v>53</v>
      </c>
      <c r="C35" s="126">
        <f>0.5/C3/SQRT(12)</f>
        <v>1.4220449980040044E-4</v>
      </c>
      <c r="D35" s="1"/>
      <c r="E35" s="113" t="s">
        <v>54</v>
      </c>
      <c r="F35" s="130">
        <f>C15*SQRT((STDEV(C10:C12)/C13)^2+(STDEV(E10:E12)/E13)^2)</f>
        <v>8.0222319277584934E-4</v>
      </c>
      <c r="G35" s="109">
        <f>G15*SQRT((STDEV(G10:G12)/G13)^2+(STDEV(I10:I12)/I13)^2)</f>
        <v>8.0325666882393061E-4</v>
      </c>
      <c r="H35" s="130">
        <f>C27*SQRT((STDEV(C22:C24)/C25)^2+(STDEV(E22:E24)/E25)^2)</f>
        <v>3.2044519692727466E-4</v>
      </c>
      <c r="I35" s="109">
        <f>G27*SQRT((STDEV(G22:G24)/G25)^2+(STDEV(I22:I24)/I25)^2)</f>
        <v>9.3448530367910333E-4</v>
      </c>
    </row>
    <row r="36" spans="2:9" ht="17" thickBot="1" x14ac:dyDescent="0.25">
      <c r="B36" s="113" t="s">
        <v>58</v>
      </c>
      <c r="C36" s="109">
        <f>SQRT(C34^2+C35^2)</f>
        <v>2.7529622421882034E-3</v>
      </c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</sheetData>
  <mergeCells count="9">
    <mergeCell ref="H32:I32"/>
    <mergeCell ref="F32:G32"/>
    <mergeCell ref="B6:J6"/>
    <mergeCell ref="G20:J20"/>
    <mergeCell ref="C20:F20"/>
    <mergeCell ref="B18:J18"/>
    <mergeCell ref="G8:J8"/>
    <mergeCell ref="C8:F8"/>
    <mergeCell ref="B30:J3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C85-0CF3-CE40-BDDE-2C4E038089DC}">
  <dimension ref="B3:S84"/>
  <sheetViews>
    <sheetView zoomScaleNormal="100" workbookViewId="0">
      <selection activeCell="B1" sqref="B1"/>
    </sheetView>
  </sheetViews>
  <sheetFormatPr baseColWidth="10" defaultRowHeight="16" x14ac:dyDescent="0.2"/>
  <cols>
    <col min="2" max="2" width="22" bestFit="1" customWidth="1"/>
    <col min="3" max="3" width="13.6640625" bestFit="1" customWidth="1"/>
    <col min="7" max="7" width="4.83203125" customWidth="1"/>
    <col min="8" max="8" width="21" bestFit="1" customWidth="1"/>
    <col min="9" max="9" width="9.33203125" bestFit="1" customWidth="1"/>
    <col min="10" max="10" width="13.33203125" bestFit="1" customWidth="1"/>
    <col min="11" max="12" width="11.1640625" bestFit="1" customWidth="1"/>
    <col min="14" max="14" width="13.33203125" bestFit="1" customWidth="1"/>
    <col min="15" max="15" width="14.5" bestFit="1" customWidth="1"/>
  </cols>
  <sheetData>
    <row r="3" spans="2:14" ht="17" thickBot="1" x14ac:dyDescent="0.25">
      <c r="H3" s="183" t="s">
        <v>42</v>
      </c>
      <c r="I3" s="183"/>
    </row>
    <row r="4" spans="2:14" ht="17" thickBot="1" x14ac:dyDescent="0.25">
      <c r="B4" s="1"/>
      <c r="C4" s="172" t="s">
        <v>0</v>
      </c>
      <c r="D4" s="174"/>
      <c r="E4" s="170" t="s">
        <v>1</v>
      </c>
      <c r="F4" s="171"/>
      <c r="H4" s="184" t="s">
        <v>15</v>
      </c>
      <c r="I4" s="185"/>
      <c r="J4" s="43" t="s">
        <v>72</v>
      </c>
      <c r="L4" s="184" t="s">
        <v>39</v>
      </c>
      <c r="M4" s="185"/>
      <c r="N4" s="43" t="s">
        <v>72</v>
      </c>
    </row>
    <row r="5" spans="2:14" ht="19" thickBot="1" x14ac:dyDescent="0.25">
      <c r="B5" s="186" t="s">
        <v>10</v>
      </c>
      <c r="C5" s="22" t="s">
        <v>17</v>
      </c>
      <c r="D5" s="44" t="s">
        <v>18</v>
      </c>
      <c r="E5" s="23" t="s">
        <v>17</v>
      </c>
      <c r="F5" s="44" t="s">
        <v>18</v>
      </c>
      <c r="H5" s="34" t="s">
        <v>20</v>
      </c>
      <c r="I5" s="35">
        <v>5.3650000000000003E-2</v>
      </c>
      <c r="J5" s="8">
        <v>0.55000000000000004</v>
      </c>
      <c r="L5" s="34" t="s">
        <v>20</v>
      </c>
      <c r="M5" s="34">
        <v>2.3439999999999999</v>
      </c>
      <c r="N5" s="8">
        <v>0.55000000000000004</v>
      </c>
    </row>
    <row r="6" spans="2:14" x14ac:dyDescent="0.2">
      <c r="B6" s="187"/>
      <c r="C6" s="46">
        <v>29.7</v>
      </c>
      <c r="D6" s="48">
        <v>19.7</v>
      </c>
      <c r="E6" s="1">
        <v>36.58</v>
      </c>
      <c r="F6" s="45">
        <v>28.6</v>
      </c>
    </row>
    <row r="7" spans="2:14" ht="17" thickBot="1" x14ac:dyDescent="0.25">
      <c r="B7" s="187"/>
      <c r="C7" s="11">
        <v>29.66</v>
      </c>
      <c r="D7" s="45">
        <v>19.670000000000002</v>
      </c>
      <c r="E7" s="1">
        <v>36.57</v>
      </c>
      <c r="F7" s="45">
        <v>28.54</v>
      </c>
      <c r="H7" s="183" t="s">
        <v>43</v>
      </c>
      <c r="I7" s="183"/>
    </row>
    <row r="8" spans="2:14" ht="17" thickBot="1" x14ac:dyDescent="0.25">
      <c r="B8" s="187"/>
      <c r="C8" s="11">
        <v>29.66</v>
      </c>
      <c r="D8" s="45">
        <v>19.66</v>
      </c>
      <c r="E8" s="1">
        <v>36.58</v>
      </c>
      <c r="F8" s="45">
        <v>28.51</v>
      </c>
      <c r="H8" s="184" t="s">
        <v>16</v>
      </c>
      <c r="I8" s="185"/>
    </row>
    <row r="9" spans="2:14" ht="19" thickBot="1" x14ac:dyDescent="0.25">
      <c r="B9" s="187"/>
      <c r="C9" s="11">
        <v>29.69</v>
      </c>
      <c r="D9" s="62">
        <v>19.7</v>
      </c>
      <c r="E9" s="1">
        <v>36.57</v>
      </c>
      <c r="F9" s="45">
        <v>28.52</v>
      </c>
      <c r="H9" s="34" t="s">
        <v>20</v>
      </c>
      <c r="I9" s="35">
        <v>5.398E-2</v>
      </c>
    </row>
    <row r="10" spans="2:14" ht="17" thickBot="1" x14ac:dyDescent="0.25">
      <c r="B10" s="187"/>
      <c r="C10" s="11">
        <v>29.66</v>
      </c>
      <c r="D10" s="45">
        <v>19.66</v>
      </c>
      <c r="E10" s="1">
        <v>36.58</v>
      </c>
      <c r="F10" s="45">
        <v>28.52</v>
      </c>
    </row>
    <row r="11" spans="2:14" ht="17" thickBot="1" x14ac:dyDescent="0.25">
      <c r="B11" s="187"/>
      <c r="C11" s="11">
        <v>29.63</v>
      </c>
      <c r="D11" s="45">
        <v>19.649999999999999</v>
      </c>
      <c r="E11" s="1">
        <v>36.619999999999997</v>
      </c>
      <c r="F11" s="45">
        <v>28.53</v>
      </c>
      <c r="H11" s="7"/>
      <c r="I11" s="7"/>
      <c r="J11" s="7"/>
      <c r="K11" s="10" t="s">
        <v>0</v>
      </c>
      <c r="L11" s="37" t="s">
        <v>1</v>
      </c>
    </row>
    <row r="12" spans="2:14" ht="17" thickBot="1" x14ac:dyDescent="0.25">
      <c r="B12" s="187"/>
      <c r="C12" s="11">
        <v>29.63</v>
      </c>
      <c r="D12" s="45">
        <v>19.66</v>
      </c>
      <c r="E12" s="1">
        <v>36.58</v>
      </c>
      <c r="F12" s="45">
        <v>28.53</v>
      </c>
      <c r="H12" s="189" t="s">
        <v>14</v>
      </c>
      <c r="I12" s="190"/>
      <c r="J12" s="191"/>
      <c r="K12" s="100">
        <f>'Facteurs correctifs'!C4*'Facteurs correctifs'!C14*'Facteurs correctifs'!C15</f>
        <v>1.0055936117462898</v>
      </c>
      <c r="L12" s="99">
        <f>'Facteurs correctifs'!C4*'Facteurs correctifs'!G14*'Facteurs correctifs'!G15</f>
        <v>1.0081704567515035</v>
      </c>
    </row>
    <row r="13" spans="2:14" x14ac:dyDescent="0.2">
      <c r="B13" s="187"/>
      <c r="C13" s="11">
        <v>29.63</v>
      </c>
      <c r="D13" s="45">
        <v>19.68</v>
      </c>
      <c r="E13" s="1">
        <v>36.6</v>
      </c>
      <c r="F13" s="45">
        <v>28.53</v>
      </c>
    </row>
    <row r="14" spans="2:14" ht="17" thickBot="1" x14ac:dyDescent="0.25">
      <c r="B14" s="187"/>
      <c r="C14" s="11">
        <v>29.64</v>
      </c>
      <c r="D14" s="45">
        <v>19.649999999999999</v>
      </c>
      <c r="E14" s="1">
        <v>36.58</v>
      </c>
      <c r="F14" s="45">
        <v>28.54</v>
      </c>
    </row>
    <row r="15" spans="2:14" ht="19" thickBot="1" x14ac:dyDescent="0.25">
      <c r="B15" s="188"/>
      <c r="C15" s="12">
        <v>29.69</v>
      </c>
      <c r="D15" s="73">
        <v>19.66</v>
      </c>
      <c r="E15" s="1">
        <v>36.590000000000003</v>
      </c>
      <c r="F15" s="45">
        <v>28.53</v>
      </c>
      <c r="H15" s="43" t="s">
        <v>19</v>
      </c>
      <c r="I15" s="39" t="s">
        <v>31</v>
      </c>
    </row>
    <row r="16" spans="2:14" ht="17" thickBot="1" x14ac:dyDescent="0.25">
      <c r="B16" s="38" t="s">
        <v>3</v>
      </c>
      <c r="C16" s="50">
        <f>AVERAGE(C5:C15)</f>
        <v>29.658999999999999</v>
      </c>
      <c r="D16" s="51">
        <f>AVERAGE(D6:D15)</f>
        <v>19.669</v>
      </c>
      <c r="E16" s="52">
        <f>AVERAGE(E5:E15)</f>
        <v>36.585000000000001</v>
      </c>
      <c r="F16" s="51">
        <f>AVERAGE(F6:F15)</f>
        <v>28.535000000000004</v>
      </c>
      <c r="H16" s="123">
        <v>0.5</v>
      </c>
      <c r="I16" s="3">
        <v>1.002</v>
      </c>
    </row>
    <row r="17" spans="2:9" ht="17" thickBot="1" x14ac:dyDescent="0.25">
      <c r="H17" s="123">
        <v>0.53</v>
      </c>
      <c r="I17" s="3">
        <v>1.002</v>
      </c>
    </row>
    <row r="18" spans="2:9" ht="17" thickBot="1" x14ac:dyDescent="0.25">
      <c r="B18" s="13"/>
      <c r="C18" s="14" t="s">
        <v>0</v>
      </c>
      <c r="D18" s="9" t="s">
        <v>1</v>
      </c>
      <c r="E18" s="19"/>
      <c r="H18" s="123">
        <v>0.56000000000000005</v>
      </c>
      <c r="I18" s="3">
        <v>1</v>
      </c>
    </row>
    <row r="19" spans="2:9" x14ac:dyDescent="0.2">
      <c r="B19" s="40" t="s">
        <v>11</v>
      </c>
      <c r="C19" s="6">
        <v>0.66400000000000003</v>
      </c>
      <c r="D19" s="2">
        <v>0.78100000000000003</v>
      </c>
      <c r="E19" s="20"/>
      <c r="H19" s="123">
        <v>0.59</v>
      </c>
      <c r="I19" s="3">
        <v>0.999</v>
      </c>
    </row>
    <row r="20" spans="2:9" x14ac:dyDescent="0.2">
      <c r="B20" s="41" t="s">
        <v>12</v>
      </c>
      <c r="C20" s="65">
        <f>D16/C16</f>
        <v>0.66317138136821885</v>
      </c>
      <c r="D20" s="66">
        <f>F16/E16</f>
        <v>0.77996446631132987</v>
      </c>
      <c r="E20" s="20"/>
      <c r="H20" s="123">
        <v>0.62</v>
      </c>
      <c r="I20" s="3">
        <v>0.997</v>
      </c>
    </row>
    <row r="21" spans="2:9" ht="17" thickBot="1" x14ac:dyDescent="0.25">
      <c r="B21" s="42" t="s">
        <v>13</v>
      </c>
      <c r="C21" s="67">
        <f>ABS(C19-C20)/C19*100</f>
        <v>0.12479196261764851</v>
      </c>
      <c r="D21" s="68">
        <f>ABS(D19-D20)/D19*100</f>
        <v>0.13259074118695952</v>
      </c>
      <c r="E21" s="20"/>
      <c r="H21" s="123">
        <v>0.65</v>
      </c>
      <c r="I21" s="3">
        <v>0.99399999999999999</v>
      </c>
    </row>
    <row r="22" spans="2:9" ht="19" thickBot="1" x14ac:dyDescent="0.25">
      <c r="B22" s="16" t="s">
        <v>31</v>
      </c>
      <c r="C22" s="71">
        <f>(I19-I18)/(H19-H18)*C20+I18-(I19-I18)/(H19-H18)*H18</f>
        <v>0.9965609539543927</v>
      </c>
      <c r="D22" s="72">
        <f>(I22-I21)/(H22-H21)*D20+I21-(I22-I21)/(H22-H21)*H21</f>
        <v>0.97667140449182266</v>
      </c>
      <c r="H22" s="123">
        <v>0.68</v>
      </c>
      <c r="I22" s="3">
        <v>0.99</v>
      </c>
    </row>
    <row r="23" spans="2:9" ht="17" thickBot="1" x14ac:dyDescent="0.25">
      <c r="H23" s="123">
        <v>0.7</v>
      </c>
      <c r="I23" s="3">
        <v>0.98799999999999999</v>
      </c>
    </row>
    <row r="24" spans="2:9" ht="17" thickBot="1" x14ac:dyDescent="0.25">
      <c r="B24" s="192" t="s">
        <v>41</v>
      </c>
      <c r="C24" s="194"/>
      <c r="D24" s="14" t="s">
        <v>0</v>
      </c>
      <c r="E24" s="9" t="s">
        <v>1</v>
      </c>
      <c r="H24" s="123">
        <v>0.72</v>
      </c>
      <c r="I24" s="3">
        <v>0.98399999999999999</v>
      </c>
    </row>
    <row r="25" spans="2:9" x14ac:dyDescent="0.2">
      <c r="B25" s="176" t="s">
        <v>40</v>
      </c>
      <c r="C25" s="40" t="s">
        <v>11</v>
      </c>
      <c r="D25" s="111">
        <v>1.589</v>
      </c>
      <c r="E25" s="112">
        <v>1.907</v>
      </c>
      <c r="H25" s="123">
        <v>0.74</v>
      </c>
      <c r="I25" s="3">
        <v>0.98</v>
      </c>
    </row>
    <row r="26" spans="2:9" ht="17" thickBot="1" x14ac:dyDescent="0.25">
      <c r="B26" s="181"/>
      <c r="C26" s="42" t="s">
        <v>12</v>
      </c>
      <c r="D26" s="67">
        <f>C16*I5*K12*C22</f>
        <v>1.5946030969484231</v>
      </c>
      <c r="E26" s="68">
        <f>E16*I5*L12*D22</f>
        <v>1.9326589615974705</v>
      </c>
      <c r="H26" s="123">
        <v>0.76</v>
      </c>
      <c r="I26" s="3">
        <v>0.97499999999999998</v>
      </c>
    </row>
    <row r="27" spans="2:9" ht="17" thickBot="1" x14ac:dyDescent="0.25">
      <c r="B27" s="182"/>
      <c r="C27" s="43" t="s">
        <v>13</v>
      </c>
      <c r="D27" s="70">
        <f>ABS(D25-D26)/D25*100</f>
        <v>0.35261780669748849</v>
      </c>
      <c r="E27" s="61">
        <f>ABS(E25-E26)/E25*100</f>
        <v>1.3455145043246197</v>
      </c>
      <c r="H27" s="123">
        <v>0.78</v>
      </c>
      <c r="I27" s="3">
        <v>0.96799999999999997</v>
      </c>
    </row>
    <row r="28" spans="2:9" ht="17" thickBot="1" x14ac:dyDescent="0.25">
      <c r="H28" s="123">
        <v>0.8</v>
      </c>
      <c r="I28" s="3">
        <v>0.96</v>
      </c>
    </row>
    <row r="29" spans="2:9" ht="17" thickBot="1" x14ac:dyDescent="0.25">
      <c r="C29" s="14" t="s">
        <v>0</v>
      </c>
      <c r="D29" s="114" t="s">
        <v>1</v>
      </c>
      <c r="H29" s="123">
        <v>0.82</v>
      </c>
      <c r="I29" s="3">
        <v>0.95199999999999996</v>
      </c>
    </row>
    <row r="30" spans="2:9" ht="17" thickBot="1" x14ac:dyDescent="0.25">
      <c r="B30" s="40" t="s">
        <v>57</v>
      </c>
      <c r="C30" s="111">
        <f>D26*SQRT((STDEV(C6:C15)/C16)^2+(1/100)^2+'Facteurs correctifs'!C36^2+('Facteurs correctifs'!F34/'Facteurs correctifs'!C14)^2+('Facteurs correctifs'!F35/'Facteurs correctifs'!C15)^2+('Mesures Clinac 2'!J5/100)^2)</f>
        <v>1.8901753196021304E-2</v>
      </c>
      <c r="D30" s="112">
        <f>E26*SQRT((STDEV(E6:E15)/E16)^2+(1/100)^2+'Facteurs correctifs'!C36^2+('Facteurs correctifs'!G34/'Facteurs correctifs'!G14)^2+('Facteurs correctifs'!G34/'Facteurs correctifs'!G15)^2+('Mesures Clinac 2'!J5/100)^2)</f>
        <v>2.2895874440565362E-2</v>
      </c>
      <c r="H30" s="8">
        <v>0.84</v>
      </c>
      <c r="I30" s="5">
        <v>0.94</v>
      </c>
    </row>
    <row r="31" spans="2:9" x14ac:dyDescent="0.2">
      <c r="B31" s="41" t="s">
        <v>63</v>
      </c>
      <c r="C31" s="65">
        <f>2*C30</f>
        <v>3.7803506392042607E-2</v>
      </c>
      <c r="D31" s="66">
        <f>2*D30</f>
        <v>4.5791748881130724E-2</v>
      </c>
      <c r="H31" s="1"/>
      <c r="I31" s="1"/>
    </row>
    <row r="32" spans="2:9" ht="17" thickBot="1" x14ac:dyDescent="0.25">
      <c r="B32" s="42" t="s">
        <v>64</v>
      </c>
      <c r="C32" s="55">
        <f>C31/D26*100</f>
        <v>2.3707157263388501</v>
      </c>
      <c r="D32" s="60">
        <f>D31/E26*100</f>
        <v>2.3693652005359915</v>
      </c>
    </row>
    <row r="34" spans="2:19" x14ac:dyDescent="0.2">
      <c r="B34" s="195" t="s">
        <v>35</v>
      </c>
      <c r="C34" s="195"/>
      <c r="D34" s="195"/>
      <c r="E34" s="195"/>
      <c r="F34" s="195"/>
      <c r="G34" s="195"/>
      <c r="H34" s="195"/>
      <c r="I34" s="195"/>
      <c r="J34" s="195"/>
      <c r="K34" s="195"/>
      <c r="L34" s="195"/>
    </row>
    <row r="35" spans="2:19" ht="17" thickBot="1" x14ac:dyDescent="0.25"/>
    <row r="36" spans="2:19" ht="17" thickBot="1" x14ac:dyDescent="0.25">
      <c r="B36" s="1"/>
      <c r="C36" s="172" t="s">
        <v>0</v>
      </c>
      <c r="D36" s="174"/>
      <c r="E36" s="170" t="s">
        <v>1</v>
      </c>
      <c r="F36" s="171"/>
      <c r="H36" s="1"/>
      <c r="I36" s="172" t="s">
        <v>0</v>
      </c>
      <c r="J36" s="174"/>
      <c r="K36" s="170" t="s">
        <v>1</v>
      </c>
      <c r="L36" s="171"/>
      <c r="P36" s="80"/>
      <c r="Q36" s="80"/>
      <c r="R36" s="80"/>
      <c r="S36" s="80"/>
    </row>
    <row r="37" spans="2:19" ht="17" thickBot="1" x14ac:dyDescent="0.25">
      <c r="B37" s="186" t="s">
        <v>10</v>
      </c>
      <c r="C37" s="22">
        <v>1</v>
      </c>
      <c r="D37" s="44">
        <v>-1</v>
      </c>
      <c r="E37" s="22">
        <v>1</v>
      </c>
      <c r="F37" s="44">
        <v>-1</v>
      </c>
      <c r="H37" s="186" t="s">
        <v>10</v>
      </c>
      <c r="I37" s="22" t="s">
        <v>36</v>
      </c>
      <c r="J37" s="44" t="s">
        <v>37</v>
      </c>
      <c r="K37" s="22" t="s">
        <v>36</v>
      </c>
      <c r="L37" s="44" t="s">
        <v>37</v>
      </c>
      <c r="O37" s="24" t="s">
        <v>8</v>
      </c>
      <c r="P37" s="6">
        <v>21.4</v>
      </c>
      <c r="Q37" s="80"/>
      <c r="R37" s="80"/>
      <c r="S37" s="80"/>
    </row>
    <row r="38" spans="2:19" ht="17" thickBot="1" x14ac:dyDescent="0.25">
      <c r="B38" s="187"/>
      <c r="C38" s="11">
        <v>29.76</v>
      </c>
      <c r="D38" s="45">
        <v>29.75</v>
      </c>
      <c r="E38" s="1">
        <v>36.659999999999997</v>
      </c>
      <c r="F38" s="45">
        <v>36.659999999999997</v>
      </c>
      <c r="H38" s="187"/>
      <c r="I38" s="11">
        <v>29.53</v>
      </c>
      <c r="J38" s="45">
        <v>29.88</v>
      </c>
      <c r="K38" s="1">
        <v>36.46</v>
      </c>
      <c r="L38" s="45">
        <v>36.76</v>
      </c>
      <c r="O38" s="25" t="s">
        <v>9</v>
      </c>
      <c r="P38" s="8">
        <v>1017</v>
      </c>
      <c r="Q38" s="80"/>
      <c r="R38" s="80"/>
      <c r="S38" s="80"/>
    </row>
    <row r="39" spans="2:19" ht="19" thickBot="1" x14ac:dyDescent="0.25">
      <c r="B39" s="187"/>
      <c r="C39" s="11">
        <v>29.76</v>
      </c>
      <c r="D39" s="45">
        <v>29.79</v>
      </c>
      <c r="E39" s="1">
        <v>36.659999999999997</v>
      </c>
      <c r="F39" s="45">
        <v>36.659999999999997</v>
      </c>
      <c r="H39" s="187"/>
      <c r="I39" s="11">
        <v>29.55</v>
      </c>
      <c r="J39" s="45">
        <v>29.83</v>
      </c>
      <c r="K39" s="1">
        <v>36.450000000000003</v>
      </c>
      <c r="L39" s="45">
        <v>36.75</v>
      </c>
      <c r="O39" s="16" t="s">
        <v>21</v>
      </c>
      <c r="P39" s="17">
        <f>('Facteurs correctifs'!F2*('Mesures Clinac 2'!P37+273.15))/(('Facteurs correctifs'!F3+273.15)*P38)</f>
        <v>1.0010707869007027</v>
      </c>
      <c r="Q39" s="80"/>
      <c r="R39" s="80"/>
      <c r="S39" s="80"/>
    </row>
    <row r="40" spans="2:19" ht="17" thickBot="1" x14ac:dyDescent="0.25">
      <c r="B40" s="187"/>
      <c r="C40" s="11">
        <v>29.8</v>
      </c>
      <c r="D40" s="45">
        <v>29.75</v>
      </c>
      <c r="E40" s="1">
        <v>36.68</v>
      </c>
      <c r="F40" s="45">
        <v>36.61</v>
      </c>
      <c r="H40" s="187"/>
      <c r="I40" s="11">
        <v>29.56</v>
      </c>
      <c r="J40" s="45">
        <v>29.88</v>
      </c>
      <c r="K40" s="1">
        <v>36.46</v>
      </c>
      <c r="L40" s="45">
        <v>36.76</v>
      </c>
      <c r="O40" s="154" t="s">
        <v>72</v>
      </c>
      <c r="P40" s="158">
        <f>SQRT((0.2/P37/SQRT(12))^2+(0.5/P38/SQRT(12))^2)*100</f>
        <v>0.27016289031902291</v>
      </c>
      <c r="Q40" s="80"/>
      <c r="R40" s="80"/>
      <c r="S40" s="80"/>
    </row>
    <row r="41" spans="2:19" ht="17" thickBot="1" x14ac:dyDescent="0.25">
      <c r="B41" s="187"/>
      <c r="C41" s="11">
        <v>29.78</v>
      </c>
      <c r="D41" s="45">
        <v>29.8</v>
      </c>
      <c r="E41" s="1">
        <v>36.69</v>
      </c>
      <c r="F41" s="45">
        <v>36.630000000000003</v>
      </c>
      <c r="H41" s="187"/>
      <c r="I41" s="11">
        <v>29.57</v>
      </c>
      <c r="J41" s="45">
        <v>29.89</v>
      </c>
      <c r="K41" s="1">
        <v>36.46</v>
      </c>
      <c r="L41" s="45">
        <v>36.75</v>
      </c>
      <c r="P41" s="80"/>
      <c r="Q41" s="80"/>
      <c r="R41" s="80"/>
      <c r="S41" s="80"/>
    </row>
    <row r="42" spans="2:19" ht="17" thickBot="1" x14ac:dyDescent="0.25">
      <c r="B42" s="187"/>
      <c r="C42" s="11">
        <v>29.8</v>
      </c>
      <c r="D42" s="45">
        <v>29.78</v>
      </c>
      <c r="E42" s="1">
        <v>36.69</v>
      </c>
      <c r="F42" s="45">
        <v>36.65</v>
      </c>
      <c r="H42" s="187"/>
      <c r="I42" s="11">
        <v>29.54</v>
      </c>
      <c r="J42" s="45">
        <v>29.87</v>
      </c>
      <c r="K42" s="1">
        <v>36.47</v>
      </c>
      <c r="L42" s="45">
        <v>36.75</v>
      </c>
      <c r="N42" s="7"/>
      <c r="O42" s="7"/>
      <c r="P42" s="7"/>
      <c r="Q42" s="10" t="s">
        <v>0</v>
      </c>
      <c r="R42" s="37" t="s">
        <v>1</v>
      </c>
      <c r="S42" s="80"/>
    </row>
    <row r="43" spans="2:19" ht="17" thickBot="1" x14ac:dyDescent="0.25">
      <c r="B43" s="187"/>
      <c r="C43" s="11">
        <v>29.79</v>
      </c>
      <c r="D43" s="45">
        <v>29.8</v>
      </c>
      <c r="E43" s="1">
        <v>36.700000000000003</v>
      </c>
      <c r="F43" s="45">
        <v>36.65</v>
      </c>
      <c r="H43" s="187"/>
      <c r="I43" s="11">
        <v>29.56</v>
      </c>
      <c r="J43" s="45">
        <v>29.86</v>
      </c>
      <c r="K43" s="1">
        <v>36.479999999999997</v>
      </c>
      <c r="L43" s="45">
        <v>36.76</v>
      </c>
      <c r="N43" s="189" t="s">
        <v>14</v>
      </c>
      <c r="O43" s="190"/>
      <c r="P43" s="191"/>
      <c r="Q43" s="100">
        <f>P39*'Facteurs correctifs'!C14*'Facteurs correctifs'!C15</f>
        <v>1.0049808108825731</v>
      </c>
      <c r="R43" s="99">
        <f>P39*'Facteurs correctifs'!G14*'Facteurs correctifs'!G15</f>
        <v>1.0075560855786416</v>
      </c>
      <c r="S43" s="80"/>
    </row>
    <row r="44" spans="2:19" x14ac:dyDescent="0.2">
      <c r="B44" s="187"/>
      <c r="C44" s="11">
        <v>29.79</v>
      </c>
      <c r="D44" s="45">
        <v>29.8</v>
      </c>
      <c r="E44" s="1">
        <v>36.700000000000003</v>
      </c>
      <c r="F44" s="45">
        <v>36.659999999999997</v>
      </c>
      <c r="H44" s="187"/>
      <c r="I44" s="11">
        <v>29.56</v>
      </c>
      <c r="J44" s="45">
        <v>29.88</v>
      </c>
      <c r="K44" s="1">
        <v>36.47</v>
      </c>
      <c r="L44" s="45">
        <v>36.76</v>
      </c>
      <c r="P44" s="80"/>
      <c r="Q44" s="80"/>
      <c r="R44" s="80"/>
      <c r="S44" s="80"/>
    </row>
    <row r="45" spans="2:19" x14ac:dyDescent="0.2">
      <c r="B45" s="187"/>
      <c r="C45" s="11">
        <v>29.78</v>
      </c>
      <c r="D45" s="45">
        <v>29.79</v>
      </c>
      <c r="E45" s="1">
        <v>36.71</v>
      </c>
      <c r="F45" s="45">
        <v>36.659999999999997</v>
      </c>
      <c r="H45" s="187"/>
      <c r="I45" s="11">
        <v>29.52</v>
      </c>
      <c r="J45" s="45">
        <v>29.84</v>
      </c>
      <c r="K45" s="1">
        <v>36.479999999999997</v>
      </c>
      <c r="L45" s="45">
        <v>36.75</v>
      </c>
      <c r="P45" s="80"/>
      <c r="Q45" s="80"/>
      <c r="R45" s="80"/>
      <c r="S45" s="80"/>
    </row>
    <row r="46" spans="2:19" x14ac:dyDescent="0.2">
      <c r="B46" s="187"/>
      <c r="C46" s="11">
        <v>29.79</v>
      </c>
      <c r="D46" s="45">
        <v>29.79</v>
      </c>
      <c r="E46" s="1">
        <v>36.71</v>
      </c>
      <c r="F46" s="45">
        <v>36.67</v>
      </c>
      <c r="H46" s="187"/>
      <c r="I46" s="11">
        <v>29.57</v>
      </c>
      <c r="J46" s="45">
        <v>29.87</v>
      </c>
      <c r="K46" s="1">
        <v>36.479999999999997</v>
      </c>
      <c r="L46" s="45">
        <v>36.76</v>
      </c>
      <c r="P46" s="80"/>
      <c r="Q46" s="80"/>
      <c r="R46" s="80"/>
      <c r="S46" s="80"/>
    </row>
    <row r="47" spans="2:19" ht="17" thickBot="1" x14ac:dyDescent="0.25">
      <c r="B47" s="188"/>
      <c r="C47" s="11">
        <v>29.8</v>
      </c>
      <c r="D47" s="45">
        <v>29.78</v>
      </c>
      <c r="E47" s="1">
        <v>36.700000000000003</v>
      </c>
      <c r="F47" s="45">
        <v>36.67</v>
      </c>
      <c r="H47" s="188"/>
      <c r="I47" s="11">
        <v>29.57</v>
      </c>
      <c r="J47" s="45">
        <v>29.88</v>
      </c>
      <c r="K47" s="1">
        <v>36.49</v>
      </c>
      <c r="L47" s="45">
        <v>36.76</v>
      </c>
      <c r="P47" s="80"/>
      <c r="Q47" s="80"/>
      <c r="R47" s="80"/>
      <c r="S47" s="80"/>
    </row>
    <row r="48" spans="2:19" x14ac:dyDescent="0.2">
      <c r="B48" s="40" t="s">
        <v>3</v>
      </c>
      <c r="C48" s="46">
        <f>AVERAGE(C38:C47)</f>
        <v>29.785000000000004</v>
      </c>
      <c r="D48" s="48">
        <f>AVERAGE(D38:D47)</f>
        <v>29.783000000000005</v>
      </c>
      <c r="E48" s="47">
        <f>AVERAGE(E38:E47)</f>
        <v>36.689999999999991</v>
      </c>
      <c r="F48" s="49">
        <f>AVERAGE(F38:F47)</f>
        <v>36.652000000000001</v>
      </c>
      <c r="H48" s="40" t="s">
        <v>3</v>
      </c>
      <c r="I48" s="144">
        <f>AVERAGE(I38:I47)</f>
        <v>29.553000000000004</v>
      </c>
      <c r="J48" s="112">
        <f>AVERAGE(J38:J47)</f>
        <v>29.867999999999995</v>
      </c>
      <c r="K48" s="145">
        <f>AVERAGE(K37:K47)</f>
        <v>36.470000000000006</v>
      </c>
      <c r="L48" s="112">
        <f>AVERAGE(L38:L47)</f>
        <v>36.755999999999993</v>
      </c>
      <c r="P48" s="80"/>
      <c r="Q48" s="80"/>
      <c r="R48" s="80"/>
      <c r="S48" s="80"/>
    </row>
    <row r="49" spans="2:19" ht="17" thickBot="1" x14ac:dyDescent="0.25">
      <c r="B49" s="42" t="s">
        <v>38</v>
      </c>
      <c r="C49" s="160">
        <f>STDEV(C38:C47)</f>
        <v>1.5092308563561843E-2</v>
      </c>
      <c r="D49" s="162">
        <f>STDEV(D38:D47)</f>
        <v>1.8885620632287128E-2</v>
      </c>
      <c r="E49" s="159">
        <f>STDEV(E38:E47)</f>
        <v>1.8257418583507525E-2</v>
      </c>
      <c r="F49" s="163">
        <f t="shared" ref="F49" si="0">STDEV(F38:F47)</f>
        <v>1.8737959096739819E-2</v>
      </c>
      <c r="H49" s="42" t="s">
        <v>38</v>
      </c>
      <c r="I49" s="160">
        <f>STDEV(I38:I47)</f>
        <v>1.7669811040931332E-2</v>
      </c>
      <c r="J49" s="68">
        <f>STDEV(J38:J47)</f>
        <v>1.932183566158616E-2</v>
      </c>
      <c r="K49" s="159">
        <f t="shared" ref="K49:L49" si="1">STDEV(K38:K47)</f>
        <v>1.2472191289245255E-2</v>
      </c>
      <c r="L49" s="68">
        <f t="shared" si="1"/>
        <v>5.1639777949421956E-3</v>
      </c>
      <c r="P49" s="80"/>
      <c r="Q49" s="80"/>
      <c r="R49" s="80"/>
      <c r="S49" s="80"/>
    </row>
    <row r="50" spans="2:19" x14ac:dyDescent="0.2">
      <c r="B50" s="40" t="s">
        <v>60</v>
      </c>
      <c r="C50" s="144">
        <f>C48*I5*C22*Q43</f>
        <v>1.6004015647061089</v>
      </c>
      <c r="D50" s="112">
        <f>D48*I5*C22*Q43</f>
        <v>1.6002941011127094</v>
      </c>
      <c r="E50" s="145">
        <f>E48*I5*D22*R43</f>
        <v>1.9370246208965465</v>
      </c>
      <c r="F50" s="112">
        <f>F48*I5*D22*R43</f>
        <v>1.9350184356800282</v>
      </c>
      <c r="H50" s="40" t="s">
        <v>60</v>
      </c>
      <c r="I50" s="144">
        <f>I48*I5*C22*Q43</f>
        <v>1.5879357878717355</v>
      </c>
      <c r="J50" s="112">
        <f>J48*I5*C22*Q43</f>
        <v>1.604861303832199</v>
      </c>
      <c r="K50" s="145">
        <f>K48*I5*D22*R43</f>
        <v>1.9254098643798605</v>
      </c>
      <c r="L50" s="112">
        <f>L48*D22*I5*R43</f>
        <v>1.9405090478515528</v>
      </c>
      <c r="P50" s="80"/>
      <c r="Q50" s="80"/>
      <c r="R50" s="80"/>
      <c r="S50" s="80"/>
    </row>
    <row r="51" spans="2:19" x14ac:dyDescent="0.2">
      <c r="B51" s="41" t="s">
        <v>74</v>
      </c>
      <c r="C51" s="146">
        <f>C50*SQRT((C49/C48)^2+(J5/100)^2+(P40/100)^2+('Facteurs correctifs'!F34/'Facteurs correctifs'!C14)^2+('Facteurs correctifs'!F35/'Facteurs correctifs'!C15)^2+(1/100)^2)</f>
        <v>1.8913490760212533E-2</v>
      </c>
      <c r="D51" s="66">
        <f>D50*SQRT((D49/D48)^2+(J5/100)^2+(P40/100)^2+('Facteurs correctifs'!F34/'Facteurs correctifs'!C14)^2+('Facteurs correctifs'!F35/'Facteurs correctifs'!C15)^2+(1/100)^2)</f>
        <v>1.8922058509497686E-2</v>
      </c>
      <c r="E51" s="147">
        <f>E50*SQRT((E49/E48)^2+(J5/100)^2+(P40/100)^2+('Facteurs correctifs'!H34/'Facteurs correctifs'!G14)^2+('Facteurs correctifs'!G35/'Facteurs correctifs'!G15)^2+(1/100)^2)</f>
        <v>2.2819043626082221E-2</v>
      </c>
      <c r="F51" s="66">
        <f>F50*SQRT((F49/F48)^2+(J5/100)^2+(P40/100)^2+('Facteurs correctifs'!G34/'Facteurs correctifs'!G14)^2+('Facteurs correctifs'!G35/'Facteurs correctifs'!G15)^2+(1/100)^2)</f>
        <v>2.2864675498405193E-2</v>
      </c>
      <c r="H51" s="41" t="s">
        <v>74</v>
      </c>
      <c r="I51" s="146">
        <f>I50*SQRT((I49/I48)^2+(J5/100)^2+(P40/100)^2+('Facteurs correctifs'!F34/'Facteurs correctifs'!C14)^2+('Facteurs correctifs'!F35/'Facteurs correctifs'!C15)^2+(1/100)^2)</f>
        <v>1.8772937040934839E-2</v>
      </c>
      <c r="J51" s="66">
        <f>J50*SQRT((J49/J48)^2+(J5/100)^2+(P40/100)^2+('Facteurs correctifs'!F34/'Facteurs correctifs'!C14)^2+('Facteurs correctifs'!F35/'Facteurs correctifs'!C15)^2+(1/100)^2)</f>
        <v>1.8977174378685829E-2</v>
      </c>
      <c r="K51" s="147">
        <f>K50*SQRT((K49/K48)^2+(J5/100)^2+(P40/100)^2+('Facteurs correctifs'!G34/'Facteurs correctifs'!G14)^2+('Facteurs correctifs'!H35/'Facteurs correctifs'!G15)^2+(1/100)^2)</f>
        <v>2.2695266347445293E-2</v>
      </c>
      <c r="L51" s="66">
        <f>L50*SQRT((L49/L48)^2+(J5/100)^2+(P40/100)^2+('Facteurs correctifs'!G34/'Facteurs correctifs'!G14)^2+('Facteurs correctifs'!G35/'Facteurs correctifs'!G15)^2+(1/100)^2)</f>
        <v>2.2909704902733707E-2</v>
      </c>
      <c r="P51" s="80"/>
      <c r="Q51" s="80"/>
      <c r="R51" s="80"/>
      <c r="S51" s="80"/>
    </row>
    <row r="52" spans="2:19" x14ac:dyDescent="0.2">
      <c r="B52" s="41" t="s">
        <v>64</v>
      </c>
      <c r="C52" s="146">
        <f>C51/C50*100</f>
        <v>1.1817965676436792</v>
      </c>
      <c r="D52" s="66">
        <f t="shared" ref="D52:F52" si="2">D51/D50*100</f>
        <v>1.182411314041643</v>
      </c>
      <c r="E52" s="147">
        <f t="shared" si="2"/>
        <v>1.1780461321921911</v>
      </c>
      <c r="F52" s="66">
        <f t="shared" si="2"/>
        <v>1.1816257187425609</v>
      </c>
      <c r="H52" s="41" t="s">
        <v>64</v>
      </c>
      <c r="I52" s="146">
        <f>I51/I50*100</f>
        <v>1.182222680811021</v>
      </c>
      <c r="J52" s="66">
        <f t="shared" ref="J52:L52" si="3">J51/J50*100</f>
        <v>1.1824806500954828</v>
      </c>
      <c r="K52" s="147">
        <f t="shared" si="3"/>
        <v>1.1787239053517069</v>
      </c>
      <c r="L52" s="66">
        <f t="shared" si="3"/>
        <v>1.1806028386262015</v>
      </c>
      <c r="P52" s="80"/>
      <c r="R52" s="80"/>
      <c r="S52" s="80"/>
    </row>
    <row r="53" spans="2:19" ht="17" thickBot="1" x14ac:dyDescent="0.25">
      <c r="B53" s="42" t="s">
        <v>73</v>
      </c>
      <c r="C53" s="160">
        <f>C52*2</f>
        <v>2.3635931352873585</v>
      </c>
      <c r="D53" s="68">
        <f t="shared" ref="D53:F53" si="4">D52*2</f>
        <v>2.364822628083286</v>
      </c>
      <c r="E53" s="159">
        <f t="shared" si="4"/>
        <v>2.3560922643843822</v>
      </c>
      <c r="F53" s="68">
        <f t="shared" si="4"/>
        <v>2.3632514374851219</v>
      </c>
      <c r="H53" s="42" t="s">
        <v>73</v>
      </c>
      <c r="I53" s="160">
        <f>I52*2</f>
        <v>2.364445361622042</v>
      </c>
      <c r="J53" s="68">
        <f t="shared" ref="J53:L53" si="5">J52*2</f>
        <v>2.3649613001909655</v>
      </c>
      <c r="K53" s="159">
        <f t="shared" si="5"/>
        <v>2.3574478107034138</v>
      </c>
      <c r="L53" s="68">
        <f t="shared" si="5"/>
        <v>2.361205677252403</v>
      </c>
      <c r="P53" s="80"/>
      <c r="Q53" s="80"/>
      <c r="R53" s="80"/>
      <c r="S53" s="80"/>
    </row>
    <row r="54" spans="2:19" x14ac:dyDescent="0.2">
      <c r="B54" s="40" t="s">
        <v>76</v>
      </c>
      <c r="C54" s="144">
        <f>ABS(C50-D26)*1000</f>
        <v>5.7984677576858878</v>
      </c>
      <c r="D54" s="112">
        <f>ABS(D50-D26)*1000</f>
        <v>5.6910041642863618</v>
      </c>
      <c r="E54" s="144">
        <f>ABS(E50-$E$26)*1000</f>
        <v>4.3656592990759524</v>
      </c>
      <c r="F54" s="112">
        <f>ABS(F50-$E$26)*1000</f>
        <v>2.3594740825576554</v>
      </c>
      <c r="H54" s="102" t="s">
        <v>76</v>
      </c>
      <c r="I54" s="144">
        <f>ABS(I50-D26)*1000</f>
        <v>6.6673090766875553</v>
      </c>
      <c r="J54" s="112">
        <f>ABS(J50-D26)*1000</f>
        <v>10.258206883775989</v>
      </c>
      <c r="K54" s="145">
        <f>ABS(K50-E26)*1000</f>
        <v>7.2490972176100232</v>
      </c>
      <c r="L54" s="112">
        <f>ABS(L50-E26)*1000</f>
        <v>7.8500862540822336</v>
      </c>
      <c r="P54" s="80"/>
      <c r="Q54" s="80"/>
      <c r="R54" s="80"/>
      <c r="S54" s="80"/>
    </row>
    <row r="55" spans="2:19" ht="17" thickBot="1" x14ac:dyDescent="0.25">
      <c r="B55" s="42" t="s">
        <v>13</v>
      </c>
      <c r="C55" s="160">
        <f>C54/1000/D26*100</f>
        <v>0.36363078491333434</v>
      </c>
      <c r="D55" s="68">
        <f>D54/1000/D26*100</f>
        <v>0.35689157854874248</v>
      </c>
      <c r="E55" s="159">
        <f>E54/1000/E26*100</f>
        <v>0.22588875667269542</v>
      </c>
      <c r="F55" s="68">
        <f>F54/1000/E26*100</f>
        <v>0.1220843474943657</v>
      </c>
      <c r="H55" s="104" t="s">
        <v>13</v>
      </c>
      <c r="I55" s="160">
        <f>I54/1000/D26*100</f>
        <v>0.41811715338109667</v>
      </c>
      <c r="J55" s="68">
        <f>J54/1000/D26*100</f>
        <v>0.64330784904450655</v>
      </c>
      <c r="K55" s="159">
        <f>K54/1000/E26*100</f>
        <v>0.37508413857032308</v>
      </c>
      <c r="L55" s="68">
        <f>L54/1000/E26*100</f>
        <v>0.40618062524562626</v>
      </c>
      <c r="P55" s="80"/>
      <c r="Q55" s="80"/>
      <c r="R55" s="80"/>
      <c r="S55" s="80"/>
    </row>
    <row r="56" spans="2:19" x14ac:dyDescent="0.2">
      <c r="P56" s="80"/>
      <c r="Q56" s="80"/>
      <c r="R56" s="80"/>
      <c r="S56" s="80"/>
    </row>
    <row r="57" spans="2:19" x14ac:dyDescent="0.2">
      <c r="B57" s="195" t="s">
        <v>34</v>
      </c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P57" s="80"/>
      <c r="Q57" s="80"/>
      <c r="R57" s="80"/>
      <c r="S57" s="80"/>
    </row>
    <row r="58" spans="2:19" x14ac:dyDescent="0.2">
      <c r="P58" s="80"/>
      <c r="Q58" s="80"/>
      <c r="R58" s="80"/>
      <c r="S58" s="80"/>
    </row>
    <row r="59" spans="2:19" ht="17" thickBot="1" x14ac:dyDescent="0.25">
      <c r="P59" s="80"/>
      <c r="Q59" s="80"/>
      <c r="R59" s="80"/>
      <c r="S59" s="80"/>
    </row>
    <row r="60" spans="2:19" ht="17" thickBot="1" x14ac:dyDescent="0.25">
      <c r="B60" s="1"/>
      <c r="C60" s="14" t="s">
        <v>0</v>
      </c>
      <c r="D60" s="9" t="s">
        <v>1</v>
      </c>
      <c r="F60" s="98"/>
      <c r="P60" s="80"/>
      <c r="Q60" s="80"/>
      <c r="R60" s="80"/>
      <c r="S60" s="80"/>
    </row>
    <row r="61" spans="2:19" ht="17" thickBot="1" x14ac:dyDescent="0.25">
      <c r="B61" s="186" t="s">
        <v>10</v>
      </c>
      <c r="C61" s="122" t="s">
        <v>17</v>
      </c>
      <c r="D61" s="97" t="s">
        <v>17</v>
      </c>
      <c r="F61" s="1"/>
      <c r="P61" s="80"/>
      <c r="Q61" s="80"/>
      <c r="R61" s="80"/>
      <c r="S61" s="80"/>
    </row>
    <row r="62" spans="2:19" x14ac:dyDescent="0.2">
      <c r="B62" s="187"/>
      <c r="C62" s="123">
        <v>0.67420000000000002</v>
      </c>
      <c r="D62" s="3">
        <v>0.83120000000000005</v>
      </c>
      <c r="F62" s="1"/>
      <c r="P62" s="80"/>
      <c r="Q62" s="80"/>
      <c r="R62" s="80"/>
      <c r="S62" s="80"/>
    </row>
    <row r="63" spans="2:19" ht="17" thickBot="1" x14ac:dyDescent="0.25">
      <c r="B63" s="187"/>
      <c r="C63" s="123">
        <v>0.67449999999999999</v>
      </c>
      <c r="D63" s="3">
        <v>0.83130000000000004</v>
      </c>
      <c r="F63" s="1"/>
      <c r="P63" s="80"/>
      <c r="Q63" s="80"/>
      <c r="R63" s="80"/>
      <c r="S63" s="80"/>
    </row>
    <row r="64" spans="2:19" ht="17" thickBot="1" x14ac:dyDescent="0.25">
      <c r="B64" s="187"/>
      <c r="C64" s="123">
        <v>0.67430000000000001</v>
      </c>
      <c r="D64" s="3">
        <v>0.83089999999999997</v>
      </c>
      <c r="F64" s="1"/>
      <c r="H64" s="7"/>
      <c r="I64" s="7"/>
      <c r="J64" s="7"/>
      <c r="K64" s="10" t="s">
        <v>0</v>
      </c>
      <c r="L64" s="37" t="s">
        <v>1</v>
      </c>
      <c r="P64" s="80"/>
      <c r="Q64" s="80"/>
      <c r="R64" s="80"/>
      <c r="S64" s="80"/>
    </row>
    <row r="65" spans="2:19" ht="17" thickBot="1" x14ac:dyDescent="0.25">
      <c r="B65" s="187"/>
      <c r="C65" s="123">
        <v>0.6744</v>
      </c>
      <c r="D65" s="3">
        <v>0.8306</v>
      </c>
      <c r="F65" s="1"/>
      <c r="H65" s="189" t="s">
        <v>14</v>
      </c>
      <c r="I65" s="190"/>
      <c r="J65" s="191"/>
      <c r="K65" s="100">
        <f>'Facteurs correctifs'!C4*'Facteurs correctifs'!C26*'Facteurs correctifs'!C27</f>
        <v>1.0121458883237797</v>
      </c>
      <c r="L65" s="99">
        <f>'Facteurs correctifs'!C4*'Facteurs correctifs'!G26*'Facteurs correctifs'!G27</f>
        <v>1.0144155079597512</v>
      </c>
      <c r="P65" s="80"/>
      <c r="Q65" s="80"/>
      <c r="R65" s="80"/>
      <c r="S65" s="80"/>
    </row>
    <row r="66" spans="2:19" x14ac:dyDescent="0.2">
      <c r="B66" s="187"/>
      <c r="C66" s="123">
        <v>0.67520000000000002</v>
      </c>
      <c r="D66" s="3">
        <v>0.83079999999999998</v>
      </c>
      <c r="F66" s="1"/>
      <c r="P66" s="80"/>
      <c r="Q66" s="80"/>
      <c r="R66" s="80"/>
      <c r="S66" s="80"/>
    </row>
    <row r="67" spans="2:19" ht="17" thickBot="1" x14ac:dyDescent="0.25">
      <c r="B67" s="187"/>
      <c r="C67" s="123">
        <v>0.67469999999999997</v>
      </c>
      <c r="D67" s="3">
        <v>0.83089999999999997</v>
      </c>
      <c r="F67" s="1"/>
      <c r="P67" s="80"/>
      <c r="Q67" s="80"/>
      <c r="R67" s="80"/>
      <c r="S67" s="80"/>
    </row>
    <row r="68" spans="2:19" ht="17" thickBot="1" x14ac:dyDescent="0.25">
      <c r="B68" s="187"/>
      <c r="C68" s="123">
        <v>0.67490000000000006</v>
      </c>
      <c r="D68" s="3">
        <v>0.83130000000000004</v>
      </c>
      <c r="F68" s="1"/>
      <c r="I68" s="179" t="s">
        <v>55</v>
      </c>
      <c r="J68" s="180"/>
      <c r="K68" s="179" t="s">
        <v>71</v>
      </c>
      <c r="L68" s="180"/>
    </row>
    <row r="69" spans="2:19" ht="17" thickBot="1" x14ac:dyDescent="0.25">
      <c r="B69" s="187"/>
      <c r="C69" s="123">
        <v>0.67520000000000002</v>
      </c>
      <c r="D69" s="3">
        <v>0.83099999999999996</v>
      </c>
      <c r="F69" s="1"/>
      <c r="H69" s="1"/>
      <c r="I69" s="132" t="s">
        <v>0</v>
      </c>
      <c r="J69" s="9" t="s">
        <v>1</v>
      </c>
      <c r="K69" s="133" t="s">
        <v>0</v>
      </c>
      <c r="L69" s="9" t="s">
        <v>1</v>
      </c>
    </row>
    <row r="70" spans="2:19" x14ac:dyDescent="0.2">
      <c r="B70" s="187"/>
      <c r="C70" s="123">
        <v>0.67569999999999997</v>
      </c>
      <c r="D70" s="3">
        <v>0.83160000000000001</v>
      </c>
      <c r="F70" s="1"/>
      <c r="H70" s="40" t="s">
        <v>66</v>
      </c>
      <c r="I70" s="144">
        <f>STDEV(C6:C15)/C16*100</f>
        <v>9.0540854652879851E-2</v>
      </c>
      <c r="J70" s="112">
        <f>STDEV(E6:E15)/E16*100</f>
        <v>4.1252722600962785E-2</v>
      </c>
      <c r="K70" s="145">
        <f>C73/C72*100</f>
        <v>0.12501544591463479</v>
      </c>
      <c r="L70" s="112">
        <f>D73/D72*100</f>
        <v>3.5331882282566611E-2</v>
      </c>
    </row>
    <row r="71" spans="2:19" ht="17" thickBot="1" x14ac:dyDescent="0.25">
      <c r="B71" s="188"/>
      <c r="C71" s="123">
        <v>0.67700000000000005</v>
      </c>
      <c r="D71" s="3">
        <v>0.83120000000000005</v>
      </c>
      <c r="F71" s="1"/>
      <c r="H71" s="41" t="s">
        <v>7</v>
      </c>
      <c r="I71" s="146">
        <f>'Facteurs correctifs'!F34/'Facteurs correctifs'!C26*100</f>
        <v>0.11030036473487881</v>
      </c>
      <c r="J71" s="66">
        <f>'Facteurs correctifs'!G34/'Facteurs correctifs'!C26*100</f>
        <v>0.10844632462624132</v>
      </c>
      <c r="K71" s="147">
        <f>'Facteurs correctifs'!H34/'Facteurs correctifs'!C26*100</f>
        <v>5.8439360362767652E-2</v>
      </c>
      <c r="L71" s="66">
        <f>'Facteurs correctifs'!I34/'Facteurs correctifs'!G26*100</f>
        <v>0.10065181608088607</v>
      </c>
    </row>
    <row r="72" spans="2:19" x14ac:dyDescent="0.2">
      <c r="B72" s="40" t="s">
        <v>3</v>
      </c>
      <c r="C72" s="6">
        <f>AVERAGE(C61:C71)</f>
        <v>0.67501</v>
      </c>
      <c r="D72" s="2">
        <f>AVERAGE(D61:D71)</f>
        <v>0.83108000000000004</v>
      </c>
      <c r="F72" s="1"/>
      <c r="H72" s="41" t="s">
        <v>54</v>
      </c>
      <c r="I72" s="146">
        <f>'Facteurs correctifs'!F35/'Facteurs correctifs'!C27*100</f>
        <v>7.9584884721818377E-2</v>
      </c>
      <c r="J72" s="66">
        <f>'Facteurs correctifs'!G35/'Facteurs correctifs'!C27*100</f>
        <v>7.968741114200914E-2</v>
      </c>
      <c r="K72" s="147">
        <f>'Facteurs correctifs'!H35/'Facteurs correctifs'!C27*100</f>
        <v>3.1789898729895322E-2</v>
      </c>
      <c r="L72" s="66">
        <f>'Facteurs correctifs'!I35/'Facteurs correctifs'!G27*100</f>
        <v>9.2578024464032252E-2</v>
      </c>
    </row>
    <row r="73" spans="2:19" ht="17" thickBot="1" x14ac:dyDescent="0.25">
      <c r="B73" s="42" t="s">
        <v>38</v>
      </c>
      <c r="C73" s="124">
        <f>STDEV(C62:C71)</f>
        <v>8.4386676146837617E-4</v>
      </c>
      <c r="D73" s="109">
        <f>STDEV(D62:D71)</f>
        <v>2.9363620727395457E-4</v>
      </c>
      <c r="H73" s="41" t="s">
        <v>58</v>
      </c>
      <c r="I73" s="146">
        <f>'Facteurs correctifs'!C36*100</f>
        <v>0.27529622421882033</v>
      </c>
      <c r="J73" s="66">
        <f>'Facteurs correctifs'!C36*100</f>
        <v>0.27529622421882033</v>
      </c>
      <c r="K73" s="147">
        <f>'Facteurs correctifs'!C36*100</f>
        <v>0.27529622421882033</v>
      </c>
      <c r="L73" s="66">
        <f>'Facteurs correctifs'!C36*100</f>
        <v>0.27529622421882033</v>
      </c>
    </row>
    <row r="74" spans="2:19" ht="17" thickBot="1" x14ac:dyDescent="0.25">
      <c r="H74" s="41" t="s">
        <v>70</v>
      </c>
      <c r="I74" s="11">
        <f>J5</f>
        <v>0.55000000000000004</v>
      </c>
      <c r="J74" s="3">
        <f>J5</f>
        <v>0.55000000000000004</v>
      </c>
      <c r="K74" s="1">
        <f>N5</f>
        <v>0.55000000000000004</v>
      </c>
      <c r="L74" s="3">
        <f>J5</f>
        <v>0.55000000000000004</v>
      </c>
    </row>
    <row r="75" spans="2:19" ht="17" thickBot="1" x14ac:dyDescent="0.25">
      <c r="B75" s="192" t="s">
        <v>41</v>
      </c>
      <c r="C75" s="193"/>
      <c r="D75" s="125" t="s">
        <v>0</v>
      </c>
      <c r="E75" s="134" t="s">
        <v>1</v>
      </c>
      <c r="H75" s="41" t="s">
        <v>69</v>
      </c>
      <c r="I75" s="11">
        <v>1</v>
      </c>
      <c r="J75" s="3">
        <v>1</v>
      </c>
      <c r="K75" s="1">
        <v>1</v>
      </c>
      <c r="L75" s="3">
        <v>1</v>
      </c>
    </row>
    <row r="76" spans="2:19" ht="16" customHeight="1" x14ac:dyDescent="0.2">
      <c r="B76" s="176" t="s">
        <v>40</v>
      </c>
      <c r="C76" s="40" t="s">
        <v>12</v>
      </c>
      <c r="D76" s="112">
        <f>C72*K65*M5*C22</f>
        <v>1.5959335200418678</v>
      </c>
      <c r="E76" s="111">
        <f>D72*L65*D22*M5</f>
        <v>1.9300332490838961</v>
      </c>
      <c r="H76" s="41" t="s">
        <v>67</v>
      </c>
      <c r="I76" s="148">
        <f>SQRT((I70/100)^2+(I71/100)^2+(I72/100)^2+(I73/100)^2+(I74/100)^2+(I75/100)^2)*100</f>
        <v>1.1853208771329582</v>
      </c>
      <c r="J76" s="150">
        <f>SQRT((J70/100)^2+(J71/100)^2+(J72/100)^2+(J73/100)^2+(J74/100)^2+(J75/100)^2)*100</f>
        <v>1.1824129934209056</v>
      </c>
      <c r="K76" s="149">
        <f>SQRT((K70/100)^2+(K71/100)^2+(K72/100)^2+(K73/100)^2+(K74/100)^2+(K75/100)^2)*100</f>
        <v>1.1825153822624213</v>
      </c>
      <c r="L76" s="150">
        <f>SQRT((L70/100)^2+(L71/100)^2+(L72/100)^2+(L73/100)^2+(L74/100)^2+(L75/100)^2)*100</f>
        <v>1.1824710701191854</v>
      </c>
    </row>
    <row r="77" spans="2:19" ht="17" thickBot="1" x14ac:dyDescent="0.25">
      <c r="B77" s="177"/>
      <c r="C77" s="41" t="s">
        <v>11</v>
      </c>
      <c r="D77" s="66">
        <v>1.589</v>
      </c>
      <c r="E77" s="65">
        <v>1.907</v>
      </c>
      <c r="H77" s="42" t="s">
        <v>68</v>
      </c>
      <c r="I77" s="151">
        <f>I76*2</f>
        <v>2.3706417542659164</v>
      </c>
      <c r="J77" s="153">
        <f>J76*2</f>
        <v>2.3648259868418111</v>
      </c>
      <c r="K77" s="152">
        <f>K76*2</f>
        <v>2.3650307645248425</v>
      </c>
      <c r="L77" s="153">
        <f>L76*2</f>
        <v>2.3649421402383708</v>
      </c>
    </row>
    <row r="78" spans="2:19" ht="17" thickBot="1" x14ac:dyDescent="0.25">
      <c r="B78" s="177"/>
      <c r="C78" s="42" t="s">
        <v>13</v>
      </c>
      <c r="D78" s="60">
        <f>(ABS(D76-D77)/D77*100)</f>
        <v>0.43634487362289925</v>
      </c>
      <c r="E78" s="55">
        <f>ABS(E76-E77)/E77*100</f>
        <v>1.207826380906976</v>
      </c>
    </row>
    <row r="79" spans="2:19" ht="17" thickBot="1" x14ac:dyDescent="0.25">
      <c r="B79" s="178"/>
      <c r="C79" s="43" t="s">
        <v>75</v>
      </c>
      <c r="D79" s="156">
        <f>ABS(D76-D26)/D26*100</f>
        <v>8.3432867776990716E-2</v>
      </c>
      <c r="E79" s="157">
        <f>ABS(E76-E26)/E26*100</f>
        <v>0.135860105986011</v>
      </c>
    </row>
    <row r="80" spans="2:19" ht="17" thickBot="1" x14ac:dyDescent="0.25"/>
    <row r="81" spans="2:4" ht="17" thickBot="1" x14ac:dyDescent="0.25">
      <c r="C81" s="125" t="s">
        <v>0</v>
      </c>
      <c r="D81" s="114" t="s">
        <v>1</v>
      </c>
    </row>
    <row r="82" spans="2:4" x14ac:dyDescent="0.2">
      <c r="B82" s="102" t="s">
        <v>57</v>
      </c>
      <c r="C82" s="111">
        <f>D76*SQRT((STDEV(C62:C71)/C72)^2+(1/100)^2+'Facteurs correctifs'!C36^2+('Facteurs correctifs'!H34/'Facteurs correctifs'!G26)^2+('Facteurs correctifs'!H35/'Facteurs correctifs'!G27)^2+('Mesures Clinac 2'!N5/100)^2)</f>
        <v>1.8872101016574362E-2</v>
      </c>
      <c r="D82" s="115">
        <f>E76*SQRT((STDEV(D62:D71)/D72)^2+(1/100)^2+'Facteurs correctifs'!C36^2+('Facteurs correctifs'!I34/'Facteurs correctifs'!G26)^2+('Facteurs correctifs'!I35/'Facteurs correctifs'!G27)^2+('Mesures Clinac 2'!N5/100)^2)</f>
        <v>2.2822084814098434E-2</v>
      </c>
    </row>
    <row r="83" spans="2:4" x14ac:dyDescent="0.2">
      <c r="B83" s="103" t="s">
        <v>63</v>
      </c>
      <c r="C83" s="65">
        <f>C82*2</f>
        <v>3.7744202033148724E-2</v>
      </c>
      <c r="D83" s="66">
        <f>D82*2</f>
        <v>4.5644169628196868E-2</v>
      </c>
    </row>
    <row r="84" spans="2:4" ht="17" thickBot="1" x14ac:dyDescent="0.25">
      <c r="B84" s="104" t="s">
        <v>64</v>
      </c>
      <c r="C84" s="55">
        <f>C83/D76*100</f>
        <v>2.3650234523652678</v>
      </c>
      <c r="D84" s="68">
        <f>D83/E76*100</f>
        <v>2.3649421402383712</v>
      </c>
    </row>
  </sheetData>
  <mergeCells count="26">
    <mergeCell ref="N43:P43"/>
    <mergeCell ref="L4:M4"/>
    <mergeCell ref="B24:C24"/>
    <mergeCell ref="H3:I3"/>
    <mergeCell ref="B57:L57"/>
    <mergeCell ref="C36:D36"/>
    <mergeCell ref="E36:F36"/>
    <mergeCell ref="B37:B47"/>
    <mergeCell ref="I36:J36"/>
    <mergeCell ref="H4:I4"/>
    <mergeCell ref="K36:L36"/>
    <mergeCell ref="H37:H47"/>
    <mergeCell ref="B34:L34"/>
    <mergeCell ref="E4:F4"/>
    <mergeCell ref="C4:D4"/>
    <mergeCell ref="B5:B15"/>
    <mergeCell ref="H12:J12"/>
    <mergeCell ref="B75:C75"/>
    <mergeCell ref="B61:B71"/>
    <mergeCell ref="H65:J65"/>
    <mergeCell ref="B76:B79"/>
    <mergeCell ref="K68:L68"/>
    <mergeCell ref="I68:J68"/>
    <mergeCell ref="B25:B27"/>
    <mergeCell ref="H7:I7"/>
    <mergeCell ref="H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76F-084A-0544-B747-D4DF3BB27460}">
  <dimension ref="B1:J31"/>
  <sheetViews>
    <sheetView workbookViewId="0">
      <selection activeCell="K22" sqref="K22"/>
    </sheetView>
  </sheetViews>
  <sheetFormatPr baseColWidth="10" defaultRowHeight="16" x14ac:dyDescent="0.2"/>
  <cols>
    <col min="2" max="2" width="12.1640625" bestFit="1" customWidth="1"/>
  </cols>
  <sheetData>
    <row r="1" spans="2:10" ht="17" thickBot="1" x14ac:dyDescent="0.25">
      <c r="B1" s="107" t="s">
        <v>61</v>
      </c>
      <c r="C1" s="1" t="s">
        <v>0</v>
      </c>
      <c r="D1" s="1" t="s">
        <v>1</v>
      </c>
    </row>
    <row r="2" spans="2:10" x14ac:dyDescent="0.2">
      <c r="B2" s="1" t="s">
        <v>12</v>
      </c>
      <c r="C2" s="1" t="s">
        <v>59</v>
      </c>
      <c r="D2" s="1" t="s">
        <v>59</v>
      </c>
      <c r="G2" s="46"/>
      <c r="H2" s="47">
        <v>1017</v>
      </c>
      <c r="I2" s="47"/>
      <c r="J2" s="2">
        <v>1013.25</v>
      </c>
    </row>
    <row r="3" spans="2:10" x14ac:dyDescent="0.2">
      <c r="B3" s="1">
        <v>1</v>
      </c>
      <c r="C3" s="1">
        <v>32.86</v>
      </c>
      <c r="D3" s="1">
        <v>38.74</v>
      </c>
      <c r="G3" s="11"/>
      <c r="H3" s="1">
        <v>21.4</v>
      </c>
      <c r="I3" s="1"/>
      <c r="J3" s="3">
        <v>20</v>
      </c>
    </row>
    <row r="4" spans="2:10" ht="17" thickBot="1" x14ac:dyDescent="0.25">
      <c r="B4" s="1">
        <v>2</v>
      </c>
      <c r="C4" s="1">
        <v>32.81</v>
      </c>
      <c r="D4" s="1">
        <v>38.72</v>
      </c>
      <c r="G4" s="12" t="s">
        <v>58</v>
      </c>
      <c r="H4" s="4">
        <f>(J2*(H3+273.15))/((J3+273.15)*H2)</f>
        <v>1.0010707869007027</v>
      </c>
      <c r="I4" s="4"/>
      <c r="J4" s="5"/>
    </row>
    <row r="5" spans="2:10" x14ac:dyDescent="0.2">
      <c r="B5" s="1">
        <v>3</v>
      </c>
      <c r="C5" s="1">
        <v>32.78</v>
      </c>
      <c r="D5" s="1">
        <v>38.71</v>
      </c>
    </row>
    <row r="6" spans="2:10" x14ac:dyDescent="0.2">
      <c r="B6" s="1">
        <v>4</v>
      </c>
      <c r="C6" s="1">
        <v>32.83</v>
      </c>
      <c r="D6" s="1">
        <v>38.71</v>
      </c>
    </row>
    <row r="7" spans="2:10" x14ac:dyDescent="0.2">
      <c r="B7" s="1">
        <v>5</v>
      </c>
      <c r="C7" s="1">
        <v>32.83</v>
      </c>
      <c r="D7" s="1">
        <v>38.700000000000003</v>
      </c>
    </row>
    <row r="8" spans="2:10" x14ac:dyDescent="0.2">
      <c r="B8" s="1">
        <v>6</v>
      </c>
      <c r="C8" s="1">
        <v>32.83</v>
      </c>
      <c r="D8" s="1">
        <v>38.74</v>
      </c>
    </row>
    <row r="9" spans="2:10" x14ac:dyDescent="0.2">
      <c r="B9" s="1">
        <v>7</v>
      </c>
      <c r="C9" s="1">
        <v>32.840000000000003</v>
      </c>
      <c r="D9" s="1">
        <v>38.74</v>
      </c>
    </row>
    <row r="10" spans="2:10" x14ac:dyDescent="0.2">
      <c r="B10" s="1">
        <v>8</v>
      </c>
      <c r="C10" s="1">
        <v>32.79</v>
      </c>
      <c r="D10" s="1">
        <v>38.75</v>
      </c>
    </row>
    <row r="11" spans="2:10" x14ac:dyDescent="0.2">
      <c r="B11" s="1">
        <v>9</v>
      </c>
      <c r="C11" s="1">
        <v>32.840000000000003</v>
      </c>
      <c r="D11" s="1">
        <v>38.75</v>
      </c>
    </row>
    <row r="12" spans="2:10" ht="17" thickBot="1" x14ac:dyDescent="0.25">
      <c r="B12" s="1">
        <v>10</v>
      </c>
      <c r="C12" s="1">
        <v>32.799999999999997</v>
      </c>
      <c r="D12" s="1">
        <v>38.729999999999997</v>
      </c>
    </row>
    <row r="13" spans="2:10" ht="17" thickBot="1" x14ac:dyDescent="0.25">
      <c r="B13" s="1"/>
      <c r="C13" s="105">
        <f>AVERAGE(C3:C12)</f>
        <v>32.820999999999998</v>
      </c>
      <c r="D13" s="106">
        <f>AVERAGE(D3:D12)</f>
        <v>38.729000000000006</v>
      </c>
    </row>
    <row r="16" spans="2:10" x14ac:dyDescent="0.2">
      <c r="B16" t="s">
        <v>60</v>
      </c>
      <c r="C16">
        <f>C13*H4*'Facteurs correctifs'!C14*'Facteurs correctifs'!C15*'Mesures Clinac 2'!C22*'Mesures Clinac 2'!I5</f>
        <v>1.7635312994869627</v>
      </c>
      <c r="D16">
        <f>D13*H4*'Facteurs correctifs'!G14*'Facteurs correctifs'!G15*'Mesures Clinac 2'!I5*'Mesures Clinac 2'!D22</f>
        <v>2.0446722960671129</v>
      </c>
    </row>
    <row r="19" spans="2:5" x14ac:dyDescent="0.2">
      <c r="B19" s="107" t="s">
        <v>62</v>
      </c>
      <c r="C19" s="1" t="s">
        <v>0</v>
      </c>
      <c r="D19" s="1" t="s">
        <v>1</v>
      </c>
    </row>
    <row r="20" spans="2:5" x14ac:dyDescent="0.2">
      <c r="B20" s="1" t="s">
        <v>12</v>
      </c>
      <c r="C20" s="1" t="s">
        <v>59</v>
      </c>
      <c r="D20" s="1" t="s">
        <v>59</v>
      </c>
      <c r="E20" s="161" t="s">
        <v>77</v>
      </c>
    </row>
    <row r="21" spans="2:5" x14ac:dyDescent="0.2">
      <c r="B21" s="1">
        <v>1</v>
      </c>
      <c r="C21" s="1">
        <v>29.67</v>
      </c>
      <c r="D21" s="1">
        <v>36.65</v>
      </c>
    </row>
    <row r="22" spans="2:5" x14ac:dyDescent="0.2">
      <c r="B22" s="1">
        <v>2</v>
      </c>
      <c r="C22" s="1">
        <v>29.69</v>
      </c>
      <c r="D22" s="1">
        <v>36.590000000000003</v>
      </c>
    </row>
    <row r="23" spans="2:5" x14ac:dyDescent="0.2">
      <c r="B23" s="1">
        <v>3</v>
      </c>
      <c r="C23" s="1">
        <v>29.69</v>
      </c>
      <c r="D23" s="1">
        <v>36.58</v>
      </c>
    </row>
    <row r="24" spans="2:5" x14ac:dyDescent="0.2">
      <c r="B24" s="1">
        <v>4</v>
      </c>
      <c r="C24" s="1">
        <v>29.71</v>
      </c>
      <c r="D24" s="1">
        <v>36.6</v>
      </c>
    </row>
    <row r="25" spans="2:5" ht="17" thickBot="1" x14ac:dyDescent="0.25">
      <c r="B25" s="1">
        <v>5</v>
      </c>
      <c r="C25" s="1">
        <v>29.67</v>
      </c>
      <c r="D25" s="1">
        <v>36.619999999999997</v>
      </c>
    </row>
    <row r="26" spans="2:5" ht="17" thickBot="1" x14ac:dyDescent="0.25">
      <c r="B26" s="1"/>
      <c r="C26" s="105">
        <f>AVERAGE(C21:C25)</f>
        <v>29.686</v>
      </c>
      <c r="D26" s="196">
        <f>AVERAGE(D21:D25)</f>
        <v>36.608000000000004</v>
      </c>
    </row>
    <row r="27" spans="2:5" x14ac:dyDescent="0.2">
      <c r="B27" s="1"/>
      <c r="C27" s="1"/>
      <c r="D27" s="1"/>
    </row>
    <row r="28" spans="2:5" x14ac:dyDescent="0.2">
      <c r="B28" s="1"/>
      <c r="C28" s="1"/>
      <c r="D28" s="1"/>
    </row>
    <row r="29" spans="2:5" x14ac:dyDescent="0.2">
      <c r="B29" s="1"/>
      <c r="C29" s="1"/>
      <c r="D29" s="1"/>
    </row>
    <row r="30" spans="2:5" x14ac:dyDescent="0.2">
      <c r="B30" s="1"/>
      <c r="C30" s="1"/>
      <c r="D30" s="1"/>
    </row>
    <row r="31" spans="2:5" x14ac:dyDescent="0.2">
      <c r="B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79D-7202-824C-AAB9-A82987B2F356}">
  <dimension ref="A1:L31"/>
  <sheetViews>
    <sheetView workbookViewId="0">
      <selection activeCell="E12" sqref="E12"/>
    </sheetView>
  </sheetViews>
  <sheetFormatPr baseColWidth="10" defaultRowHeight="16" x14ac:dyDescent="0.2"/>
  <cols>
    <col min="1" max="1" width="14.5" bestFit="1" customWidth="1"/>
    <col min="2" max="2" width="13.33203125" bestFit="1" customWidth="1"/>
    <col min="3" max="4" width="14.33203125" bestFit="1" customWidth="1"/>
    <col min="10" max="10" width="15.5" bestFit="1" customWidth="1"/>
  </cols>
  <sheetData>
    <row r="1" spans="1:7" ht="17" thickBot="1" x14ac:dyDescent="0.25">
      <c r="A1" s="26" t="s">
        <v>44</v>
      </c>
      <c r="B1" s="27" t="s">
        <v>47</v>
      </c>
      <c r="C1" s="28" t="s">
        <v>48</v>
      </c>
      <c r="D1" s="13"/>
      <c r="E1" s="13"/>
      <c r="F1" s="13"/>
      <c r="G1" s="13"/>
    </row>
    <row r="2" spans="1:7" x14ac:dyDescent="0.2">
      <c r="A2" s="24">
        <v>0</v>
      </c>
      <c r="B2" s="53">
        <v>15.52</v>
      </c>
      <c r="C2" s="69">
        <v>8.3089999999999993</v>
      </c>
    </row>
    <row r="3" spans="1:7" x14ac:dyDescent="0.2">
      <c r="A3" s="84">
        <v>1</v>
      </c>
      <c r="B3" s="54">
        <v>35.94</v>
      </c>
      <c r="C3" s="83">
        <v>28.64</v>
      </c>
    </row>
    <row r="4" spans="1:7" x14ac:dyDescent="0.2">
      <c r="A4" s="84">
        <v>2</v>
      </c>
      <c r="B4" s="54">
        <v>36.83</v>
      </c>
      <c r="C4" s="83">
        <v>36.19</v>
      </c>
    </row>
    <row r="5" spans="1:7" x14ac:dyDescent="0.2">
      <c r="A5" s="84">
        <v>3</v>
      </c>
      <c r="B5" s="54">
        <v>35.299999999999997</v>
      </c>
      <c r="C5" s="83">
        <v>38</v>
      </c>
    </row>
    <row r="6" spans="1:7" x14ac:dyDescent="0.2">
      <c r="A6" s="84">
        <v>4</v>
      </c>
      <c r="B6" s="54">
        <v>33.729999999999997</v>
      </c>
      <c r="C6" s="83">
        <v>37.78</v>
      </c>
    </row>
    <row r="7" spans="1:7" x14ac:dyDescent="0.2">
      <c r="A7" s="84">
        <v>5</v>
      </c>
      <c r="B7" s="54">
        <v>32.15</v>
      </c>
      <c r="C7" s="83">
        <v>36.76</v>
      </c>
    </row>
    <row r="8" spans="1:7" x14ac:dyDescent="0.2">
      <c r="A8" s="84">
        <v>6</v>
      </c>
      <c r="B8" s="54">
        <v>30.6</v>
      </c>
      <c r="C8" s="83">
        <v>35.51</v>
      </c>
    </row>
    <row r="9" spans="1:7" x14ac:dyDescent="0.2">
      <c r="A9" s="84">
        <v>7</v>
      </c>
      <c r="B9" s="54">
        <v>29.05</v>
      </c>
      <c r="C9" s="83">
        <v>34.19</v>
      </c>
    </row>
    <row r="10" spans="1:7" x14ac:dyDescent="0.2">
      <c r="A10" s="84">
        <v>8</v>
      </c>
      <c r="B10" s="54">
        <v>27.56</v>
      </c>
      <c r="C10" s="83">
        <v>32.89</v>
      </c>
    </row>
    <row r="11" spans="1:7" x14ac:dyDescent="0.2">
      <c r="A11" s="84">
        <v>9</v>
      </c>
      <c r="B11" s="54">
        <v>26.14</v>
      </c>
      <c r="C11" s="83">
        <v>31.58</v>
      </c>
    </row>
    <row r="12" spans="1:7" x14ac:dyDescent="0.2">
      <c r="A12" s="84">
        <v>10</v>
      </c>
      <c r="B12" s="54">
        <v>24.76</v>
      </c>
      <c r="C12" s="83">
        <v>30.35</v>
      </c>
    </row>
    <row r="13" spans="1:7" x14ac:dyDescent="0.2">
      <c r="A13" s="84">
        <v>11</v>
      </c>
      <c r="B13" s="54">
        <v>23.45</v>
      </c>
      <c r="C13" s="83">
        <v>29.13</v>
      </c>
    </row>
    <row r="14" spans="1:7" x14ac:dyDescent="0.2">
      <c r="A14" s="84">
        <v>12</v>
      </c>
      <c r="B14" s="54">
        <v>22.2</v>
      </c>
      <c r="C14" s="83">
        <v>27.99</v>
      </c>
    </row>
    <row r="15" spans="1:7" x14ac:dyDescent="0.2">
      <c r="A15" s="84">
        <v>13</v>
      </c>
      <c r="B15" s="54">
        <v>20.96</v>
      </c>
      <c r="C15" s="83">
        <v>26.84</v>
      </c>
    </row>
    <row r="16" spans="1:7" x14ac:dyDescent="0.2">
      <c r="A16" s="84">
        <v>14</v>
      </c>
      <c r="B16" s="54">
        <v>19.84</v>
      </c>
      <c r="C16" s="83">
        <v>25.78</v>
      </c>
    </row>
    <row r="17" spans="1:12" x14ac:dyDescent="0.2">
      <c r="A17" s="84">
        <v>15</v>
      </c>
      <c r="B17" s="54">
        <v>18.73</v>
      </c>
      <c r="C17" s="83">
        <v>24.73</v>
      </c>
    </row>
    <row r="18" spans="1:12" x14ac:dyDescent="0.2">
      <c r="A18" s="84">
        <v>16</v>
      </c>
      <c r="B18" s="54">
        <v>17.73</v>
      </c>
      <c r="C18" s="83">
        <v>23.75</v>
      </c>
    </row>
    <row r="19" spans="1:12" x14ac:dyDescent="0.2">
      <c r="A19" s="84">
        <v>17</v>
      </c>
      <c r="B19" s="54">
        <v>16.739999999999998</v>
      </c>
      <c r="C19" s="83">
        <v>22.78</v>
      </c>
    </row>
    <row r="20" spans="1:12" x14ac:dyDescent="0.2">
      <c r="A20" s="84">
        <v>18</v>
      </c>
      <c r="B20" s="54">
        <v>15.83</v>
      </c>
      <c r="C20" s="83">
        <v>21.87</v>
      </c>
    </row>
    <row r="21" spans="1:12" x14ac:dyDescent="0.2">
      <c r="A21" s="84">
        <v>19</v>
      </c>
      <c r="B21" s="54">
        <v>14.93</v>
      </c>
      <c r="C21" s="83">
        <v>20.99</v>
      </c>
    </row>
    <row r="22" spans="1:12" x14ac:dyDescent="0.2">
      <c r="A22" s="84">
        <v>20</v>
      </c>
      <c r="B22" s="54">
        <v>14.13</v>
      </c>
      <c r="C22" s="83">
        <v>20.149999999999999</v>
      </c>
    </row>
    <row r="23" spans="1:12" x14ac:dyDescent="0.2">
      <c r="A23" s="84">
        <v>21</v>
      </c>
      <c r="B23" s="54">
        <v>13.33</v>
      </c>
      <c r="C23" s="83">
        <v>19.309999999999999</v>
      </c>
    </row>
    <row r="24" spans="1:12" x14ac:dyDescent="0.2">
      <c r="A24" s="84">
        <v>22</v>
      </c>
      <c r="B24" s="54">
        <v>12.6</v>
      </c>
      <c r="C24" s="83">
        <v>18.54</v>
      </c>
    </row>
    <row r="25" spans="1:12" ht="17" thickBot="1" x14ac:dyDescent="0.25">
      <c r="A25" s="25">
        <v>23</v>
      </c>
      <c r="B25" s="87">
        <v>11.9</v>
      </c>
      <c r="C25" s="60">
        <v>17.78</v>
      </c>
    </row>
    <row r="26" spans="1:12" ht="17" thickBot="1" x14ac:dyDescent="0.25"/>
    <row r="27" spans="1:12" x14ac:dyDescent="0.2">
      <c r="J27" s="29" t="s">
        <v>45</v>
      </c>
      <c r="K27" s="85">
        <f>B22/B12</f>
        <v>0.57067851373182554</v>
      </c>
      <c r="L27" s="86">
        <f>C22/C12</f>
        <v>0.66392092257001645</v>
      </c>
    </row>
    <row r="28" spans="1:12" ht="17" thickBot="1" x14ac:dyDescent="0.25">
      <c r="J28" s="18" t="s">
        <v>46</v>
      </c>
      <c r="K28" s="81">
        <f>1.2661*K27-0.0595</f>
        <v>0.66303606623586431</v>
      </c>
      <c r="L28" s="82">
        <f>1.2661*L27-0.0595</f>
        <v>0.78109028006589787</v>
      </c>
    </row>
    <row r="29" spans="1:12" x14ac:dyDescent="0.2">
      <c r="J29" s="88" t="s">
        <v>49</v>
      </c>
      <c r="K29" s="89">
        <v>0.56999999999999995</v>
      </c>
      <c r="L29" s="90">
        <v>0.66</v>
      </c>
    </row>
    <row r="30" spans="1:12" x14ac:dyDescent="0.2">
      <c r="J30" s="91" t="s">
        <v>50</v>
      </c>
      <c r="K30" s="92">
        <f>ABS(K29-K27)/K29*100</f>
        <v>0.11903749681150735</v>
      </c>
      <c r="L30" s="93">
        <f>ABS(L29-L27)/L29*100</f>
        <v>0.59407917727521453</v>
      </c>
    </row>
    <row r="31" spans="1:12" ht="17" thickBot="1" x14ac:dyDescent="0.25">
      <c r="J31" s="94" t="s">
        <v>51</v>
      </c>
      <c r="K31" s="95">
        <f>ABS(K28-'Mesures Clinac 2'!C19)/'Mesures Clinac 2'!C19*100</f>
        <v>0.14517074761080226</v>
      </c>
      <c r="L31" s="96">
        <f>ABS(L28-'Mesures Clinac 2'!D19)/'Mesures Clinac 2'!D19*100</f>
        <v>1.155954749012047E-2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E2F0-88BA-FD4D-8A89-D96824A635B1}">
  <dimension ref="A1:C26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s="108" t="s">
        <v>44</v>
      </c>
      <c r="B1" s="108" t="s">
        <v>47</v>
      </c>
      <c r="C1" s="108" t="s">
        <v>48</v>
      </c>
    </row>
    <row r="2" spans="1:3" x14ac:dyDescent="0.2">
      <c r="A2" s="108">
        <v>0</v>
      </c>
      <c r="B2" s="108">
        <v>15.86</v>
      </c>
      <c r="C2" s="108">
        <v>10.119999999999999</v>
      </c>
    </row>
    <row r="3" spans="1:3" x14ac:dyDescent="0.2">
      <c r="A3" s="108">
        <v>0.2</v>
      </c>
      <c r="B3" s="108">
        <v>17.3</v>
      </c>
      <c r="C3" s="108">
        <v>11.03</v>
      </c>
    </row>
    <row r="4" spans="1:3" x14ac:dyDescent="0.2">
      <c r="A4" s="108">
        <v>0.4</v>
      </c>
      <c r="B4" s="108">
        <v>20.75</v>
      </c>
      <c r="C4" s="108">
        <v>13.34</v>
      </c>
    </row>
    <row r="5" spans="1:3" x14ac:dyDescent="0.2">
      <c r="A5" s="108">
        <v>0.6</v>
      </c>
      <c r="B5" s="108">
        <v>31.7</v>
      </c>
      <c r="C5" s="108">
        <v>22.15</v>
      </c>
    </row>
    <row r="6" spans="1:3" x14ac:dyDescent="0.2">
      <c r="A6" s="108">
        <v>0.8</v>
      </c>
      <c r="B6" s="108">
        <v>34.65</v>
      </c>
      <c r="C6" s="108">
        <v>26.05</v>
      </c>
    </row>
    <row r="7" spans="1:3" x14ac:dyDescent="0.2">
      <c r="A7" s="108">
        <v>1</v>
      </c>
      <c r="B7" s="108">
        <v>36.229999999999997</v>
      </c>
      <c r="C7" s="108">
        <v>29.11</v>
      </c>
    </row>
    <row r="8" spans="1:3" x14ac:dyDescent="0.2">
      <c r="A8" s="108">
        <v>1.2</v>
      </c>
      <c r="B8" s="108">
        <v>36.93</v>
      </c>
      <c r="C8" s="108">
        <v>31.33</v>
      </c>
    </row>
    <row r="9" spans="1:3" x14ac:dyDescent="0.2">
      <c r="A9" s="108">
        <v>1.4</v>
      </c>
      <c r="B9" s="108">
        <v>37.229999999999997</v>
      </c>
      <c r="C9" s="108">
        <v>33.14</v>
      </c>
    </row>
    <row r="10" spans="1:3" x14ac:dyDescent="0.2">
      <c r="A10" s="108">
        <v>1.6</v>
      </c>
      <c r="B10" s="108">
        <v>37.229999999999997</v>
      </c>
      <c r="C10" s="108">
        <v>34.5</v>
      </c>
    </row>
    <row r="11" spans="1:3" x14ac:dyDescent="0.2">
      <c r="A11" s="108">
        <v>1.8</v>
      </c>
      <c r="B11" s="108">
        <v>37.08</v>
      </c>
      <c r="C11" s="108">
        <v>35.57</v>
      </c>
    </row>
    <row r="12" spans="1:3" x14ac:dyDescent="0.2">
      <c r="A12" s="108">
        <v>2</v>
      </c>
      <c r="B12" s="108">
        <v>36.909999999999997</v>
      </c>
      <c r="C12" s="108">
        <v>36.340000000000003</v>
      </c>
    </row>
    <row r="13" spans="1:3" x14ac:dyDescent="0.2">
      <c r="A13" s="108">
        <v>2.2000000000000002</v>
      </c>
      <c r="B13" s="108">
        <v>36.65</v>
      </c>
      <c r="C13" s="108">
        <v>36.979999999999997</v>
      </c>
    </row>
    <row r="14" spans="1:3" x14ac:dyDescent="0.2">
      <c r="A14" s="108">
        <v>2.4</v>
      </c>
      <c r="B14" s="108">
        <v>36.299999999999997</v>
      </c>
      <c r="C14" s="108">
        <v>37.4</v>
      </c>
    </row>
    <row r="15" spans="1:3" x14ac:dyDescent="0.2">
      <c r="A15" s="108">
        <v>2.6</v>
      </c>
      <c r="B15" s="108">
        <v>35.979999999999997</v>
      </c>
      <c r="C15" s="108">
        <v>37.770000000000003</v>
      </c>
    </row>
    <row r="16" spans="1:3" x14ac:dyDescent="0.2">
      <c r="A16" s="108">
        <v>2.8</v>
      </c>
      <c r="B16" s="108">
        <v>35.69</v>
      </c>
      <c r="C16" s="108">
        <v>37.93</v>
      </c>
    </row>
    <row r="17" spans="1:3" x14ac:dyDescent="0.2">
      <c r="A17" s="108">
        <v>3</v>
      </c>
      <c r="B17" s="108">
        <v>35.35</v>
      </c>
      <c r="C17" s="108">
        <v>38.090000000000003</v>
      </c>
    </row>
    <row r="18" spans="1:3" x14ac:dyDescent="0.2">
      <c r="A18" s="108">
        <v>3.5</v>
      </c>
      <c r="B18" s="108">
        <v>34.56</v>
      </c>
      <c r="C18" s="108">
        <v>38.06</v>
      </c>
    </row>
    <row r="19" spans="1:3" x14ac:dyDescent="0.2">
      <c r="A19" s="108">
        <v>4</v>
      </c>
      <c r="B19" s="108">
        <v>33.76</v>
      </c>
      <c r="C19" s="108">
        <v>37.81</v>
      </c>
    </row>
    <row r="20" spans="1:3" x14ac:dyDescent="0.2">
      <c r="A20" s="108">
        <v>6</v>
      </c>
      <c r="B20" s="108">
        <v>30.63</v>
      </c>
      <c r="C20" s="108">
        <v>35.49</v>
      </c>
    </row>
    <row r="21" spans="1:3" x14ac:dyDescent="0.2">
      <c r="A21" s="108">
        <v>9</v>
      </c>
      <c r="B21" s="108">
        <v>26.15</v>
      </c>
      <c r="C21" s="108">
        <v>31.62</v>
      </c>
    </row>
    <row r="22" spans="1:3" x14ac:dyDescent="0.2">
      <c r="A22" s="108">
        <v>12</v>
      </c>
      <c r="B22" s="108">
        <v>22.21</v>
      </c>
      <c r="C22" s="108">
        <v>27.97</v>
      </c>
    </row>
    <row r="23" spans="1:3" x14ac:dyDescent="0.2">
      <c r="A23" s="108">
        <v>15</v>
      </c>
      <c r="B23" s="108">
        <v>18.739999999999998</v>
      </c>
      <c r="C23" s="108">
        <v>24.75</v>
      </c>
    </row>
    <row r="24" spans="1:3" x14ac:dyDescent="0.2">
      <c r="A24" s="108">
        <v>18</v>
      </c>
      <c r="B24" s="108">
        <v>15.86</v>
      </c>
      <c r="C24" s="108">
        <v>21.86</v>
      </c>
    </row>
    <row r="25" spans="1:3" x14ac:dyDescent="0.2">
      <c r="A25" s="108">
        <v>21</v>
      </c>
      <c r="B25" s="108">
        <v>13.35</v>
      </c>
      <c r="C25" s="108">
        <v>19.34</v>
      </c>
    </row>
    <row r="26" spans="1:3" x14ac:dyDescent="0.2">
      <c r="A26" s="108">
        <v>23</v>
      </c>
      <c r="B26" s="108">
        <v>11.24</v>
      </c>
      <c r="C26" s="108">
        <v>17.07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Facteurs correctifs</vt:lpstr>
      <vt:lpstr>Mesures Clinac 2</vt:lpstr>
      <vt:lpstr>Déplacements</vt:lpstr>
      <vt:lpstr>RDT</vt:lpstr>
      <vt:lpstr>RDT 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2023-08-02T11:41:12Z</dcterms:created>
  <dcterms:modified xsi:type="dcterms:W3CDTF">2023-08-30T13:50:29Z</dcterms:modified>
</cp:coreProperties>
</file>