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60" windowWidth="21840" windowHeight="12240" activeTab="3"/>
  </bookViews>
  <sheets>
    <sheet name="Rendements en profondeur" sheetId="1" r:id="rId1"/>
    <sheet name="Profils" sheetId="2" r:id="rId2"/>
    <sheet name="TPR" sheetId="3" r:id="rId3"/>
    <sheet name="FOC" sheetId="4" r:id="rId4"/>
    <sheet name="Dose absolu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4" l="1"/>
  <c r="F24" i="4"/>
  <c r="F22" i="4"/>
  <c r="F20" i="4"/>
  <c r="F18" i="4"/>
  <c r="F16" i="4"/>
  <c r="F62" i="4"/>
  <c r="F60" i="4"/>
  <c r="F58" i="4"/>
  <c r="F56" i="4"/>
  <c r="F54" i="4"/>
  <c r="F52" i="4"/>
  <c r="F50" i="4"/>
  <c r="F40" i="4"/>
  <c r="F38" i="4"/>
  <c r="F36" i="4"/>
  <c r="F34" i="4"/>
  <c r="F32" i="4"/>
  <c r="F30" i="4"/>
  <c r="F28" i="4"/>
  <c r="E62" i="4"/>
  <c r="E60" i="4"/>
  <c r="E58" i="4"/>
  <c r="E56" i="4"/>
  <c r="E54" i="4"/>
  <c r="E52" i="4"/>
  <c r="E24" i="4"/>
  <c r="E22" i="4"/>
  <c r="E20" i="4"/>
  <c r="E18" i="4"/>
  <c r="E26" i="4"/>
  <c r="E16" i="4"/>
  <c r="O62" i="5" l="1"/>
  <c r="N62" i="5"/>
  <c r="N63" i="5" s="1"/>
  <c r="M62" i="5"/>
  <c r="L62" i="5"/>
  <c r="D86" i="5"/>
  <c r="G40" i="5" l="1"/>
  <c r="G41" i="5" s="1"/>
  <c r="G43" i="5"/>
  <c r="G44" i="5" s="1"/>
  <c r="G23" i="5"/>
  <c r="G25" i="5" s="1"/>
  <c r="I23" i="5" l="1"/>
  <c r="I26" i="5" s="1"/>
  <c r="G27" i="5"/>
  <c r="J23" i="5" l="1"/>
  <c r="J63" i="5"/>
  <c r="H63" i="5"/>
  <c r="I63" i="5"/>
  <c r="G63" i="5"/>
  <c r="N60" i="5" l="1"/>
  <c r="N59" i="5"/>
  <c r="N61" i="5"/>
  <c r="L60" i="5"/>
  <c r="L61" i="5"/>
  <c r="L59" i="5"/>
  <c r="O60" i="5"/>
  <c r="O59" i="5"/>
  <c r="O61" i="5"/>
  <c r="M60" i="5"/>
  <c r="M59" i="5"/>
  <c r="M61" i="5"/>
  <c r="G64" i="5"/>
  <c r="C43" i="5"/>
  <c r="D34" i="5" l="1"/>
  <c r="D78" i="5"/>
  <c r="F78" i="5"/>
  <c r="E76" i="5"/>
  <c r="E77" i="5"/>
  <c r="E75" i="5"/>
  <c r="C76" i="5"/>
  <c r="C77" i="5"/>
  <c r="C75" i="5"/>
  <c r="I64" i="5"/>
  <c r="F63" i="5"/>
  <c r="E63" i="5"/>
  <c r="D63" i="5"/>
  <c r="C63" i="5"/>
  <c r="L63" i="5" s="1"/>
  <c r="L75" i="5" l="1"/>
  <c r="L76" i="5"/>
  <c r="L77" i="5"/>
  <c r="E78" i="5"/>
  <c r="K76" i="5" s="1"/>
  <c r="J76" i="5"/>
  <c r="J77" i="5"/>
  <c r="J75" i="5"/>
  <c r="O26" i="5"/>
  <c r="O27" i="5"/>
  <c r="O28" i="5"/>
  <c r="O29" i="5"/>
  <c r="O24" i="5"/>
  <c r="O31" i="5"/>
  <c r="O25" i="5"/>
  <c r="O22" i="5"/>
  <c r="O23" i="5"/>
  <c r="O30" i="5"/>
  <c r="C64" i="5"/>
  <c r="E64" i="5"/>
  <c r="C78" i="5"/>
  <c r="C79" i="5" s="1"/>
  <c r="O32" i="5" l="1"/>
  <c r="J78" i="5"/>
  <c r="L78" i="5"/>
  <c r="I77" i="5"/>
  <c r="K75" i="5"/>
  <c r="K78" i="5" s="1"/>
  <c r="K79" i="5" s="1"/>
  <c r="E79" i="5"/>
  <c r="I75" i="5"/>
  <c r="I78" i="5" s="1"/>
  <c r="I76" i="5"/>
  <c r="K77" i="5"/>
  <c r="E50" i="4"/>
  <c r="E30" i="4"/>
  <c r="E32" i="4"/>
  <c r="E34" i="4"/>
  <c r="E36" i="4"/>
  <c r="E38" i="4"/>
  <c r="E40" i="4"/>
  <c r="E42" i="4"/>
  <c r="F42" i="4" s="1"/>
  <c r="E44" i="4"/>
  <c r="F44" i="4" s="1"/>
  <c r="E46" i="4"/>
  <c r="F46" i="4" s="1"/>
  <c r="E48" i="4"/>
  <c r="F48" i="4" s="1"/>
  <c r="E28" i="4"/>
  <c r="I79" i="5" l="1"/>
  <c r="G14" i="5"/>
  <c r="G16" i="5" s="1"/>
  <c r="C34" i="5"/>
  <c r="F17" i="3"/>
  <c r="E17" i="3"/>
  <c r="N24" i="5" l="1"/>
  <c r="N31" i="5"/>
  <c r="N26" i="5"/>
  <c r="N25" i="5"/>
  <c r="N28" i="5"/>
  <c r="N29" i="5"/>
  <c r="N22" i="5"/>
  <c r="N30" i="5"/>
  <c r="N23" i="5"/>
  <c r="N27" i="5"/>
  <c r="F14" i="5"/>
  <c r="F16" i="5" s="1"/>
  <c r="F69" i="4"/>
  <c r="F70" i="4"/>
  <c r="F71" i="4"/>
  <c r="F72" i="4"/>
  <c r="F73" i="4"/>
  <c r="F74" i="4"/>
  <c r="F75" i="4"/>
  <c r="F76" i="4"/>
  <c r="F77" i="4"/>
  <c r="F68" i="4"/>
  <c r="N32" i="5" l="1"/>
  <c r="G44" i="1"/>
  <c r="G43" i="1"/>
  <c r="H35" i="1" l="1"/>
  <c r="H37" i="1"/>
  <c r="H36" i="1"/>
  <c r="G29" i="1"/>
  <c r="G28" i="1"/>
  <c r="G27" i="1"/>
  <c r="G26" i="1"/>
  <c r="G20" i="1"/>
  <c r="G19" i="1"/>
  <c r="G18" i="1"/>
  <c r="G17" i="1"/>
</calcChain>
</file>

<file path=xl/comments1.xml><?xml version="1.0" encoding="utf-8"?>
<comments xmlns="http://schemas.openxmlformats.org/spreadsheetml/2006/main">
  <authors>
    <author>Gontier Charlotte</author>
  </authors>
  <commentList>
    <comment ref="B16" authorId="0" shapeId="0">
      <text>
        <r>
          <rPr>
            <b/>
            <sz val="9"/>
            <color indexed="81"/>
            <rFont val="Tahoma"/>
            <charset val="1"/>
          </rPr>
          <t>Gontier Charlotte:</t>
        </r>
        <r>
          <rPr>
            <sz val="9"/>
            <color indexed="81"/>
            <rFont val="Tahoma"/>
            <charset val="1"/>
          </rPr>
          <t xml:space="preserve">
En fonction de l'énergie ?</t>
        </r>
      </text>
    </comment>
  </commentList>
</comments>
</file>

<file path=xl/sharedStrings.xml><?xml version="1.0" encoding="utf-8"?>
<sst xmlns="http://schemas.openxmlformats.org/spreadsheetml/2006/main" count="349" uniqueCount="173">
  <si>
    <t>Rendements en profondeur</t>
  </si>
  <si>
    <t xml:space="preserve">Chambre </t>
  </si>
  <si>
    <t>CC13</t>
  </si>
  <si>
    <t>DSP (cm)</t>
  </si>
  <si>
    <t xml:space="preserve">Bras et Collimateur </t>
  </si>
  <si>
    <t>0°</t>
  </si>
  <si>
    <t>10x10</t>
  </si>
  <si>
    <t>Debit (UM/min)</t>
  </si>
  <si>
    <t>Paramètres d'acquisition de référence</t>
  </si>
  <si>
    <t>Vitesse de déplacement (cm/s)</t>
  </si>
  <si>
    <t>Energie</t>
  </si>
  <si>
    <t>R100 (cm)</t>
  </si>
  <si>
    <t>R50 (cm)</t>
  </si>
  <si>
    <t>D10</t>
  </si>
  <si>
    <t>D20</t>
  </si>
  <si>
    <t>Indice de Qualité : D20/D10</t>
  </si>
  <si>
    <t>X6</t>
  </si>
  <si>
    <t>X6 TB</t>
  </si>
  <si>
    <t>6FFF</t>
  </si>
  <si>
    <t>X23</t>
  </si>
  <si>
    <t>Taille de champ</t>
  </si>
  <si>
    <t>5x5</t>
  </si>
  <si>
    <t>15x15</t>
  </si>
  <si>
    <t>20x20</t>
  </si>
  <si>
    <t>Conditions de mesure : Clinac 2, X6, DSP = 100 cm</t>
  </si>
  <si>
    <t>DSP</t>
  </si>
  <si>
    <t>Taille de champ (cm)</t>
  </si>
  <si>
    <t>Référence</t>
  </si>
  <si>
    <t>Détecteur</t>
  </si>
  <si>
    <t>Farmer</t>
  </si>
  <si>
    <t>Profondeur de mesure</t>
  </si>
  <si>
    <t>Position de la chambre de référence</t>
  </si>
  <si>
    <t>Position de la chambre de réf</t>
  </si>
  <si>
    <t>Centrée dans le champ</t>
  </si>
  <si>
    <t>Coin du champ</t>
  </si>
  <si>
    <t>Hors du champ</t>
  </si>
  <si>
    <t>Vitesse de déplacement de la chambre</t>
  </si>
  <si>
    <t>Profil</t>
  </si>
  <si>
    <t>Vitesse de déplacement de la chambre (cm/s)</t>
  </si>
  <si>
    <t>Taille de Champ (cmxcm)</t>
  </si>
  <si>
    <t>Energie (MV)</t>
  </si>
  <si>
    <t>Taille de champ (cmxcm)</t>
  </si>
  <si>
    <t>Profondeur (cm)</t>
  </si>
  <si>
    <t>Symétrie (%)</t>
  </si>
  <si>
    <t>Homogénéité (%)</t>
  </si>
  <si>
    <t>Pénombre (cm)</t>
  </si>
  <si>
    <t>Charge mesurée (nC)</t>
  </si>
  <si>
    <t>FOC</t>
  </si>
  <si>
    <t>Côté du champ carré (cm)</t>
  </si>
  <si>
    <t>Charge (nC)</t>
  </si>
  <si>
    <t>D10 mesuré</t>
  </si>
  <si>
    <t>D20 mesuré</t>
  </si>
  <si>
    <t>DSA (cm)</t>
  </si>
  <si>
    <t>Orientation du profil</t>
  </si>
  <si>
    <t>Orientation</t>
  </si>
  <si>
    <t>Inline</t>
  </si>
  <si>
    <t>Crossline</t>
  </si>
  <si>
    <t xml:space="preserve">Energie </t>
  </si>
  <si>
    <t>Rapport tissu fantôme (TPR)</t>
  </si>
  <si>
    <t>Indice de qualité mesuré : D20/D10</t>
  </si>
  <si>
    <t>Indice de qualité calculé (TRS 398)</t>
  </si>
  <si>
    <t>Energie et taille de champ</t>
  </si>
  <si>
    <t>Dose absolue</t>
  </si>
  <si>
    <t>Instrument de mesure</t>
  </si>
  <si>
    <t>Etanche ?</t>
  </si>
  <si>
    <t>Oui</t>
  </si>
  <si>
    <t>Electromètre</t>
  </si>
  <si>
    <t>PTW UNIDOS</t>
  </si>
  <si>
    <t xml:space="preserve">Conditions expérimentales </t>
  </si>
  <si>
    <t xml:space="preserve">Dimension du Champ </t>
  </si>
  <si>
    <t xml:space="preserve">Nombre d'UM </t>
  </si>
  <si>
    <t>Débit (UM/mn)</t>
  </si>
  <si>
    <t>MLC</t>
  </si>
  <si>
    <t>Rétracté</t>
  </si>
  <si>
    <t>Profondeur de référence (cm)</t>
  </si>
  <si>
    <t>Valeurs Etalonnage</t>
  </si>
  <si>
    <t>Tension (V)</t>
  </si>
  <si>
    <t>1) Mesures</t>
  </si>
  <si>
    <t>Incertitude A (Aléatoire)</t>
  </si>
  <si>
    <t>Incertitude B (Systématique)</t>
  </si>
  <si>
    <t>Incertitude Combinée</t>
  </si>
  <si>
    <t xml:space="preserve">Ecart Type </t>
  </si>
  <si>
    <t xml:space="preserve">Incertitude </t>
  </si>
  <si>
    <t>Incertitude</t>
  </si>
  <si>
    <t xml:space="preserve">Incertitude élargie </t>
  </si>
  <si>
    <t>Incertitude élargie</t>
  </si>
  <si>
    <t>Tolérance</t>
  </si>
  <si>
    <t>Incertitude élargie (%)</t>
  </si>
  <si>
    <t>2) Facteurs de correction</t>
  </si>
  <si>
    <t>i) Température et pression</t>
  </si>
  <si>
    <t>Température</t>
  </si>
  <si>
    <t>Pression</t>
  </si>
  <si>
    <t>kT,P</t>
  </si>
  <si>
    <t>Température (°C)</t>
  </si>
  <si>
    <t>Pression (hPa)</t>
  </si>
  <si>
    <t>kpol</t>
  </si>
  <si>
    <t>*</t>
  </si>
  <si>
    <t>**</t>
  </si>
  <si>
    <t>***</t>
  </si>
  <si>
    <t>****</t>
  </si>
  <si>
    <t>i)</t>
  </si>
  <si>
    <t>ii)</t>
  </si>
  <si>
    <t>iii)</t>
  </si>
  <si>
    <t>* ii) 1)</t>
  </si>
  <si>
    <t>* ii) 2)</t>
  </si>
  <si>
    <t>* ii) 3)</t>
  </si>
  <si>
    <t>* ii) 4)</t>
  </si>
  <si>
    <t>1) X6, DSP 100, 10x10 CC13</t>
  </si>
  <si>
    <t>2) X23, DSP 100, 10x10 CC13</t>
  </si>
  <si>
    <t>3) X6, DSP 100 5x5 CC13</t>
  </si>
  <si>
    <t>4) X6, DSP 100 15x15 CC13</t>
  </si>
  <si>
    <t>5) X6, DSP 100 20x20 CC13</t>
  </si>
  <si>
    <t>6) X6, DSP 90, 10x10 CC13</t>
  </si>
  <si>
    <t>7) X6, DSP 110, 10x10 CC13</t>
  </si>
  <si>
    <t>8) X6, DSP 100, 10x10, Farmer</t>
  </si>
  <si>
    <t>3) X6, DSP 100, 10x10, CC13, 1cm/s</t>
  </si>
  <si>
    <t>4) X6, DSP 100, 10x10, CC13, crossline</t>
  </si>
  <si>
    <t>5) X23, DSP 100, 10x10, CC13, crossline</t>
  </si>
  <si>
    <t>6) X6, DSP 100, 10x10, CC13, prof = 5 cm</t>
  </si>
  <si>
    <t>7) X6, DSP 100, 10x10, CC13, prof = 20 cm</t>
  </si>
  <si>
    <t>8) X6, DSP 100, 10x10x CC13, ref centrée</t>
  </si>
  <si>
    <t>9) X6, DSP 100, 10x10x CC13, ref hors de champ</t>
  </si>
  <si>
    <t>10) X6, DSP 100, 5x5, CC13</t>
  </si>
  <si>
    <t>11) X6, DSP 100, 15x15, CC13</t>
  </si>
  <si>
    <t>12) X6, DSP 100, 20x20 CC13</t>
  </si>
  <si>
    <t>13) X6, DSP 90 10x10 CC13</t>
  </si>
  <si>
    <t>15) X6, DSP 100, 10x10, Farmer</t>
  </si>
  <si>
    <t>14) X6, DSP 110 10x10 CC13</t>
  </si>
  <si>
    <t>Attention à changer la CI sur MyQA</t>
  </si>
  <si>
    <t>Energie nominale (MV)</t>
  </si>
  <si>
    <t xml:space="preserve">400, 1400 (X6 FFF)   </t>
  </si>
  <si>
    <t>400/1400</t>
  </si>
  <si>
    <t>Moyenne de la charge mesurée (nC)</t>
  </si>
  <si>
    <t>11x11</t>
  </si>
  <si>
    <t>9x9</t>
  </si>
  <si>
    <t>Qualité Fx</t>
  </si>
  <si>
    <t>Date</t>
  </si>
  <si>
    <t>N° serie CI PTW 30013</t>
  </si>
  <si>
    <t>400V</t>
  </si>
  <si>
    <t>100V</t>
  </si>
  <si>
    <t>Mesure1 (nC)</t>
  </si>
  <si>
    <t>Mesure 2 (nC)</t>
  </si>
  <si>
    <t>Mesure 3 (nC)</t>
  </si>
  <si>
    <t>Moyenne mesures (nC)</t>
  </si>
  <si>
    <r>
      <t>Coefs (a</t>
    </r>
    <r>
      <rPr>
        <b/>
        <sz val="8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,a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,a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pour V1/V2=4 (TRS 398)</t>
    </r>
  </si>
  <si>
    <t>REFERENCE (23/03/2021)</t>
  </si>
  <si>
    <t>krec REFERENCE</t>
  </si>
  <si>
    <t>ii) Recombinaison</t>
  </si>
  <si>
    <t>iii) Polarité</t>
  </si>
  <si>
    <t>10/08/2022</t>
  </si>
  <si>
    <t>Mesure2 (nC)</t>
  </si>
  <si>
    <t>La tension utilisée au centre est + 400V.</t>
  </si>
  <si>
    <t>PTW 30013 - SN 11924</t>
  </si>
  <si>
    <t>Mesures non corrigée (nC)</t>
  </si>
  <si>
    <t>Moyenne (nC)</t>
  </si>
  <si>
    <t>Machine</t>
  </si>
  <si>
    <t>Clinac 2</t>
  </si>
  <si>
    <t>Dose mesurée (Gy)</t>
  </si>
  <si>
    <t>Mesure</t>
  </si>
  <si>
    <t>Ecart (%)</t>
  </si>
  <si>
    <t>NDeau (Gy/nC)</t>
  </si>
  <si>
    <t>kQ,Q0</t>
  </si>
  <si>
    <t>Q</t>
  </si>
  <si>
    <t>kQ,Q0 calculé</t>
  </si>
  <si>
    <t>CQ mensuel 0622</t>
  </si>
  <si>
    <t>Ecarts à la moyenne</t>
  </si>
  <si>
    <t>Incertitude relative par jeu de mesure (Type A)</t>
  </si>
  <si>
    <t>Inceritude relative par énergie</t>
  </si>
  <si>
    <t>Incertitudes additionnelles</t>
  </si>
  <si>
    <t>Profondeur</t>
  </si>
  <si>
    <t>+/-0,1 mm sur cuve</t>
  </si>
  <si>
    <t>Incertitude sur k_rec</t>
  </si>
  <si>
    <t>Dose moyenne (Gy)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</si>
</sst>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E+00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 style="dotted">
        <color indexed="64"/>
      </right>
      <top style="double">
        <color auto="1"/>
      </top>
      <bottom/>
      <diagonal/>
    </border>
    <border>
      <left style="double">
        <color auto="1"/>
      </left>
      <right style="dotted">
        <color indexed="64"/>
      </right>
      <top/>
      <bottom/>
      <diagonal/>
    </border>
    <border>
      <left style="dotted">
        <color indexed="64"/>
      </left>
      <right/>
      <top style="double">
        <color auto="1"/>
      </top>
      <bottom style="dotted">
        <color indexed="64"/>
      </bottom>
      <diagonal/>
    </border>
    <border>
      <left/>
      <right style="double">
        <color auto="1"/>
      </right>
      <top style="double">
        <color auto="1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9" fontId="15" fillId="0" borderId="0" applyFont="0" applyFill="0" applyBorder="0" applyAlignment="0" applyProtection="0"/>
  </cellStyleXfs>
  <cellXfs count="2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4" fillId="0" borderId="38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0" fillId="0" borderId="0" xfId="0" applyFill="1" applyBorder="1"/>
    <xf numFmtId="0" fontId="10" fillId="11" borderId="47" xfId="0" applyFont="1" applyFill="1" applyBorder="1" applyAlignment="1" applyProtection="1">
      <alignment horizontal="center" vertical="center" wrapText="1"/>
    </xf>
    <xf numFmtId="0" fontId="10" fillId="11" borderId="48" xfId="0" applyFont="1" applyFill="1" applyBorder="1" applyAlignment="1" applyProtection="1">
      <alignment horizontal="center" vertical="center" wrapText="1"/>
    </xf>
    <xf numFmtId="2" fontId="12" fillId="4" borderId="45" xfId="0" applyNumberFormat="1" applyFont="1" applyFill="1" applyBorder="1" applyAlignment="1" applyProtection="1">
      <alignment horizontal="center" vertical="center"/>
    </xf>
    <xf numFmtId="2" fontId="12" fillId="4" borderId="46" xfId="0" applyNumberFormat="1" applyFont="1" applyFill="1" applyBorder="1" applyAlignment="1" applyProtection="1">
      <alignment horizontal="center" vertical="center"/>
    </xf>
    <xf numFmtId="0" fontId="10" fillId="0" borderId="44" xfId="1" applyFont="1" applyFill="1" applyBorder="1" applyAlignment="1" applyProtection="1">
      <alignment horizontal="center"/>
      <protection locked="0"/>
    </xf>
    <xf numFmtId="0" fontId="10" fillId="0" borderId="29" xfId="1" applyFont="1" applyFill="1" applyBorder="1" applyAlignment="1" applyProtection="1">
      <alignment horizontal="center"/>
      <protection locked="0"/>
    </xf>
    <xf numFmtId="0" fontId="10" fillId="0" borderId="37" xfId="2" applyFont="1" applyFill="1" applyBorder="1" applyAlignment="1" applyProtection="1">
      <alignment horizontal="center" vertical="center"/>
      <protection locked="0"/>
    </xf>
    <xf numFmtId="2" fontId="11" fillId="3" borderId="49" xfId="0" applyNumberFormat="1" applyFont="1" applyFill="1" applyBorder="1" applyAlignment="1" applyProtection="1">
      <alignment horizontal="center" vertical="center"/>
      <protection locked="0"/>
    </xf>
    <xf numFmtId="2" fontId="11" fillId="3" borderId="50" xfId="0" applyNumberFormat="1" applyFont="1" applyFill="1" applyBorder="1" applyAlignment="1" applyProtection="1">
      <alignment horizontal="center" vertical="center"/>
      <protection locked="0"/>
    </xf>
    <xf numFmtId="0" fontId="11" fillId="3" borderId="35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" fillId="10" borderId="40" xfId="1" applyFont="1" applyFill="1" applyBorder="1" applyAlignment="1" applyProtection="1">
      <alignment horizontal="center"/>
      <protection locked="0"/>
    </xf>
    <xf numFmtId="0" fontId="1" fillId="10" borderId="42" xfId="1" applyFont="1" applyFill="1" applyBorder="1" applyAlignment="1" applyProtection="1">
      <alignment horizontal="center"/>
      <protection locked="0"/>
    </xf>
    <xf numFmtId="0" fontId="1" fillId="10" borderId="41" xfId="1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5" fontId="0" fillId="0" borderId="55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165" fontId="0" fillId="0" borderId="61" xfId="0" applyNumberForma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" fontId="0" fillId="0" borderId="63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166" fontId="0" fillId="0" borderId="1" xfId="3" applyNumberFormat="1" applyFont="1" applyBorder="1" applyAlignment="1">
      <alignment horizontal="center" vertical="center" wrapText="1"/>
    </xf>
    <xf numFmtId="166" fontId="0" fillId="0" borderId="68" xfId="3" applyNumberFormat="1" applyFont="1" applyBorder="1" applyAlignment="1">
      <alignment horizontal="center" vertical="center" wrapText="1"/>
    </xf>
    <xf numFmtId="166" fontId="0" fillId="0" borderId="25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3" applyNumberFormat="1" applyFont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 wrapText="1"/>
    </xf>
    <xf numFmtId="2" fontId="0" fillId="0" borderId="61" xfId="0" applyNumberFormat="1" applyBorder="1" applyAlignment="1">
      <alignment horizontal="center" vertical="center" wrapText="1"/>
    </xf>
    <xf numFmtId="2" fontId="0" fillId="0" borderId="69" xfId="0" applyNumberFormat="1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6" fontId="0" fillId="0" borderId="62" xfId="3" applyNumberFormat="1" applyFont="1" applyBorder="1" applyAlignment="1">
      <alignment horizontal="center" vertical="center" wrapText="1"/>
    </xf>
    <xf numFmtId="166" fontId="0" fillId="0" borderId="71" xfId="3" applyNumberFormat="1" applyFont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2" fontId="0" fillId="0" borderId="73" xfId="0" applyNumberFormat="1" applyFill="1" applyBorder="1" applyAlignment="1">
      <alignment horizontal="center" vertical="center" wrapText="1"/>
    </xf>
    <xf numFmtId="164" fontId="0" fillId="0" borderId="73" xfId="0" applyNumberFormat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166" fontId="0" fillId="0" borderId="16" xfId="3" applyNumberFormat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166" fontId="0" fillId="12" borderId="0" xfId="3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1" fillId="0" borderId="10" xfId="0" quotePrefix="1" applyFont="1" applyFill="1" applyBorder="1" applyAlignment="1">
      <alignment horizontal="center" vertical="center" wrapText="1"/>
    </xf>
    <xf numFmtId="0" fontId="1" fillId="0" borderId="12" xfId="0" quotePrefix="1" applyFont="1" applyFill="1" applyBorder="1" applyAlignment="1">
      <alignment horizontal="center" vertical="center" wrapText="1"/>
    </xf>
    <xf numFmtId="0" fontId="1" fillId="5" borderId="10" xfId="0" quotePrefix="1" applyFont="1" applyFill="1" applyBorder="1" applyAlignment="1">
      <alignment horizontal="center" vertical="center" wrapText="1"/>
    </xf>
    <xf numFmtId="0" fontId="1" fillId="5" borderId="12" xfId="0" quotePrefix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12" borderId="0" xfId="0" applyFill="1" applyBorder="1" applyAlignment="1">
      <alignment horizontal="center" vertical="center" wrapText="1"/>
    </xf>
    <xf numFmtId="166" fontId="0" fillId="12" borderId="0" xfId="3" applyNumberFormat="1" applyFont="1" applyFill="1" applyAlignment="1">
      <alignment horizontal="center" vertical="center" wrapText="1"/>
    </xf>
    <xf numFmtId="166" fontId="0" fillId="0" borderId="0" xfId="3" applyNumberFormat="1" applyFont="1" applyFill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166" fontId="0" fillId="0" borderId="75" xfId="0" applyNumberFormat="1" applyBorder="1" applyAlignment="1">
      <alignment horizontal="center" vertical="center" wrapText="1"/>
    </xf>
    <xf numFmtId="166" fontId="0" fillId="0" borderId="74" xfId="0" applyNumberFormat="1" applyBorder="1" applyAlignment="1">
      <alignment horizontal="center" vertical="center" wrapText="1"/>
    </xf>
    <xf numFmtId="166" fontId="0" fillId="0" borderId="77" xfId="0" applyNumberForma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5" fillId="11" borderId="38" xfId="1" applyFont="1" applyFill="1" applyBorder="1" applyAlignment="1" applyProtection="1">
      <alignment horizontal="center"/>
      <protection locked="0"/>
    </xf>
    <xf numFmtId="0" fontId="5" fillId="11" borderId="53" xfId="1" applyFont="1" applyFill="1" applyBorder="1" applyAlignment="1" applyProtection="1">
      <alignment horizontal="center"/>
      <protection locked="0"/>
    </xf>
    <xf numFmtId="0" fontId="5" fillId="11" borderId="39" xfId="1" applyFont="1" applyFill="1" applyBorder="1" applyAlignment="1" applyProtection="1">
      <alignment horizontal="center"/>
      <protection locked="0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5" fillId="11" borderId="40" xfId="1" applyFont="1" applyFill="1" applyBorder="1" applyAlignment="1" applyProtection="1">
      <alignment horizontal="center"/>
      <protection locked="0"/>
    </xf>
    <xf numFmtId="0" fontId="5" fillId="11" borderId="42" xfId="1" applyFont="1" applyFill="1" applyBorder="1" applyAlignment="1" applyProtection="1">
      <alignment horizontal="center"/>
      <protection locked="0"/>
    </xf>
    <xf numFmtId="0" fontId="5" fillId="11" borderId="41" xfId="1" applyFont="1" applyFill="1" applyBorder="1" applyAlignment="1" applyProtection="1">
      <alignment horizontal="center"/>
      <protection locked="0"/>
    </xf>
    <xf numFmtId="164" fontId="10" fillId="0" borderId="30" xfId="0" applyNumberFormat="1" applyFont="1" applyFill="1" applyBorder="1" applyAlignment="1" applyProtection="1">
      <alignment horizontal="center" vertical="center"/>
    </xf>
    <xf numFmtId="164" fontId="10" fillId="0" borderId="31" xfId="0" applyNumberFormat="1" applyFont="1" applyFill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0" fillId="11" borderId="40" xfId="0" applyFill="1" applyBorder="1" applyAlignment="1" applyProtection="1">
      <alignment horizontal="center"/>
      <protection locked="0"/>
    </xf>
    <xf numFmtId="0" fontId="0" fillId="11" borderId="41" xfId="0" applyFill="1" applyBorder="1" applyAlignment="1" applyProtection="1">
      <alignment horizontal="center"/>
      <protection locked="0"/>
    </xf>
    <xf numFmtId="0" fontId="0" fillId="11" borderId="32" xfId="0" applyFill="1" applyBorder="1" applyAlignment="1" applyProtection="1">
      <alignment horizontal="center"/>
      <protection locked="0"/>
    </xf>
    <xf numFmtId="0" fontId="0" fillId="11" borderId="33" xfId="0" applyFill="1" applyBorder="1" applyAlignment="1" applyProtection="1">
      <alignment horizontal="center"/>
      <protection locked="0"/>
    </xf>
    <xf numFmtId="0" fontId="1" fillId="0" borderId="5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5" fillId="7" borderId="32" xfId="1" quotePrefix="1" applyFont="1" applyFill="1" applyBorder="1" applyAlignment="1" applyProtection="1">
      <alignment horizontal="center"/>
      <protection locked="0"/>
    </xf>
    <xf numFmtId="0" fontId="5" fillId="7" borderId="34" xfId="1" applyFont="1" applyFill="1" applyBorder="1" applyAlignment="1" applyProtection="1">
      <alignment horizontal="center"/>
      <protection locked="0"/>
    </xf>
    <xf numFmtId="0" fontId="5" fillId="7" borderId="33" xfId="1" applyFont="1" applyFill="1" applyBorder="1" applyAlignment="1" applyProtection="1">
      <alignment horizontal="center"/>
      <protection locked="0"/>
    </xf>
    <xf numFmtId="0" fontId="5" fillId="7" borderId="45" xfId="1" applyFont="1" applyFill="1" applyBorder="1" applyAlignment="1" applyProtection="1">
      <alignment horizontal="center"/>
      <protection locked="0"/>
    </xf>
    <xf numFmtId="0" fontId="5" fillId="7" borderId="10" xfId="1" applyFont="1" applyFill="1" applyBorder="1" applyAlignment="1" applyProtection="1">
      <alignment horizontal="center"/>
      <protection locked="0"/>
    </xf>
    <xf numFmtId="0" fontId="5" fillId="7" borderId="46" xfId="1" applyFont="1" applyFill="1" applyBorder="1" applyAlignment="1" applyProtection="1">
      <alignment horizontal="center"/>
      <protection locked="0"/>
    </xf>
  </cellXfs>
  <cellStyles count="4">
    <cellStyle name="Neutre" xfId="2" builtinId="28"/>
    <cellStyle name="Normal" xfId="0" builtinId="0"/>
    <cellStyle name="Pourcentage" xfId="3" builtinId="5"/>
    <cellStyle name="Satisfaisant" xfId="1" builtinId="26"/>
  </cellStyles>
  <dxfs count="0"/>
  <tableStyles count="0" defaultTableStyle="TableStyleMedium2" defaultPivotStyle="PivotStyleLight16"/>
  <colors>
    <mruColors>
      <color rgb="FF009999"/>
      <color rgb="FFFF0066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X6 TB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FOC!$C$16:$C$27</c:f>
              <c:numCache>
                <c:formatCode>General</c:formatCode>
                <c:ptCount val="12"/>
                <c:pt idx="0">
                  <c:v>3</c:v>
                </c:pt>
                <c:pt idx="2">
                  <c:v>6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FOC!$F$28:$F$39</c:f>
              <c:numCache>
                <c:formatCode>General</c:formatCode>
                <c:ptCount val="12"/>
                <c:pt idx="0">
                  <c:v>0.82998845857912273</c:v>
                </c:pt>
                <c:pt idx="2">
                  <c:v>0.91860092331367027</c:v>
                </c:pt>
                <c:pt idx="4">
                  <c:v>1</c:v>
                </c:pt>
                <c:pt idx="6">
                  <c:v>1.0671967171069505</c:v>
                </c:pt>
                <c:pt idx="8">
                  <c:v>1.1169530648884329</c:v>
                </c:pt>
                <c:pt idx="10">
                  <c:v>1.19376763272634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1D-4EEC-B9CB-5E27BD458E18}"/>
            </c:ext>
          </c:extLst>
        </c:ser>
        <c:ser>
          <c:idx val="1"/>
          <c:order val="1"/>
          <c:tx>
            <c:v>X6 FFF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FOC!$C$16:$C$27</c:f>
              <c:numCache>
                <c:formatCode>General</c:formatCode>
                <c:ptCount val="12"/>
                <c:pt idx="0">
                  <c:v>3</c:v>
                </c:pt>
                <c:pt idx="2">
                  <c:v>6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FOC!$F$40:$F$51</c:f>
              <c:numCache>
                <c:formatCode>General</c:formatCode>
                <c:ptCount val="12"/>
                <c:pt idx="0">
                  <c:v>0.84311942058278588</c:v>
                </c:pt>
                <c:pt idx="2">
                  <c:v>0.92790971871315497</c:v>
                </c:pt>
                <c:pt idx="4">
                  <c:v>1</c:v>
                </c:pt>
                <c:pt idx="6">
                  <c:v>1.0554151928583462</c:v>
                </c:pt>
                <c:pt idx="8">
                  <c:v>1.092942563584302</c:v>
                </c:pt>
                <c:pt idx="10">
                  <c:v>1.1424625231598451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1D-4EEC-B9CB-5E27BD458E18}"/>
            </c:ext>
          </c:extLst>
        </c:ser>
        <c:ser>
          <c:idx val="2"/>
          <c:order val="2"/>
          <c:tx>
            <c:v>X6 Clinac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FOC!$C$16:$C$27</c:f>
              <c:numCache>
                <c:formatCode>General</c:formatCode>
                <c:ptCount val="12"/>
                <c:pt idx="0">
                  <c:v>3</c:v>
                </c:pt>
                <c:pt idx="2">
                  <c:v>6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FOC!$F$16:$F$27</c:f>
              <c:numCache>
                <c:formatCode>General</c:formatCode>
                <c:ptCount val="12"/>
                <c:pt idx="0">
                  <c:v>0.82133178474641877</c:v>
                </c:pt>
                <c:pt idx="2">
                  <c:v>0.91498903084268934</c:v>
                </c:pt>
                <c:pt idx="4">
                  <c:v>1</c:v>
                </c:pt>
                <c:pt idx="6">
                  <c:v>1.0691379532842948</c:v>
                </c:pt>
                <c:pt idx="8">
                  <c:v>1.1175635565879467</c:v>
                </c:pt>
                <c:pt idx="10">
                  <c:v>1.1948638534004385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2-413F-AF14-34240DD6FBB1}"/>
            </c:ext>
          </c:extLst>
        </c:ser>
        <c:ser>
          <c:idx val="3"/>
          <c:order val="3"/>
          <c:tx>
            <c:v>X23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FOC!$C$52:$C$63</c:f>
              <c:numCache>
                <c:formatCode>General</c:formatCode>
                <c:ptCount val="12"/>
                <c:pt idx="0">
                  <c:v>3</c:v>
                </c:pt>
                <c:pt idx="2">
                  <c:v>6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FOC!$F$52:$F$63</c:f>
              <c:numCache>
                <c:formatCode>General</c:formatCode>
                <c:ptCount val="12"/>
                <c:pt idx="0">
                  <c:v>0.83782647537968369</c:v>
                </c:pt>
                <c:pt idx="2">
                  <c:v>0.94195701298018819</c:v>
                </c:pt>
                <c:pt idx="4">
                  <c:v>1</c:v>
                </c:pt>
                <c:pt idx="6">
                  <c:v>1.0395449051447789</c:v>
                </c:pt>
                <c:pt idx="8">
                  <c:v>1.0666351358452888</c:v>
                </c:pt>
                <c:pt idx="10">
                  <c:v>1.1106206316674549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2-413F-AF14-34240DD6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3312"/>
        <c:axId val="87291392"/>
      </c:scatterChart>
      <c:valAx>
        <c:axId val="8729331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Taille de champ (cm x 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1392"/>
        <c:crosses val="autoZero"/>
        <c:crossBetween val="midCat"/>
      </c:valAx>
      <c:valAx>
        <c:axId val="8729139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FOC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17</xdr:row>
      <xdr:rowOff>28575</xdr:rowOff>
    </xdr:from>
    <xdr:to>
      <xdr:col>16</xdr:col>
      <xdr:colOff>152400</xdr:colOff>
      <xdr:row>31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22</xdr:row>
      <xdr:rowOff>76200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620625" y="445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5</xdr:col>
      <xdr:colOff>0</xdr:colOff>
      <xdr:row>39</xdr:row>
      <xdr:rowOff>76200</xdr:rowOff>
    </xdr:from>
    <xdr:ext cx="65" cy="172227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7372350" y="494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1</xdr:col>
      <xdr:colOff>161925</xdr:colOff>
      <xdr:row>47</xdr:row>
      <xdr:rowOff>95250</xdr:rowOff>
    </xdr:from>
    <xdr:to>
      <xdr:col>2</xdr:col>
      <xdr:colOff>542699</xdr:colOff>
      <xdr:row>50</xdr:row>
      <xdr:rowOff>85655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9896475"/>
          <a:ext cx="1809524" cy="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67</xdr:row>
      <xdr:rowOff>161925</xdr:rowOff>
    </xdr:from>
    <xdr:to>
      <xdr:col>1</xdr:col>
      <xdr:colOff>1076195</xdr:colOff>
      <xdr:row>68</xdr:row>
      <xdr:rowOff>457139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14030325"/>
          <a:ext cx="1038095" cy="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30</xdr:row>
      <xdr:rowOff>76200</xdr:rowOff>
    </xdr:from>
    <xdr:to>
      <xdr:col>16</xdr:col>
      <xdr:colOff>580863</xdr:colOff>
      <xdr:row>32</xdr:row>
      <xdr:rowOff>104723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58775" y="7239000"/>
          <a:ext cx="1295238" cy="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showGridLines="0" workbookViewId="0">
      <selection activeCell="I14" sqref="I14:K14"/>
    </sheetView>
  </sheetViews>
  <sheetFormatPr baseColWidth="10" defaultRowHeight="15" x14ac:dyDescent="0.25"/>
  <cols>
    <col min="1" max="1" width="11.42578125" style="3"/>
    <col min="2" max="2" width="19.42578125" style="3" bestFit="1" customWidth="1"/>
    <col min="3" max="3" width="22.140625" style="3" customWidth="1"/>
    <col min="4" max="6" width="11.42578125" style="3"/>
    <col min="7" max="7" width="20.140625" style="3" customWidth="1"/>
    <col min="8" max="8" width="19.7109375" style="3" customWidth="1"/>
    <col min="9" max="16384" width="11.42578125" style="3"/>
  </cols>
  <sheetData>
    <row r="2" spans="2:17" x14ac:dyDescent="0.25">
      <c r="C2" s="146" t="s">
        <v>0</v>
      </c>
      <c r="D2" s="146"/>
      <c r="E2" s="146"/>
      <c r="F2" s="146"/>
      <c r="G2" s="146"/>
      <c r="I2" s="145" t="s">
        <v>107</v>
      </c>
      <c r="J2" s="145"/>
      <c r="K2" s="145"/>
    </row>
    <row r="3" spans="2:17" ht="15.75" customHeight="1" thickBot="1" x14ac:dyDescent="0.3">
      <c r="I3" s="145" t="s">
        <v>108</v>
      </c>
      <c r="J3" s="145"/>
      <c r="K3" s="145"/>
    </row>
    <row r="4" spans="2:17" ht="15.75" thickTop="1" x14ac:dyDescent="0.25">
      <c r="B4" s="147" t="s">
        <v>8</v>
      </c>
      <c r="C4" s="148"/>
      <c r="I4" s="145" t="s">
        <v>109</v>
      </c>
      <c r="J4" s="145"/>
      <c r="K4" s="145"/>
    </row>
    <row r="5" spans="2:17" x14ac:dyDescent="0.25">
      <c r="B5" s="5" t="s">
        <v>1</v>
      </c>
      <c r="C5" s="6" t="s">
        <v>2</v>
      </c>
      <c r="I5" s="145" t="s">
        <v>110</v>
      </c>
      <c r="J5" s="145"/>
      <c r="K5" s="145"/>
    </row>
    <row r="6" spans="2:17" ht="15" customHeight="1" x14ac:dyDescent="0.25">
      <c r="B6" s="5" t="s">
        <v>3</v>
      </c>
      <c r="C6" s="7">
        <v>100</v>
      </c>
      <c r="I6" s="145" t="s">
        <v>111</v>
      </c>
      <c r="J6" s="145"/>
      <c r="K6" s="145"/>
    </row>
    <row r="7" spans="2:17" s="4" customFormat="1" ht="15" customHeight="1" x14ac:dyDescent="0.25">
      <c r="B7" s="5" t="s">
        <v>42</v>
      </c>
      <c r="C7" s="7">
        <v>10</v>
      </c>
      <c r="I7" s="145" t="s">
        <v>112</v>
      </c>
      <c r="J7" s="145"/>
      <c r="K7" s="145"/>
    </row>
    <row r="8" spans="2:17" ht="30" customHeight="1" x14ac:dyDescent="0.25">
      <c r="B8" s="5" t="s">
        <v>4</v>
      </c>
      <c r="C8" s="7" t="s">
        <v>5</v>
      </c>
      <c r="F8" s="12"/>
      <c r="G8" s="11" t="s">
        <v>27</v>
      </c>
      <c r="I8" s="145" t="s">
        <v>113</v>
      </c>
      <c r="J8" s="145"/>
      <c r="K8" s="145"/>
      <c r="L8" s="27"/>
      <c r="M8" s="27"/>
      <c r="N8" s="27"/>
      <c r="O8" s="27"/>
      <c r="P8" s="27"/>
      <c r="Q8" s="27"/>
    </row>
    <row r="9" spans="2:17" ht="30" customHeight="1" x14ac:dyDescent="0.25">
      <c r="B9" s="5" t="s">
        <v>39</v>
      </c>
      <c r="C9" s="7" t="s">
        <v>6</v>
      </c>
      <c r="I9" s="149" t="s">
        <v>114</v>
      </c>
      <c r="J9" s="149"/>
      <c r="K9" s="149"/>
      <c r="L9" s="145" t="s">
        <v>128</v>
      </c>
      <c r="M9" s="145"/>
      <c r="N9" s="145"/>
      <c r="O9" s="145"/>
      <c r="P9" s="27"/>
      <c r="Q9" s="27"/>
    </row>
    <row r="10" spans="2:17" ht="30" customHeight="1" x14ac:dyDescent="0.25">
      <c r="B10" s="5" t="s">
        <v>9</v>
      </c>
      <c r="C10" s="7">
        <v>0.5</v>
      </c>
      <c r="I10" s="145"/>
      <c r="J10" s="145"/>
      <c r="K10" s="145"/>
      <c r="L10" s="27"/>
      <c r="M10" s="27"/>
      <c r="N10" s="27"/>
      <c r="O10" s="27"/>
      <c r="P10" s="27"/>
      <c r="Q10" s="27"/>
    </row>
    <row r="11" spans="2:17" ht="15" customHeight="1" x14ac:dyDescent="0.25">
      <c r="B11" s="8" t="s">
        <v>7</v>
      </c>
      <c r="C11" s="6" t="s">
        <v>130</v>
      </c>
      <c r="I11" s="145"/>
      <c r="J11" s="145"/>
      <c r="K11" s="145"/>
      <c r="L11" s="27"/>
      <c r="M11" s="27"/>
      <c r="N11" s="27"/>
      <c r="O11" s="27"/>
      <c r="P11" s="27"/>
      <c r="Q11" s="27"/>
    </row>
    <row r="12" spans="2:17" ht="30.75" thickBot="1" x14ac:dyDescent="0.3">
      <c r="B12" s="9" t="s">
        <v>129</v>
      </c>
      <c r="C12" s="10" t="s">
        <v>16</v>
      </c>
      <c r="I12" s="145"/>
      <c r="J12" s="145"/>
      <c r="K12" s="145"/>
      <c r="L12" s="26"/>
      <c r="M12" s="26"/>
      <c r="N12" s="26"/>
      <c r="O12" s="26"/>
      <c r="P12" s="26"/>
      <c r="Q12" s="26"/>
    </row>
    <row r="13" spans="2:17" ht="15.75" customHeight="1" thickTop="1" x14ac:dyDescent="0.25">
      <c r="I13" s="145"/>
      <c r="J13" s="145"/>
      <c r="K13" s="145"/>
      <c r="L13" s="27"/>
      <c r="M13" s="27"/>
      <c r="N13" s="27"/>
      <c r="O13" s="27"/>
      <c r="P13" s="27"/>
      <c r="Q13" s="27"/>
    </row>
    <row r="14" spans="2:17" x14ac:dyDescent="0.25">
      <c r="B14" s="146" t="s">
        <v>10</v>
      </c>
      <c r="C14" s="146"/>
      <c r="I14" s="145"/>
      <c r="J14" s="145"/>
      <c r="K14" s="145"/>
      <c r="L14" s="26"/>
      <c r="M14" s="26"/>
      <c r="N14" s="26"/>
      <c r="O14" s="26"/>
      <c r="P14" s="26"/>
      <c r="Q14" s="26"/>
    </row>
    <row r="15" spans="2:17" x14ac:dyDescent="0.25">
      <c r="I15" s="145"/>
      <c r="J15" s="145"/>
      <c r="K15" s="145"/>
      <c r="L15" s="27"/>
      <c r="M15" s="27"/>
      <c r="N15" s="27"/>
      <c r="O15" s="27"/>
      <c r="P15" s="27"/>
      <c r="Q15" s="27"/>
    </row>
    <row r="16" spans="2:17" ht="30" x14ac:dyDescent="0.25">
      <c r="B16" s="2" t="s">
        <v>40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I16" s="145"/>
      <c r="J16" s="145"/>
      <c r="K16" s="145"/>
      <c r="L16" s="27"/>
      <c r="M16" s="27"/>
      <c r="N16" s="27"/>
      <c r="O16" s="27"/>
      <c r="P16" s="27"/>
      <c r="Q16" s="27"/>
    </row>
    <row r="17" spans="1:17" x14ac:dyDescent="0.25">
      <c r="A17" s="3" t="s">
        <v>96</v>
      </c>
      <c r="B17" s="13" t="s">
        <v>16</v>
      </c>
      <c r="C17" s="14"/>
      <c r="D17" s="14"/>
      <c r="E17" s="14"/>
      <c r="F17" s="14"/>
      <c r="G17" s="15" t="e">
        <f>1.2661*(F17/E17)-0.0595</f>
        <v>#DIV/0!</v>
      </c>
      <c r="I17" s="145"/>
      <c r="J17" s="145"/>
      <c r="K17" s="145"/>
      <c r="L17" s="26"/>
      <c r="M17" s="26"/>
      <c r="N17" s="26"/>
      <c r="O17" s="26"/>
      <c r="P17" s="26"/>
      <c r="Q17" s="26"/>
    </row>
    <row r="18" spans="1:17" x14ac:dyDescent="0.25">
      <c r="A18" s="3" t="s">
        <v>97</v>
      </c>
      <c r="B18" s="13" t="s">
        <v>17</v>
      </c>
      <c r="C18" s="14"/>
      <c r="D18" s="14"/>
      <c r="E18" s="14"/>
      <c r="F18" s="14"/>
      <c r="G18" s="15" t="e">
        <f>1.2661*(F18/E18)-0.0595</f>
        <v>#DIV/0!</v>
      </c>
      <c r="I18" s="145"/>
      <c r="J18" s="145"/>
      <c r="K18" s="145"/>
      <c r="L18" s="26"/>
      <c r="M18" s="26"/>
      <c r="N18" s="26"/>
      <c r="O18" s="26"/>
      <c r="P18" s="26"/>
      <c r="Q18" s="26"/>
    </row>
    <row r="19" spans="1:17" x14ac:dyDescent="0.25">
      <c r="A19" s="3" t="s">
        <v>98</v>
      </c>
      <c r="B19" s="2" t="s">
        <v>18</v>
      </c>
      <c r="C19" s="14"/>
      <c r="D19" s="14"/>
      <c r="E19" s="14"/>
      <c r="F19" s="14"/>
      <c r="G19" s="15" t="e">
        <f>1.2661*(F19/E19)-0.0595</f>
        <v>#DIV/0!</v>
      </c>
      <c r="I19" s="145"/>
      <c r="J19" s="145"/>
      <c r="K19" s="145"/>
      <c r="L19" s="26"/>
      <c r="M19" s="26"/>
      <c r="N19" s="26"/>
      <c r="O19" s="26"/>
      <c r="P19" s="26"/>
      <c r="Q19" s="26"/>
    </row>
    <row r="20" spans="1:17" x14ac:dyDescent="0.25">
      <c r="A20" s="3" t="s">
        <v>99</v>
      </c>
      <c r="B20" s="2" t="s">
        <v>19</v>
      </c>
      <c r="C20" s="14"/>
      <c r="D20" s="14"/>
      <c r="E20" s="14"/>
      <c r="F20" s="14"/>
      <c r="G20" s="15" t="e">
        <f>1.2661*(F20/E20)-0.0595</f>
        <v>#DIV/0!</v>
      </c>
      <c r="I20" s="145"/>
      <c r="J20" s="145"/>
      <c r="K20" s="145"/>
      <c r="L20" s="26"/>
      <c r="M20" s="26"/>
      <c r="N20" s="26"/>
      <c r="O20" s="26"/>
      <c r="P20" s="26"/>
      <c r="Q20" s="26"/>
    </row>
    <row r="21" spans="1:17" x14ac:dyDescent="0.25">
      <c r="I21" s="145"/>
      <c r="J21" s="145"/>
      <c r="K21" s="145"/>
      <c r="L21" s="26"/>
      <c r="M21" s="26"/>
      <c r="N21" s="26"/>
      <c r="O21" s="26"/>
      <c r="P21" s="26"/>
      <c r="Q21" s="26"/>
    </row>
    <row r="22" spans="1:17" x14ac:dyDescent="0.25">
      <c r="I22" s="145"/>
      <c r="J22" s="145"/>
      <c r="K22" s="145"/>
      <c r="L22" s="26"/>
      <c r="M22" s="26"/>
      <c r="N22" s="26"/>
      <c r="O22" s="26"/>
      <c r="P22" s="26"/>
      <c r="Q22" s="26"/>
    </row>
    <row r="23" spans="1:17" x14ac:dyDescent="0.25">
      <c r="B23" s="146" t="s">
        <v>20</v>
      </c>
      <c r="C23" s="146"/>
      <c r="I23" s="145"/>
      <c r="J23" s="145"/>
      <c r="K23" s="145"/>
      <c r="L23" s="26"/>
      <c r="M23" s="26"/>
      <c r="N23" s="26"/>
      <c r="O23" s="26"/>
      <c r="P23" s="26"/>
      <c r="Q23" s="26"/>
    </row>
    <row r="24" spans="1:17" x14ac:dyDescent="0.25">
      <c r="I24" s="145"/>
      <c r="J24" s="145"/>
      <c r="K24" s="145"/>
    </row>
    <row r="25" spans="1:17" ht="30" x14ac:dyDescent="0.25">
      <c r="B25" s="2" t="s">
        <v>41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I25" s="145" t="s">
        <v>24</v>
      </c>
      <c r="J25" s="145"/>
      <c r="K25" s="145"/>
    </row>
    <row r="26" spans="1:17" x14ac:dyDescent="0.25">
      <c r="A26" s="3" t="s">
        <v>103</v>
      </c>
      <c r="B26" s="16" t="s">
        <v>21</v>
      </c>
      <c r="C26" s="14"/>
      <c r="D26" s="14"/>
      <c r="E26" s="14"/>
      <c r="F26" s="14"/>
      <c r="G26" s="15" t="e">
        <f>1.2661*(F26/E26)-0.0595</f>
        <v>#DIV/0!</v>
      </c>
      <c r="I26" s="145"/>
      <c r="J26" s="145"/>
      <c r="K26" s="145"/>
    </row>
    <row r="27" spans="1:17" x14ac:dyDescent="0.25">
      <c r="A27" s="3" t="s">
        <v>104</v>
      </c>
      <c r="B27" s="13" t="s">
        <v>6</v>
      </c>
      <c r="C27" s="14"/>
      <c r="D27" s="14"/>
      <c r="E27" s="14"/>
      <c r="F27" s="14"/>
      <c r="G27" s="15" t="e">
        <f>1.2661*(F27/E27)-0.0595</f>
        <v>#DIV/0!</v>
      </c>
      <c r="I27" s="145"/>
      <c r="J27" s="145"/>
      <c r="K27" s="145"/>
    </row>
    <row r="28" spans="1:17" x14ac:dyDescent="0.25">
      <c r="A28" s="3" t="s">
        <v>105</v>
      </c>
      <c r="B28" s="2" t="s">
        <v>22</v>
      </c>
      <c r="C28" s="14"/>
      <c r="D28" s="14"/>
      <c r="E28" s="14"/>
      <c r="F28" s="14"/>
      <c r="G28" s="15" t="e">
        <f>1.2661*(F28/E28)-0.0595</f>
        <v>#DIV/0!</v>
      </c>
      <c r="I28" s="145"/>
      <c r="J28" s="145"/>
      <c r="K28" s="145"/>
    </row>
    <row r="29" spans="1:17" x14ac:dyDescent="0.25">
      <c r="A29" s="3" t="s">
        <v>106</v>
      </c>
      <c r="B29" s="2" t="s">
        <v>23</v>
      </c>
      <c r="C29" s="14"/>
      <c r="D29" s="14"/>
      <c r="E29" s="14"/>
      <c r="F29" s="14"/>
      <c r="G29" s="15" t="e">
        <f>1.2661*(F29/E29)-0.0595</f>
        <v>#DIV/0!</v>
      </c>
    </row>
    <row r="32" spans="1:17" x14ac:dyDescent="0.25">
      <c r="B32" s="146" t="s">
        <v>25</v>
      </c>
      <c r="C32" s="146"/>
    </row>
    <row r="34" spans="1:8" ht="30" x14ac:dyDescent="0.25">
      <c r="B34" s="2" t="s">
        <v>3</v>
      </c>
      <c r="C34" s="2" t="s">
        <v>26</v>
      </c>
      <c r="D34" s="1" t="s">
        <v>11</v>
      </c>
      <c r="E34" s="1" t="s">
        <v>12</v>
      </c>
      <c r="F34" s="1" t="s">
        <v>13</v>
      </c>
      <c r="G34" s="1" t="s">
        <v>14</v>
      </c>
      <c r="H34" s="1" t="s">
        <v>15</v>
      </c>
    </row>
    <row r="35" spans="1:8" x14ac:dyDescent="0.25">
      <c r="A35" s="3" t="s">
        <v>100</v>
      </c>
      <c r="B35" s="16">
        <v>90</v>
      </c>
      <c r="C35" s="16"/>
      <c r="D35" s="14"/>
      <c r="E35" s="14"/>
      <c r="F35" s="14"/>
      <c r="G35" s="14"/>
      <c r="H35" s="15" t="e">
        <f>1.2661*(G35/F35)-0.0595</f>
        <v>#DIV/0!</v>
      </c>
    </row>
    <row r="36" spans="1:8" x14ac:dyDescent="0.25">
      <c r="A36" s="3" t="s">
        <v>101</v>
      </c>
      <c r="B36" s="13">
        <v>100</v>
      </c>
      <c r="C36" s="16"/>
      <c r="D36" s="14"/>
      <c r="E36" s="14"/>
      <c r="F36" s="14"/>
      <c r="G36" s="14"/>
      <c r="H36" s="15" t="e">
        <f>1.2661*(G36/F36)-0.0595</f>
        <v>#DIV/0!</v>
      </c>
    </row>
    <row r="37" spans="1:8" x14ac:dyDescent="0.25">
      <c r="A37" s="3" t="s">
        <v>102</v>
      </c>
      <c r="B37" s="2">
        <v>110</v>
      </c>
      <c r="C37" s="2"/>
      <c r="D37" s="14"/>
      <c r="E37" s="14"/>
      <c r="F37" s="14"/>
      <c r="G37" s="14"/>
      <c r="H37" s="15" t="e">
        <f>1.2661*(G37/F37)-0.0595</f>
        <v>#DIV/0!</v>
      </c>
    </row>
    <row r="40" spans="1:8" x14ac:dyDescent="0.25">
      <c r="B40" s="146" t="s">
        <v>28</v>
      </c>
      <c r="C40" s="146"/>
    </row>
    <row r="42" spans="1:8" ht="30" x14ac:dyDescent="0.25">
      <c r="B42" s="2" t="s">
        <v>28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</row>
    <row r="43" spans="1:8" x14ac:dyDescent="0.25">
      <c r="B43" s="13" t="s">
        <v>2</v>
      </c>
      <c r="C43" s="14"/>
      <c r="D43" s="14"/>
      <c r="E43" s="14"/>
      <c r="F43" s="14"/>
      <c r="G43" s="15" t="e">
        <f>1.2661*(F43/E43)-0.0595</f>
        <v>#DIV/0!</v>
      </c>
    </row>
    <row r="44" spans="1:8" x14ac:dyDescent="0.25">
      <c r="B44" s="16" t="s">
        <v>29</v>
      </c>
      <c r="C44" s="14"/>
      <c r="D44" s="14"/>
      <c r="E44" s="14"/>
      <c r="F44" s="14"/>
      <c r="G44" s="15" t="e">
        <f>1.2661*(F44/E44)-0.0595</f>
        <v>#DIV/0!</v>
      </c>
    </row>
  </sheetData>
  <mergeCells count="31">
    <mergeCell ref="L9:O9"/>
    <mergeCell ref="I25:K28"/>
    <mergeCell ref="B32:C32"/>
    <mergeCell ref="B40:C40"/>
    <mergeCell ref="C2:G2"/>
    <mergeCell ref="B4:C4"/>
    <mergeCell ref="B14:C14"/>
    <mergeCell ref="B23:C23"/>
    <mergeCell ref="I2:K2"/>
    <mergeCell ref="I3:K3"/>
    <mergeCell ref="I4:K4"/>
    <mergeCell ref="I6:K6"/>
    <mergeCell ref="I5:K5"/>
    <mergeCell ref="I7:K7"/>
    <mergeCell ref="I8:K8"/>
    <mergeCell ref="I9:K9"/>
    <mergeCell ref="I10:K10"/>
    <mergeCell ref="I11:K11"/>
    <mergeCell ref="I13:K13"/>
    <mergeCell ref="I14:K14"/>
    <mergeCell ref="I16:K16"/>
    <mergeCell ref="I15:K15"/>
    <mergeCell ref="I12:K12"/>
    <mergeCell ref="I17:K17"/>
    <mergeCell ref="I23:K23"/>
    <mergeCell ref="I24:K24"/>
    <mergeCell ref="I18:K18"/>
    <mergeCell ref="I19:K19"/>
    <mergeCell ref="I20:K20"/>
    <mergeCell ref="I21:K21"/>
    <mergeCell ref="I22:K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workbookViewId="0">
      <selection activeCell="I11" sqref="I11:K11"/>
    </sheetView>
  </sheetViews>
  <sheetFormatPr baseColWidth="10" defaultRowHeight="15" x14ac:dyDescent="0.25"/>
  <cols>
    <col min="1" max="1" width="11.42578125" style="28"/>
    <col min="2" max="2" width="22.85546875" style="28" customWidth="1"/>
    <col min="3" max="3" width="21" style="28" customWidth="1"/>
    <col min="4" max="4" width="18.85546875" style="28" customWidth="1"/>
    <col min="5" max="5" width="16.7109375" style="28" customWidth="1"/>
    <col min="6" max="6" width="16.85546875" style="28" customWidth="1"/>
    <col min="7" max="10" width="11.42578125" style="28"/>
    <col min="11" max="11" width="14.85546875" style="28" customWidth="1"/>
    <col min="12" max="16384" width="11.42578125" style="28"/>
  </cols>
  <sheetData>
    <row r="1" spans="1:12" x14ac:dyDescent="0.25">
      <c r="A1" s="17"/>
      <c r="B1" s="17"/>
      <c r="C1" s="17"/>
      <c r="D1" s="17"/>
      <c r="E1" s="17"/>
      <c r="F1" s="17"/>
      <c r="G1" s="17"/>
    </row>
    <row r="2" spans="1:12" x14ac:dyDescent="0.25">
      <c r="A2" s="17"/>
      <c r="B2" s="17"/>
      <c r="C2" s="146" t="s">
        <v>37</v>
      </c>
      <c r="D2" s="146"/>
      <c r="E2" s="146"/>
      <c r="F2" s="146"/>
      <c r="G2" s="146"/>
    </row>
    <row r="3" spans="1:12" ht="15.75" thickBot="1" x14ac:dyDescent="0.3">
      <c r="A3" s="17"/>
      <c r="B3" s="17"/>
      <c r="C3" s="17"/>
      <c r="D3" s="17"/>
      <c r="E3" s="17"/>
      <c r="F3" s="17"/>
      <c r="G3" s="17"/>
    </row>
    <row r="4" spans="1:12" ht="15.75" thickTop="1" x14ac:dyDescent="0.25">
      <c r="A4" s="17"/>
      <c r="B4" s="147" t="s">
        <v>8</v>
      </c>
      <c r="C4" s="148"/>
      <c r="D4" s="17"/>
      <c r="E4" s="17"/>
      <c r="F4" s="17"/>
      <c r="G4" s="17"/>
      <c r="I4" s="145" t="s">
        <v>107</v>
      </c>
      <c r="J4" s="145"/>
      <c r="K4" s="145"/>
    </row>
    <row r="5" spans="1:12" x14ac:dyDescent="0.25">
      <c r="A5" s="17"/>
      <c r="B5" s="5" t="s">
        <v>1</v>
      </c>
      <c r="C5" s="6" t="s">
        <v>2</v>
      </c>
      <c r="D5" s="17"/>
      <c r="E5" s="17"/>
      <c r="F5" s="17"/>
      <c r="G5" s="17"/>
      <c r="I5" s="145" t="s">
        <v>108</v>
      </c>
      <c r="J5" s="145"/>
      <c r="K5" s="145"/>
    </row>
    <row r="6" spans="1:12" x14ac:dyDescent="0.25">
      <c r="A6" s="17"/>
      <c r="B6" s="5" t="s">
        <v>3</v>
      </c>
      <c r="C6" s="7">
        <v>100</v>
      </c>
      <c r="D6" s="17"/>
      <c r="E6" s="17"/>
      <c r="F6" s="17"/>
      <c r="G6" s="17"/>
      <c r="I6" s="145" t="s">
        <v>115</v>
      </c>
      <c r="J6" s="145"/>
      <c r="K6" s="145"/>
    </row>
    <row r="7" spans="1:12" x14ac:dyDescent="0.25">
      <c r="A7" s="17"/>
      <c r="B7" s="5" t="s">
        <v>4</v>
      </c>
      <c r="C7" s="7" t="s">
        <v>5</v>
      </c>
      <c r="D7" s="17"/>
      <c r="E7" s="17"/>
      <c r="F7" s="12"/>
      <c r="G7" s="11" t="s">
        <v>27</v>
      </c>
      <c r="I7" s="145" t="s">
        <v>116</v>
      </c>
      <c r="J7" s="145"/>
      <c r="K7" s="145"/>
    </row>
    <row r="8" spans="1:12" x14ac:dyDescent="0.25">
      <c r="A8" s="17"/>
      <c r="B8" s="5" t="s">
        <v>42</v>
      </c>
      <c r="C8" s="7">
        <v>10</v>
      </c>
      <c r="D8" s="17"/>
      <c r="E8" s="17"/>
      <c r="F8" s="12"/>
      <c r="G8" s="12"/>
      <c r="I8" s="145" t="s">
        <v>117</v>
      </c>
      <c r="J8" s="145"/>
      <c r="K8" s="145"/>
    </row>
    <row r="9" spans="1:12" ht="30" x14ac:dyDescent="0.25">
      <c r="A9" s="17"/>
      <c r="B9" s="5" t="s">
        <v>39</v>
      </c>
      <c r="C9" s="7" t="s">
        <v>6</v>
      </c>
      <c r="D9" s="17"/>
      <c r="E9" s="17"/>
      <c r="F9" s="17"/>
      <c r="G9" s="17"/>
      <c r="I9" s="150" t="s">
        <v>118</v>
      </c>
      <c r="J9" s="150"/>
      <c r="K9" s="150"/>
    </row>
    <row r="10" spans="1:12" ht="30" x14ac:dyDescent="0.25">
      <c r="A10" s="17"/>
      <c r="B10" s="5" t="s">
        <v>9</v>
      </c>
      <c r="C10" s="7">
        <v>0.5</v>
      </c>
      <c r="D10" s="17"/>
      <c r="E10" s="17"/>
      <c r="F10" s="17"/>
      <c r="G10" s="17"/>
      <c r="I10" s="150" t="s">
        <v>119</v>
      </c>
      <c r="J10" s="150"/>
      <c r="K10" s="150"/>
    </row>
    <row r="11" spans="1:12" x14ac:dyDescent="0.25">
      <c r="A11" s="17"/>
      <c r="B11" s="8" t="s">
        <v>7</v>
      </c>
      <c r="C11" s="6" t="s">
        <v>130</v>
      </c>
      <c r="D11" s="17"/>
      <c r="E11" s="17"/>
      <c r="F11" s="17"/>
      <c r="G11" s="17"/>
      <c r="I11" s="145" t="s">
        <v>120</v>
      </c>
      <c r="J11" s="145"/>
      <c r="K11" s="145"/>
    </row>
    <row r="12" spans="1:12" ht="15.75" thickBot="1" x14ac:dyDescent="0.3">
      <c r="A12" s="17"/>
      <c r="B12" s="9" t="s">
        <v>129</v>
      </c>
      <c r="C12" s="10" t="s">
        <v>16</v>
      </c>
      <c r="D12" s="17"/>
      <c r="E12" s="17"/>
      <c r="F12" s="17"/>
      <c r="G12" s="17"/>
      <c r="I12" s="145" t="s">
        <v>121</v>
      </c>
      <c r="J12" s="145"/>
      <c r="K12" s="145"/>
    </row>
    <row r="13" spans="1:12" ht="15.75" thickTop="1" x14ac:dyDescent="0.25">
      <c r="I13" s="150" t="s">
        <v>122</v>
      </c>
      <c r="J13" s="150"/>
      <c r="K13" s="150"/>
    </row>
    <row r="14" spans="1:12" x14ac:dyDescent="0.25">
      <c r="A14" s="17"/>
      <c r="B14" s="146" t="s">
        <v>10</v>
      </c>
      <c r="C14" s="146"/>
      <c r="D14" s="17"/>
      <c r="E14" s="17"/>
      <c r="F14" s="17"/>
      <c r="G14" s="17"/>
      <c r="H14" s="17"/>
      <c r="I14" s="150" t="s">
        <v>123</v>
      </c>
      <c r="J14" s="150"/>
      <c r="K14" s="150"/>
      <c r="L14" s="17"/>
    </row>
    <row r="15" spans="1:12" x14ac:dyDescent="0.25">
      <c r="A15" s="17"/>
      <c r="B15" s="17"/>
      <c r="C15" s="17"/>
      <c r="D15" s="17"/>
      <c r="E15" s="17"/>
      <c r="F15" s="17"/>
      <c r="G15" s="17"/>
      <c r="H15" s="17"/>
      <c r="I15" s="150" t="s">
        <v>124</v>
      </c>
      <c r="J15" s="150"/>
      <c r="K15" s="150"/>
      <c r="L15" s="17"/>
    </row>
    <row r="16" spans="1:12" x14ac:dyDescent="0.25">
      <c r="A16" s="17"/>
      <c r="B16" s="2" t="s">
        <v>40</v>
      </c>
      <c r="C16" s="1" t="s">
        <v>43</v>
      </c>
      <c r="D16" s="1" t="s">
        <v>44</v>
      </c>
      <c r="E16" s="1" t="s">
        <v>45</v>
      </c>
      <c r="F16" s="18"/>
      <c r="G16" s="18"/>
      <c r="H16" s="17"/>
      <c r="I16" s="150" t="s">
        <v>125</v>
      </c>
      <c r="J16" s="150"/>
      <c r="K16" s="150"/>
      <c r="L16" s="17"/>
    </row>
    <row r="17" spans="1:15" x14ac:dyDescent="0.25">
      <c r="A17" s="17"/>
      <c r="B17" s="13" t="s">
        <v>16</v>
      </c>
      <c r="C17" s="14"/>
      <c r="D17" s="14"/>
      <c r="E17" s="14"/>
      <c r="F17" s="19"/>
      <c r="G17" s="20"/>
      <c r="H17" s="17"/>
      <c r="I17" s="150" t="s">
        <v>127</v>
      </c>
      <c r="J17" s="150"/>
      <c r="K17" s="150"/>
      <c r="L17" s="17"/>
    </row>
    <row r="18" spans="1:15" ht="45" customHeight="1" x14ac:dyDescent="0.25">
      <c r="A18" s="17"/>
      <c r="B18" s="13" t="s">
        <v>17</v>
      </c>
      <c r="C18" s="14"/>
      <c r="D18" s="46"/>
      <c r="E18" s="14"/>
      <c r="F18" s="19"/>
      <c r="G18" s="20"/>
      <c r="H18" s="17"/>
      <c r="I18" s="149" t="s">
        <v>126</v>
      </c>
      <c r="J18" s="149"/>
      <c r="K18" s="149"/>
      <c r="L18" s="145" t="s">
        <v>128</v>
      </c>
      <c r="M18" s="145"/>
      <c r="N18" s="145"/>
      <c r="O18" s="145"/>
    </row>
    <row r="19" spans="1:15" x14ac:dyDescent="0.25">
      <c r="A19" s="17"/>
      <c r="B19" s="2" t="s">
        <v>18</v>
      </c>
      <c r="C19" s="14"/>
      <c r="D19" s="14"/>
      <c r="E19" s="14"/>
      <c r="F19" s="19"/>
      <c r="G19" s="20"/>
      <c r="H19" s="17"/>
      <c r="I19" s="17"/>
      <c r="J19" s="17"/>
      <c r="K19" s="17"/>
      <c r="L19" s="17"/>
    </row>
    <row r="20" spans="1:15" x14ac:dyDescent="0.25">
      <c r="A20" s="17"/>
      <c r="B20" s="2" t="s">
        <v>19</v>
      </c>
      <c r="C20" s="14"/>
      <c r="D20" s="14"/>
      <c r="E20" s="14"/>
      <c r="F20" s="19"/>
      <c r="G20" s="20"/>
      <c r="H20" s="17"/>
      <c r="I20" s="17"/>
      <c r="J20" s="17"/>
      <c r="K20" s="17"/>
      <c r="L20" s="17"/>
    </row>
    <row r="21" spans="1:1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5" x14ac:dyDescent="0.25">
      <c r="A23" s="17"/>
      <c r="B23" s="146" t="s">
        <v>20</v>
      </c>
      <c r="C23" s="146"/>
      <c r="D23" s="17"/>
      <c r="E23" s="17"/>
      <c r="F23" s="17"/>
      <c r="G23" s="17"/>
      <c r="H23" s="17"/>
      <c r="I23" s="17"/>
      <c r="J23" s="17"/>
      <c r="K23" s="17"/>
      <c r="L23" s="17"/>
    </row>
    <row r="24" spans="1:1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5" x14ac:dyDescent="0.25">
      <c r="A25" s="17"/>
      <c r="B25" s="2" t="s">
        <v>26</v>
      </c>
      <c r="C25" s="1" t="s">
        <v>43</v>
      </c>
      <c r="D25" s="1" t="s">
        <v>44</v>
      </c>
      <c r="E25" s="1" t="s">
        <v>45</v>
      </c>
      <c r="F25" s="18"/>
      <c r="G25" s="18"/>
      <c r="H25" s="17"/>
      <c r="I25" s="17"/>
      <c r="J25" s="17"/>
      <c r="K25" s="17"/>
      <c r="L25" s="17"/>
    </row>
    <row r="26" spans="1:15" x14ac:dyDescent="0.25">
      <c r="A26" s="17"/>
      <c r="B26" s="16" t="s">
        <v>21</v>
      </c>
      <c r="C26" s="14"/>
      <c r="D26" s="14"/>
      <c r="E26" s="14"/>
      <c r="F26" s="19"/>
      <c r="G26" s="20"/>
      <c r="H26" s="17"/>
      <c r="I26" s="145" t="s">
        <v>24</v>
      </c>
      <c r="J26" s="145"/>
      <c r="K26" s="145"/>
      <c r="L26" s="17"/>
    </row>
    <row r="27" spans="1:15" x14ac:dyDescent="0.25">
      <c r="A27" s="17"/>
      <c r="B27" s="13" t="s">
        <v>6</v>
      </c>
      <c r="C27" s="14"/>
      <c r="D27" s="14"/>
      <c r="E27" s="14"/>
      <c r="F27" s="19"/>
      <c r="G27" s="20"/>
      <c r="H27" s="17"/>
      <c r="I27" s="145"/>
      <c r="J27" s="145"/>
      <c r="K27" s="145"/>
      <c r="L27" s="17"/>
    </row>
    <row r="28" spans="1:15" x14ac:dyDescent="0.25">
      <c r="A28" s="17"/>
      <c r="B28" s="2" t="s">
        <v>22</v>
      </c>
      <c r="C28" s="14"/>
      <c r="D28" s="14"/>
      <c r="E28" s="14"/>
      <c r="F28" s="19"/>
      <c r="G28" s="20"/>
      <c r="H28" s="17"/>
      <c r="I28" s="145"/>
      <c r="J28" s="145"/>
      <c r="K28" s="145"/>
      <c r="L28" s="17"/>
    </row>
    <row r="29" spans="1:15" x14ac:dyDescent="0.25">
      <c r="A29" s="17"/>
      <c r="B29" s="2" t="s">
        <v>23</v>
      </c>
      <c r="C29" s="14"/>
      <c r="D29" s="14"/>
      <c r="E29" s="14"/>
      <c r="F29" s="19"/>
      <c r="G29" s="20"/>
      <c r="H29" s="17"/>
      <c r="I29" s="145"/>
      <c r="J29" s="145"/>
      <c r="K29" s="145"/>
      <c r="L29" s="17"/>
    </row>
    <row r="30" spans="1:15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5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5" x14ac:dyDescent="0.25">
      <c r="A32" s="17"/>
      <c r="B32" s="146" t="s">
        <v>25</v>
      </c>
      <c r="C32" s="146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25">
      <c r="A34" s="17"/>
      <c r="B34" s="2" t="s">
        <v>3</v>
      </c>
      <c r="C34" s="2" t="s">
        <v>26</v>
      </c>
      <c r="D34" s="1" t="s">
        <v>43</v>
      </c>
      <c r="E34" s="1" t="s">
        <v>44</v>
      </c>
      <c r="F34" s="1" t="s">
        <v>45</v>
      </c>
      <c r="G34" s="18"/>
      <c r="H34" s="18"/>
      <c r="I34" s="17"/>
      <c r="J34" s="17"/>
      <c r="K34" s="17"/>
      <c r="L34" s="17"/>
    </row>
    <row r="35" spans="1:12" x14ac:dyDescent="0.25">
      <c r="A35" s="17"/>
      <c r="B35" s="16">
        <v>90</v>
      </c>
      <c r="C35" s="16" t="s">
        <v>133</v>
      </c>
      <c r="D35" s="14"/>
      <c r="E35" s="14"/>
      <c r="F35" s="14"/>
      <c r="G35" s="19"/>
      <c r="H35" s="20"/>
      <c r="I35" s="17"/>
      <c r="J35" s="17"/>
      <c r="K35" s="17"/>
      <c r="L35" s="17"/>
    </row>
    <row r="36" spans="1:12" x14ac:dyDescent="0.25">
      <c r="A36" s="17"/>
      <c r="B36" s="13">
        <v>100</v>
      </c>
      <c r="C36" s="16" t="s">
        <v>6</v>
      </c>
      <c r="D36" s="14"/>
      <c r="E36" s="14"/>
      <c r="F36" s="14"/>
      <c r="G36" s="19"/>
      <c r="H36" s="20"/>
      <c r="I36" s="17"/>
      <c r="J36" s="17"/>
      <c r="K36" s="17"/>
      <c r="L36" s="17"/>
    </row>
    <row r="37" spans="1:12" x14ac:dyDescent="0.25">
      <c r="A37" s="17"/>
      <c r="B37" s="2">
        <v>110</v>
      </c>
      <c r="C37" s="2" t="s">
        <v>134</v>
      </c>
      <c r="D37" s="14"/>
      <c r="E37" s="14"/>
      <c r="F37" s="14"/>
      <c r="G37" s="19"/>
      <c r="H37" s="20"/>
      <c r="I37" s="17"/>
      <c r="J37" s="17"/>
      <c r="K37" s="17"/>
      <c r="L37" s="17"/>
    </row>
    <row r="38" spans="1:12" x14ac:dyDescent="0.25">
      <c r="A38" s="17"/>
      <c r="B38" s="17"/>
      <c r="C38" s="17"/>
      <c r="D38" s="17"/>
      <c r="E38" s="17"/>
      <c r="F38" s="17"/>
      <c r="G38" s="19"/>
      <c r="H38" s="19"/>
      <c r="I38" s="17"/>
      <c r="J38" s="17"/>
      <c r="K38" s="17"/>
      <c r="L38" s="17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25">
      <c r="A40" s="17"/>
      <c r="B40" s="146" t="s">
        <v>28</v>
      </c>
      <c r="C40" s="146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45" customHeight="1" x14ac:dyDescent="0.25">
      <c r="A42" s="17"/>
      <c r="B42" s="2" t="s">
        <v>28</v>
      </c>
      <c r="C42" s="1" t="s">
        <v>43</v>
      </c>
      <c r="D42" s="1" t="s">
        <v>44</v>
      </c>
      <c r="E42" s="1" t="s">
        <v>45</v>
      </c>
      <c r="F42" s="18"/>
      <c r="G42" s="18"/>
      <c r="H42" s="17"/>
      <c r="I42" s="17"/>
      <c r="J42" s="17"/>
      <c r="K42" s="17"/>
      <c r="L42" s="17"/>
    </row>
    <row r="43" spans="1:12" x14ac:dyDescent="0.25">
      <c r="A43" s="17"/>
      <c r="B43" s="13" t="s">
        <v>2</v>
      </c>
      <c r="C43" s="14"/>
      <c r="D43" s="14"/>
      <c r="E43" s="14"/>
      <c r="F43" s="18"/>
      <c r="G43" s="18"/>
      <c r="H43" s="17"/>
      <c r="I43" s="17"/>
      <c r="J43" s="17"/>
      <c r="K43" s="17"/>
      <c r="L43" s="17"/>
    </row>
    <row r="44" spans="1:12" x14ac:dyDescent="0.25">
      <c r="A44" s="17"/>
      <c r="B44" s="16" t="s">
        <v>29</v>
      </c>
      <c r="C44" s="14"/>
      <c r="D44" s="14"/>
      <c r="E44" s="14"/>
      <c r="F44" s="18"/>
      <c r="G44" s="18"/>
      <c r="H44" s="17"/>
      <c r="I44" s="17"/>
      <c r="J44" s="17"/>
      <c r="K44" s="17"/>
      <c r="L44" s="17"/>
    </row>
    <row r="45" spans="1:1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25">
      <c r="A47" s="17"/>
      <c r="B47" s="146" t="s">
        <v>30</v>
      </c>
      <c r="C47" s="146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25">
      <c r="I48" s="17"/>
      <c r="J48" s="17"/>
      <c r="K48" s="17"/>
    </row>
    <row r="49" spans="2:11" x14ac:dyDescent="0.25">
      <c r="B49" s="2" t="s">
        <v>42</v>
      </c>
      <c r="C49" s="1" t="s">
        <v>43</v>
      </c>
      <c r="D49" s="1" t="s">
        <v>44</v>
      </c>
      <c r="E49" s="1" t="s">
        <v>45</v>
      </c>
      <c r="I49" s="145" t="s">
        <v>24</v>
      </c>
      <c r="J49" s="145"/>
      <c r="K49" s="145"/>
    </row>
    <row r="50" spans="2:11" x14ac:dyDescent="0.25">
      <c r="B50" s="2">
        <v>5</v>
      </c>
      <c r="C50" s="14"/>
      <c r="D50" s="14"/>
      <c r="E50" s="14"/>
      <c r="I50" s="145"/>
      <c r="J50" s="145"/>
      <c r="K50" s="145"/>
    </row>
    <row r="51" spans="2:11" x14ac:dyDescent="0.25">
      <c r="B51" s="13">
        <v>10</v>
      </c>
      <c r="C51" s="14"/>
      <c r="D51" s="14"/>
      <c r="E51" s="14"/>
      <c r="I51" s="145"/>
      <c r="J51" s="145"/>
      <c r="K51" s="145"/>
    </row>
    <row r="52" spans="2:11" x14ac:dyDescent="0.25">
      <c r="B52" s="29">
        <v>20</v>
      </c>
      <c r="C52" s="30"/>
      <c r="D52" s="31"/>
      <c r="E52" s="31"/>
      <c r="I52" s="145"/>
      <c r="J52" s="145"/>
      <c r="K52" s="145"/>
    </row>
    <row r="53" spans="2:11" x14ac:dyDescent="0.25">
      <c r="B53" s="32"/>
      <c r="C53" s="33"/>
      <c r="D53" s="33"/>
      <c r="E53" s="33"/>
    </row>
    <row r="55" spans="2:11" x14ac:dyDescent="0.25">
      <c r="B55" s="146" t="s">
        <v>31</v>
      </c>
      <c r="C55" s="146"/>
    </row>
    <row r="57" spans="2:11" ht="30" x14ac:dyDescent="0.25">
      <c r="B57" s="2" t="s">
        <v>32</v>
      </c>
      <c r="C57" s="1" t="s">
        <v>43</v>
      </c>
      <c r="D57" s="1" t="s">
        <v>44</v>
      </c>
      <c r="E57" s="1" t="s">
        <v>45</v>
      </c>
    </row>
    <row r="58" spans="2:11" x14ac:dyDescent="0.25">
      <c r="B58" s="2" t="s">
        <v>33</v>
      </c>
      <c r="C58" s="14"/>
      <c r="D58" s="14"/>
      <c r="E58" s="14"/>
    </row>
    <row r="59" spans="2:11" x14ac:dyDescent="0.25">
      <c r="B59" s="13" t="s">
        <v>34</v>
      </c>
      <c r="C59" s="14"/>
      <c r="D59" s="14"/>
      <c r="E59" s="14"/>
    </row>
    <row r="60" spans="2:11" x14ac:dyDescent="0.25">
      <c r="B60" s="29" t="s">
        <v>35</v>
      </c>
      <c r="C60" s="30"/>
      <c r="D60" s="31"/>
      <c r="E60" s="31"/>
    </row>
    <row r="61" spans="2:11" x14ac:dyDescent="0.25">
      <c r="B61" s="32"/>
      <c r="C61" s="33"/>
      <c r="D61" s="33"/>
      <c r="E61" s="33"/>
    </row>
    <row r="63" spans="2:11" x14ac:dyDescent="0.25">
      <c r="B63" s="146" t="s">
        <v>36</v>
      </c>
      <c r="C63" s="146"/>
    </row>
    <row r="65" spans="2:6" ht="30" x14ac:dyDescent="0.25">
      <c r="B65" s="2" t="s">
        <v>38</v>
      </c>
      <c r="C65" s="1" t="s">
        <v>43</v>
      </c>
      <c r="D65" s="1" t="s">
        <v>44</v>
      </c>
      <c r="E65" s="1" t="s">
        <v>45</v>
      </c>
    </row>
    <row r="66" spans="2:6" x14ac:dyDescent="0.25">
      <c r="B66" s="13">
        <v>0.5</v>
      </c>
      <c r="C66" s="14"/>
      <c r="D66" s="14"/>
      <c r="E66" s="14"/>
    </row>
    <row r="67" spans="2:6" x14ac:dyDescent="0.25">
      <c r="B67" s="2">
        <v>1</v>
      </c>
      <c r="C67" s="14"/>
      <c r="D67" s="14"/>
      <c r="E67" s="14"/>
    </row>
    <row r="70" spans="2:6" x14ac:dyDescent="0.25">
      <c r="B70" s="146" t="s">
        <v>53</v>
      </c>
      <c r="C70" s="146"/>
    </row>
    <row r="72" spans="2:6" x14ac:dyDescent="0.25">
      <c r="B72" s="2" t="s">
        <v>54</v>
      </c>
      <c r="C72" s="2" t="s">
        <v>57</v>
      </c>
      <c r="D72" s="1" t="s">
        <v>43</v>
      </c>
      <c r="E72" s="1" t="s">
        <v>44</v>
      </c>
      <c r="F72" s="1" t="s">
        <v>45</v>
      </c>
    </row>
    <row r="73" spans="2:6" x14ac:dyDescent="0.25">
      <c r="B73" s="154" t="s">
        <v>55</v>
      </c>
      <c r="C73" s="36">
        <v>6</v>
      </c>
      <c r="D73" s="14"/>
      <c r="E73" s="14"/>
      <c r="F73" s="14"/>
    </row>
    <row r="74" spans="2:6" x14ac:dyDescent="0.25">
      <c r="B74" s="155"/>
      <c r="C74" s="34" t="s">
        <v>18</v>
      </c>
      <c r="D74" s="14"/>
      <c r="E74" s="14"/>
      <c r="F74" s="14"/>
    </row>
    <row r="75" spans="2:6" x14ac:dyDescent="0.25">
      <c r="B75" s="156"/>
      <c r="C75" s="35">
        <v>23</v>
      </c>
      <c r="D75" s="30"/>
      <c r="E75" s="30"/>
      <c r="F75" s="30"/>
    </row>
    <row r="76" spans="2:6" x14ac:dyDescent="0.25">
      <c r="B76" s="151" t="s">
        <v>56</v>
      </c>
      <c r="C76" s="36">
        <v>6</v>
      </c>
      <c r="D76" s="30"/>
      <c r="E76" s="30"/>
      <c r="F76" s="30"/>
    </row>
    <row r="77" spans="2:6" x14ac:dyDescent="0.25">
      <c r="B77" s="152"/>
      <c r="C77" s="34" t="s">
        <v>18</v>
      </c>
      <c r="D77" s="30"/>
      <c r="E77" s="30"/>
      <c r="F77" s="30"/>
    </row>
    <row r="78" spans="2:6" x14ac:dyDescent="0.25">
      <c r="B78" s="153"/>
      <c r="C78" s="35">
        <v>23</v>
      </c>
      <c r="D78" s="30"/>
      <c r="E78" s="30"/>
      <c r="F78" s="30"/>
    </row>
  </sheetData>
  <mergeCells count="30">
    <mergeCell ref="L18:O18"/>
    <mergeCell ref="B76:B78"/>
    <mergeCell ref="I26:K29"/>
    <mergeCell ref="B32:C32"/>
    <mergeCell ref="I49:K52"/>
    <mergeCell ref="B70:C70"/>
    <mergeCell ref="B73:B75"/>
    <mergeCell ref="B40:C40"/>
    <mergeCell ref="B47:C47"/>
    <mergeCell ref="B55:C55"/>
    <mergeCell ref="B63:C63"/>
    <mergeCell ref="B23:C23"/>
    <mergeCell ref="I18:K18"/>
    <mergeCell ref="I15:K15"/>
    <mergeCell ref="I16:K16"/>
    <mergeCell ref="I17:K17"/>
    <mergeCell ref="I4:K4"/>
    <mergeCell ref="I5:K5"/>
    <mergeCell ref="I7:K7"/>
    <mergeCell ref="I11:K11"/>
    <mergeCell ref="I12:K12"/>
    <mergeCell ref="I6:K6"/>
    <mergeCell ref="I8:K8"/>
    <mergeCell ref="I9:K9"/>
    <mergeCell ref="I10:K10"/>
    <mergeCell ref="C2:G2"/>
    <mergeCell ref="B4:C4"/>
    <mergeCell ref="B14:C14"/>
    <mergeCell ref="I13:K13"/>
    <mergeCell ref="I14:K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C12" sqref="C12"/>
    </sheetView>
  </sheetViews>
  <sheetFormatPr baseColWidth="10" defaultRowHeight="15" x14ac:dyDescent="0.25"/>
  <cols>
    <col min="2" max="2" width="21" customWidth="1"/>
    <col min="3" max="3" width="20.42578125" customWidth="1"/>
    <col min="5" max="5" width="20.42578125" customWidth="1"/>
    <col min="6" max="6" width="20.5703125" customWidth="1"/>
  </cols>
  <sheetData>
    <row r="1" spans="1:7" x14ac:dyDescent="0.25">
      <c r="A1" s="4"/>
      <c r="B1" s="4"/>
      <c r="C1" s="4"/>
      <c r="D1" s="4"/>
      <c r="E1" s="4"/>
      <c r="F1" s="4"/>
      <c r="G1" s="4"/>
    </row>
    <row r="2" spans="1:7" x14ac:dyDescent="0.25">
      <c r="A2" s="4"/>
      <c r="B2" s="4"/>
      <c r="C2" s="146" t="s">
        <v>58</v>
      </c>
      <c r="D2" s="146"/>
      <c r="E2" s="146"/>
      <c r="F2" s="146"/>
      <c r="G2" s="146"/>
    </row>
    <row r="3" spans="1:7" ht="15.75" thickBot="1" x14ac:dyDescent="0.3">
      <c r="A3" s="4"/>
      <c r="B3" s="4"/>
      <c r="C3" s="4"/>
      <c r="D3" s="4"/>
      <c r="E3" s="4"/>
      <c r="F3" s="4"/>
      <c r="G3" s="4"/>
    </row>
    <row r="4" spans="1:7" ht="15.75" thickTop="1" x14ac:dyDescent="0.25">
      <c r="A4" s="4"/>
      <c r="B4" s="147" t="s">
        <v>8</v>
      </c>
      <c r="C4" s="148"/>
      <c r="D4" s="4"/>
      <c r="E4" s="4"/>
      <c r="F4" s="4"/>
      <c r="G4" s="4"/>
    </row>
    <row r="5" spans="1:7" x14ac:dyDescent="0.25">
      <c r="A5" s="4"/>
      <c r="B5" s="5" t="s">
        <v>1</v>
      </c>
      <c r="C5" s="6" t="s">
        <v>2</v>
      </c>
      <c r="D5" s="4"/>
      <c r="E5" s="4"/>
      <c r="F5" s="4"/>
      <c r="G5" s="4"/>
    </row>
    <row r="6" spans="1:7" x14ac:dyDescent="0.25">
      <c r="A6" s="4"/>
      <c r="B6" s="5" t="s">
        <v>52</v>
      </c>
      <c r="C6" s="7">
        <v>100</v>
      </c>
      <c r="D6" s="4"/>
      <c r="E6" s="4"/>
      <c r="F6" s="4"/>
      <c r="G6" s="4"/>
    </row>
    <row r="7" spans="1:7" x14ac:dyDescent="0.25">
      <c r="A7" s="4"/>
      <c r="B7" s="5" t="s">
        <v>4</v>
      </c>
      <c r="C7" s="7" t="s">
        <v>5</v>
      </c>
      <c r="D7" s="4"/>
      <c r="E7" s="4"/>
      <c r="F7" s="12"/>
      <c r="G7" s="11" t="s">
        <v>27</v>
      </c>
    </row>
    <row r="8" spans="1:7" x14ac:dyDescent="0.25">
      <c r="A8" s="4"/>
      <c r="B8" s="5" t="s">
        <v>42</v>
      </c>
      <c r="C8" s="7">
        <v>10</v>
      </c>
      <c r="D8" s="4"/>
      <c r="E8" s="4"/>
      <c r="F8" s="12"/>
      <c r="G8" s="11"/>
    </row>
    <row r="9" spans="1:7" ht="30" x14ac:dyDescent="0.25">
      <c r="A9" s="4"/>
      <c r="B9" s="5" t="s">
        <v>39</v>
      </c>
      <c r="C9" s="7" t="s">
        <v>6</v>
      </c>
      <c r="D9" s="4"/>
      <c r="E9" s="4"/>
      <c r="F9" s="4"/>
      <c r="G9" s="4"/>
    </row>
    <row r="10" spans="1:7" ht="30" x14ac:dyDescent="0.25">
      <c r="A10" s="4"/>
      <c r="B10" s="5" t="s">
        <v>9</v>
      </c>
      <c r="C10" s="7">
        <v>0.5</v>
      </c>
      <c r="D10" s="4"/>
      <c r="E10" s="4"/>
      <c r="F10" s="4"/>
      <c r="G10" s="4"/>
    </row>
    <row r="11" spans="1:7" x14ac:dyDescent="0.25">
      <c r="A11" s="4"/>
      <c r="B11" s="8" t="s">
        <v>7</v>
      </c>
      <c r="C11" s="6" t="s">
        <v>130</v>
      </c>
      <c r="D11" s="4"/>
      <c r="E11" s="4"/>
      <c r="F11" s="4"/>
      <c r="G11" s="4"/>
    </row>
    <row r="12" spans="1:7" ht="30.75" thickBot="1" x14ac:dyDescent="0.3">
      <c r="A12" s="4"/>
      <c r="B12" s="9" t="s">
        <v>129</v>
      </c>
      <c r="C12" s="10" t="s">
        <v>16</v>
      </c>
      <c r="D12" s="4"/>
      <c r="E12" s="4"/>
      <c r="F12" s="4"/>
      <c r="G12" s="4"/>
    </row>
    <row r="13" spans="1:7" ht="15.75" thickTop="1" x14ac:dyDescent="0.25"/>
    <row r="14" spans="1:7" x14ac:dyDescent="0.25">
      <c r="A14" s="4"/>
      <c r="B14" s="146" t="s">
        <v>10</v>
      </c>
      <c r="C14" s="146"/>
      <c r="D14" s="4"/>
      <c r="E14" s="4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ht="30" x14ac:dyDescent="0.25">
      <c r="A16" s="4"/>
      <c r="B16" s="2" t="s">
        <v>40</v>
      </c>
      <c r="C16" s="1" t="s">
        <v>50</v>
      </c>
      <c r="D16" s="1" t="s">
        <v>51</v>
      </c>
      <c r="E16" s="1" t="s">
        <v>60</v>
      </c>
      <c r="F16" s="2" t="s">
        <v>59</v>
      </c>
    </row>
    <row r="17" spans="1:7" x14ac:dyDescent="0.25">
      <c r="A17" s="4"/>
      <c r="B17" s="13" t="s">
        <v>16</v>
      </c>
      <c r="C17" s="14"/>
      <c r="D17" s="14"/>
      <c r="E17" s="15" t="e">
        <f>1.2661*(D17/C17)-0.0595</f>
        <v>#DIV/0!</v>
      </c>
      <c r="F17" s="25" t="e">
        <f>D17/C17</f>
        <v>#DIV/0!</v>
      </c>
    </row>
    <row r="18" spans="1:7" x14ac:dyDescent="0.25">
      <c r="A18" s="4"/>
      <c r="B18" s="4"/>
      <c r="C18" s="4"/>
      <c r="D18" s="4"/>
      <c r="E18" s="4"/>
      <c r="F18" s="4"/>
    </row>
    <row r="19" spans="1:7" x14ac:dyDescent="0.25">
      <c r="A19" s="4"/>
    </row>
    <row r="20" spans="1:7" x14ac:dyDescent="0.25">
      <c r="A20" s="4"/>
    </row>
    <row r="21" spans="1:7" x14ac:dyDescent="0.25">
      <c r="A21" s="4"/>
      <c r="G21" s="4"/>
    </row>
  </sheetData>
  <mergeCells count="3">
    <mergeCell ref="C2:G2"/>
    <mergeCell ref="B4:C4"/>
    <mergeCell ref="B14:C1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abSelected="1" topLeftCell="B6" zoomScale="85" zoomScaleNormal="85" workbookViewId="0">
      <selection activeCell="G23" sqref="G23"/>
    </sheetView>
  </sheetViews>
  <sheetFormatPr baseColWidth="10" defaultRowHeight="15" x14ac:dyDescent="0.25"/>
  <cols>
    <col min="2" max="2" width="24" customWidth="1"/>
    <col min="3" max="3" width="23.28515625" customWidth="1"/>
    <col min="4" max="5" width="19.85546875" customWidth="1"/>
    <col min="6" max="6" width="16.140625" customWidth="1"/>
  </cols>
  <sheetData>
    <row r="1" spans="1:9" x14ac:dyDescent="0.25">
      <c r="A1" s="4"/>
      <c r="B1" s="4"/>
      <c r="C1" s="4"/>
      <c r="D1" s="4"/>
      <c r="E1" s="48"/>
      <c r="F1" s="4"/>
      <c r="G1" s="4"/>
      <c r="H1" s="4"/>
    </row>
    <row r="2" spans="1:9" x14ac:dyDescent="0.25">
      <c r="A2" s="4"/>
      <c r="B2" s="4"/>
      <c r="C2" s="146" t="s">
        <v>37</v>
      </c>
      <c r="D2" s="146"/>
      <c r="E2" s="146"/>
      <c r="F2" s="146"/>
      <c r="G2" s="146"/>
      <c r="H2" s="146"/>
    </row>
    <row r="3" spans="1:9" ht="15.75" thickBot="1" x14ac:dyDescent="0.3">
      <c r="A3" s="4"/>
      <c r="B3" s="4"/>
      <c r="C3" s="4"/>
      <c r="D3" s="4"/>
      <c r="E3" s="48"/>
      <c r="F3" s="4"/>
      <c r="G3" s="4"/>
      <c r="H3" s="4"/>
    </row>
    <row r="4" spans="1:9" ht="15.75" thickTop="1" x14ac:dyDescent="0.25">
      <c r="A4" s="4"/>
      <c r="B4" s="147" t="s">
        <v>8</v>
      </c>
      <c r="C4" s="148"/>
      <c r="D4" s="4"/>
      <c r="E4" s="48"/>
      <c r="F4" s="4"/>
      <c r="G4" s="4"/>
      <c r="H4" s="4"/>
    </row>
    <row r="5" spans="1:9" x14ac:dyDescent="0.25">
      <c r="A5" s="4"/>
      <c r="B5" s="5" t="s">
        <v>1</v>
      </c>
      <c r="C5" s="6" t="s">
        <v>2</v>
      </c>
      <c r="D5" s="4"/>
      <c r="E5" s="48"/>
      <c r="F5" s="4"/>
      <c r="G5" s="4"/>
      <c r="H5" s="4"/>
    </row>
    <row r="6" spans="1:9" x14ac:dyDescent="0.25">
      <c r="A6" s="4"/>
      <c r="B6" s="5" t="s">
        <v>3</v>
      </c>
      <c r="C6" s="7">
        <v>90</v>
      </c>
      <c r="D6" s="4"/>
      <c r="E6" s="48"/>
      <c r="F6" s="4"/>
      <c r="G6" s="4"/>
      <c r="H6" s="4"/>
    </row>
    <row r="7" spans="1:9" x14ac:dyDescent="0.25">
      <c r="A7" s="4"/>
      <c r="B7" s="5" t="s">
        <v>42</v>
      </c>
      <c r="C7" s="7">
        <v>10</v>
      </c>
      <c r="D7" s="4"/>
      <c r="E7" s="48"/>
      <c r="F7" s="4"/>
      <c r="G7" s="4"/>
      <c r="H7" s="4"/>
    </row>
    <row r="8" spans="1:9" x14ac:dyDescent="0.25">
      <c r="A8" s="4"/>
      <c r="B8" s="5" t="s">
        <v>4</v>
      </c>
      <c r="C8" s="7" t="s">
        <v>5</v>
      </c>
      <c r="D8" s="4"/>
      <c r="E8" s="48"/>
      <c r="F8" s="4"/>
      <c r="G8" s="12"/>
      <c r="H8" s="11" t="s">
        <v>27</v>
      </c>
    </row>
    <row r="9" spans="1:9" x14ac:dyDescent="0.25">
      <c r="A9" s="4"/>
      <c r="B9" s="5" t="s">
        <v>39</v>
      </c>
      <c r="C9" s="7" t="s">
        <v>6</v>
      </c>
      <c r="D9" s="4"/>
      <c r="E9" s="48"/>
      <c r="F9" s="4"/>
      <c r="G9" s="4"/>
      <c r="H9" s="4"/>
    </row>
    <row r="10" spans="1:9" x14ac:dyDescent="0.25">
      <c r="A10" s="4"/>
      <c r="B10" s="8" t="s">
        <v>7</v>
      </c>
      <c r="C10" s="6" t="s">
        <v>131</v>
      </c>
      <c r="D10" s="4"/>
      <c r="E10" s="48"/>
      <c r="F10" s="4"/>
      <c r="G10" s="4"/>
      <c r="H10" s="4"/>
    </row>
    <row r="11" spans="1:9" ht="15.75" thickBot="1" x14ac:dyDescent="0.3">
      <c r="A11" s="4"/>
      <c r="B11" s="9" t="s">
        <v>49</v>
      </c>
      <c r="C11" s="10"/>
      <c r="D11" s="4"/>
      <c r="E11" s="48"/>
      <c r="F11" s="4"/>
      <c r="G11" s="4"/>
      <c r="H11" s="4"/>
    </row>
    <row r="12" spans="1:9" ht="15.75" thickTop="1" x14ac:dyDescent="0.25"/>
    <row r="13" spans="1:9" x14ac:dyDescent="0.25">
      <c r="A13" s="4"/>
      <c r="B13" s="146" t="s">
        <v>61</v>
      </c>
      <c r="C13" s="146"/>
      <c r="D13" s="4"/>
      <c r="E13" s="48"/>
      <c r="F13" s="4"/>
      <c r="G13" s="144"/>
      <c r="H13" s="4"/>
      <c r="I13" s="4"/>
    </row>
    <row r="14" spans="1:9" x14ac:dyDescent="0.25">
      <c r="A14" s="4"/>
      <c r="B14" s="4"/>
      <c r="C14" s="4"/>
      <c r="D14" s="4"/>
      <c r="E14" s="48"/>
      <c r="F14" s="4"/>
      <c r="G14" s="4"/>
      <c r="H14" s="4"/>
      <c r="I14" s="4"/>
    </row>
    <row r="15" spans="1:9" ht="30" x14ac:dyDescent="0.25">
      <c r="A15" s="4"/>
      <c r="B15" s="2" t="s">
        <v>40</v>
      </c>
      <c r="C15" s="2" t="s">
        <v>48</v>
      </c>
      <c r="D15" s="1" t="s">
        <v>172</v>
      </c>
      <c r="E15" s="49" t="s">
        <v>132</v>
      </c>
      <c r="F15" s="1" t="s">
        <v>47</v>
      </c>
      <c r="G15" s="18"/>
      <c r="H15" s="18"/>
      <c r="I15" s="4"/>
    </row>
    <row r="16" spans="1:9" x14ac:dyDescent="0.25">
      <c r="A16" s="4"/>
      <c r="B16" s="154" t="s">
        <v>16</v>
      </c>
      <c r="C16" s="159">
        <v>3</v>
      </c>
      <c r="D16" s="14">
        <v>1.2725</v>
      </c>
      <c r="E16" s="157">
        <f>AVERAGE(D16:D17)</f>
        <v>1.2728999999999999</v>
      </c>
      <c r="F16" s="157">
        <f>E16/$E$20</f>
        <v>0.82133178474641877</v>
      </c>
      <c r="G16" s="19"/>
      <c r="H16" s="20"/>
      <c r="I16" s="4"/>
    </row>
    <row r="17" spans="1:9" x14ac:dyDescent="0.25">
      <c r="A17" s="48"/>
      <c r="B17" s="155"/>
      <c r="C17" s="160"/>
      <c r="D17" s="14">
        <v>1.2733000000000001</v>
      </c>
      <c r="E17" s="158"/>
      <c r="F17" s="158"/>
      <c r="G17" s="19"/>
      <c r="H17" s="20"/>
      <c r="I17" s="48"/>
    </row>
    <row r="18" spans="1:9" x14ac:dyDescent="0.25">
      <c r="A18" s="4"/>
      <c r="B18" s="155"/>
      <c r="C18" s="159">
        <v>6</v>
      </c>
      <c r="D18" s="14">
        <v>1.4182999999999999</v>
      </c>
      <c r="E18" s="157">
        <f>AVERAGE(D18:D19)</f>
        <v>1.41805</v>
      </c>
      <c r="F18" s="157">
        <f>E18/$E$20</f>
        <v>0.91498903084268934</v>
      </c>
      <c r="G18" s="19"/>
      <c r="H18" s="20"/>
      <c r="I18" s="4"/>
    </row>
    <row r="19" spans="1:9" x14ac:dyDescent="0.25">
      <c r="A19" s="48"/>
      <c r="B19" s="155"/>
      <c r="C19" s="160"/>
      <c r="D19" s="14">
        <v>1.4177999999999999</v>
      </c>
      <c r="E19" s="158"/>
      <c r="F19" s="158"/>
      <c r="G19" s="19"/>
      <c r="H19" s="20"/>
      <c r="I19" s="48"/>
    </row>
    <row r="20" spans="1:9" x14ac:dyDescent="0.25">
      <c r="A20" s="4"/>
      <c r="B20" s="155"/>
      <c r="C20" s="161">
        <v>10</v>
      </c>
      <c r="D20" s="14">
        <v>1.5495000000000001</v>
      </c>
      <c r="E20" s="157">
        <f>AVERAGE(D20:D21)</f>
        <v>1.5498000000000001</v>
      </c>
      <c r="F20" s="157">
        <f>E20/$E$20</f>
        <v>1</v>
      </c>
      <c r="G20" s="19"/>
      <c r="H20" s="20"/>
      <c r="I20" s="4"/>
    </row>
    <row r="21" spans="1:9" x14ac:dyDescent="0.25">
      <c r="A21" s="48"/>
      <c r="B21" s="155"/>
      <c r="C21" s="162"/>
      <c r="D21" s="14">
        <v>1.5501</v>
      </c>
      <c r="E21" s="158"/>
      <c r="F21" s="158"/>
      <c r="G21" s="19"/>
      <c r="H21" s="20"/>
      <c r="I21" s="48"/>
    </row>
    <row r="22" spans="1:9" x14ac:dyDescent="0.25">
      <c r="A22" s="4"/>
      <c r="B22" s="155"/>
      <c r="C22" s="159">
        <v>15</v>
      </c>
      <c r="D22" s="14">
        <v>1.6573</v>
      </c>
      <c r="E22" s="157">
        <f>AVERAGE(D22:D23)</f>
        <v>1.6569500000000001</v>
      </c>
      <c r="F22" s="157">
        <f>E22/$E$20</f>
        <v>1.0691379532842948</v>
      </c>
      <c r="G22" s="19"/>
      <c r="H22" s="20"/>
      <c r="I22" s="4"/>
    </row>
    <row r="23" spans="1:9" x14ac:dyDescent="0.25">
      <c r="A23" s="48"/>
      <c r="B23" s="155"/>
      <c r="C23" s="160"/>
      <c r="D23" s="14">
        <v>1.6566000000000001</v>
      </c>
      <c r="E23" s="158"/>
      <c r="F23" s="158"/>
      <c r="G23" s="19"/>
      <c r="H23" s="20"/>
      <c r="I23" s="48"/>
    </row>
    <row r="24" spans="1:9" x14ac:dyDescent="0.25">
      <c r="A24" s="4"/>
      <c r="B24" s="155"/>
      <c r="C24" s="159">
        <v>20</v>
      </c>
      <c r="D24" s="14">
        <v>1.7321</v>
      </c>
      <c r="E24" s="157">
        <f>AVERAGE(D24:D25)</f>
        <v>1.732</v>
      </c>
      <c r="F24" s="157">
        <f>E24/$E$20</f>
        <v>1.1175635565879467</v>
      </c>
      <c r="G24" s="19"/>
      <c r="H24" s="20"/>
      <c r="I24" s="4"/>
    </row>
    <row r="25" spans="1:9" x14ac:dyDescent="0.25">
      <c r="A25" s="48"/>
      <c r="B25" s="155"/>
      <c r="C25" s="160"/>
      <c r="D25" s="14">
        <v>1.7319</v>
      </c>
      <c r="E25" s="158"/>
      <c r="F25" s="158"/>
      <c r="G25" s="19"/>
      <c r="H25" s="20"/>
      <c r="I25" s="48"/>
    </row>
    <row r="26" spans="1:9" x14ac:dyDescent="0.25">
      <c r="A26" s="48"/>
      <c r="B26" s="155"/>
      <c r="C26" s="159">
        <v>30</v>
      </c>
      <c r="D26" s="14">
        <v>1.8520000000000001</v>
      </c>
      <c r="E26" s="157">
        <f t="shared" ref="E26" si="0">AVERAGE(D26:D27)</f>
        <v>1.8517999999999999</v>
      </c>
      <c r="F26" s="157">
        <f>E26/$E$20</f>
        <v>1.1948638534004385</v>
      </c>
      <c r="G26" s="19"/>
      <c r="H26" s="20"/>
      <c r="I26" s="48"/>
    </row>
    <row r="27" spans="1:9" x14ac:dyDescent="0.25">
      <c r="A27" s="48"/>
      <c r="B27" s="156"/>
      <c r="C27" s="160"/>
      <c r="D27" s="14">
        <v>1.8515999999999999</v>
      </c>
      <c r="E27" s="158"/>
      <c r="F27" s="158"/>
      <c r="G27" s="19"/>
      <c r="H27" s="20"/>
      <c r="I27" s="48"/>
    </row>
    <row r="28" spans="1:9" x14ac:dyDescent="0.25">
      <c r="A28" s="4"/>
      <c r="B28" s="154" t="s">
        <v>17</v>
      </c>
      <c r="C28" s="159">
        <v>3</v>
      </c>
      <c r="D28" s="14">
        <v>1.2947</v>
      </c>
      <c r="E28" s="157">
        <f>AVERAGE(D28:D29)</f>
        <v>1.2944499999999999</v>
      </c>
      <c r="F28" s="157">
        <f>E28/$E$32</f>
        <v>0.82998845857912273</v>
      </c>
      <c r="G28" s="19"/>
      <c r="H28" s="20"/>
      <c r="I28" s="4"/>
    </row>
    <row r="29" spans="1:9" x14ac:dyDescent="0.25">
      <c r="A29" s="47"/>
      <c r="B29" s="155"/>
      <c r="C29" s="160"/>
      <c r="D29" s="14">
        <v>1.2942</v>
      </c>
      <c r="E29" s="158"/>
      <c r="F29" s="158"/>
      <c r="G29" s="19"/>
      <c r="H29" s="20"/>
      <c r="I29" s="47"/>
    </row>
    <row r="30" spans="1:9" x14ac:dyDescent="0.25">
      <c r="A30" s="4"/>
      <c r="B30" s="155"/>
      <c r="C30" s="159">
        <v>6</v>
      </c>
      <c r="D30" s="14">
        <v>1.4328000000000001</v>
      </c>
      <c r="E30" s="157">
        <f t="shared" ref="E30" si="1">AVERAGE(D30:D31)</f>
        <v>1.4326500000000002</v>
      </c>
      <c r="F30" s="157">
        <f>E30/$E$32</f>
        <v>0.91860092331367027</v>
      </c>
      <c r="G30" s="19"/>
      <c r="H30" s="20"/>
      <c r="I30" s="4"/>
    </row>
    <row r="31" spans="1:9" x14ac:dyDescent="0.25">
      <c r="A31" s="47"/>
      <c r="B31" s="155"/>
      <c r="C31" s="160"/>
      <c r="D31" s="14">
        <v>1.4325000000000001</v>
      </c>
      <c r="E31" s="158"/>
      <c r="F31" s="158"/>
      <c r="G31" s="19"/>
      <c r="H31" s="20"/>
      <c r="I31" s="47"/>
    </row>
    <row r="32" spans="1:9" x14ac:dyDescent="0.25">
      <c r="A32" s="4"/>
      <c r="B32" s="155"/>
      <c r="C32" s="161">
        <v>10</v>
      </c>
      <c r="D32" s="14">
        <v>1.5596000000000001</v>
      </c>
      <c r="E32" s="157">
        <f t="shared" ref="E32" si="2">AVERAGE(D32:D33)</f>
        <v>1.5596000000000001</v>
      </c>
      <c r="F32" s="157">
        <f>E32/$E$32</f>
        <v>1</v>
      </c>
      <c r="G32" s="19"/>
      <c r="H32" s="20"/>
      <c r="I32" s="4"/>
    </row>
    <row r="33" spans="1:9" x14ac:dyDescent="0.25">
      <c r="A33" s="47"/>
      <c r="B33" s="155"/>
      <c r="C33" s="162"/>
      <c r="D33" s="14">
        <v>1.5596000000000001</v>
      </c>
      <c r="E33" s="158"/>
      <c r="F33" s="158"/>
      <c r="G33" s="19"/>
      <c r="H33" s="20"/>
      <c r="I33" s="47"/>
    </row>
    <row r="34" spans="1:9" ht="15.75" customHeight="1" x14ac:dyDescent="0.25">
      <c r="A34" s="4"/>
      <c r="B34" s="155"/>
      <c r="C34" s="159">
        <v>15</v>
      </c>
      <c r="D34" s="14">
        <v>1.6645000000000001</v>
      </c>
      <c r="E34" s="157">
        <f t="shared" ref="E34" si="3">AVERAGE(D34:D35)</f>
        <v>1.6644000000000001</v>
      </c>
      <c r="F34" s="157">
        <f>E34/$E$32</f>
        <v>1.0671967171069505</v>
      </c>
      <c r="G34" s="19"/>
      <c r="H34" s="20"/>
      <c r="I34" s="4"/>
    </row>
    <row r="35" spans="1:9" ht="15.75" customHeight="1" x14ac:dyDescent="0.25">
      <c r="A35" s="47"/>
      <c r="B35" s="155"/>
      <c r="C35" s="160"/>
      <c r="D35" s="14">
        <v>1.6642999999999999</v>
      </c>
      <c r="E35" s="158"/>
      <c r="F35" s="158"/>
      <c r="G35" s="19"/>
      <c r="H35" s="20"/>
      <c r="I35" s="47"/>
    </row>
    <row r="36" spans="1:9" x14ac:dyDescent="0.25">
      <c r="A36" s="4"/>
      <c r="B36" s="155"/>
      <c r="C36" s="159">
        <v>20</v>
      </c>
      <c r="D36" s="14">
        <v>1.7422</v>
      </c>
      <c r="E36" s="157">
        <f t="shared" ref="E36" si="4">AVERAGE(D36:D37)</f>
        <v>1.742</v>
      </c>
      <c r="F36" s="157">
        <f>E36/$E$32</f>
        <v>1.1169530648884329</v>
      </c>
      <c r="G36" s="19"/>
      <c r="H36" s="20"/>
      <c r="I36" s="4"/>
    </row>
    <row r="37" spans="1:9" x14ac:dyDescent="0.25">
      <c r="A37" s="47"/>
      <c r="B37" s="155"/>
      <c r="C37" s="160"/>
      <c r="D37" s="14">
        <v>1.7418</v>
      </c>
      <c r="E37" s="158"/>
      <c r="F37" s="158"/>
      <c r="G37" s="19"/>
      <c r="H37" s="20"/>
      <c r="I37" s="47"/>
    </row>
    <row r="38" spans="1:9" x14ac:dyDescent="0.25">
      <c r="A38" s="47"/>
      <c r="B38" s="155"/>
      <c r="C38" s="159">
        <v>30</v>
      </c>
      <c r="D38" s="14">
        <v>1.8625</v>
      </c>
      <c r="E38" s="157">
        <f t="shared" ref="E38" si="5">AVERAGE(D38:D39)</f>
        <v>1.8618000000000001</v>
      </c>
      <c r="F38" s="157">
        <f>E38/$E$32</f>
        <v>1.19376763272634</v>
      </c>
      <c r="G38" s="19"/>
      <c r="H38" s="20"/>
      <c r="I38" s="47"/>
    </row>
    <row r="39" spans="1:9" x14ac:dyDescent="0.25">
      <c r="A39" s="47"/>
      <c r="B39" s="156"/>
      <c r="C39" s="160"/>
      <c r="D39" s="14">
        <v>1.8611</v>
      </c>
      <c r="E39" s="158"/>
      <c r="F39" s="158"/>
      <c r="G39" s="19"/>
      <c r="H39" s="20"/>
      <c r="I39" s="47"/>
    </row>
    <row r="40" spans="1:9" x14ac:dyDescent="0.25">
      <c r="A40" s="4"/>
      <c r="B40" s="151" t="s">
        <v>18</v>
      </c>
      <c r="C40" s="159">
        <v>3</v>
      </c>
      <c r="D40" s="14">
        <v>1.2509999999999999</v>
      </c>
      <c r="E40" s="157">
        <f t="shared" ref="E40" si="6">AVERAGE(D40:D41)</f>
        <v>1.2513999999999998</v>
      </c>
      <c r="F40" s="157">
        <f>E40/$E$44</f>
        <v>0.84311942058278588</v>
      </c>
      <c r="G40" s="19"/>
      <c r="H40" s="20"/>
      <c r="I40" s="4"/>
    </row>
    <row r="41" spans="1:9" x14ac:dyDescent="0.25">
      <c r="A41" s="47"/>
      <c r="B41" s="152"/>
      <c r="C41" s="160"/>
      <c r="D41" s="14">
        <v>1.2518</v>
      </c>
      <c r="E41" s="158"/>
      <c r="F41" s="158"/>
      <c r="G41" s="19"/>
      <c r="H41" s="20"/>
      <c r="I41" s="47"/>
    </row>
    <row r="42" spans="1:9" x14ac:dyDescent="0.25">
      <c r="A42" s="4"/>
      <c r="B42" s="152"/>
      <c r="C42" s="159">
        <v>6</v>
      </c>
      <c r="D42" s="14">
        <v>1.3774</v>
      </c>
      <c r="E42" s="157">
        <f t="shared" ref="E42" si="7">AVERAGE(D42:D43)</f>
        <v>1.3772500000000001</v>
      </c>
      <c r="F42" s="157">
        <f t="shared" ref="F42" si="8">E42/$E$44</f>
        <v>0.92790971871315497</v>
      </c>
      <c r="G42" s="19"/>
      <c r="H42" s="20"/>
      <c r="I42" s="4"/>
    </row>
    <row r="43" spans="1:9" x14ac:dyDescent="0.25">
      <c r="A43" s="47"/>
      <c r="B43" s="152"/>
      <c r="C43" s="160"/>
      <c r="D43" s="14">
        <v>1.3771</v>
      </c>
      <c r="E43" s="158"/>
      <c r="F43" s="158"/>
      <c r="G43" s="19"/>
      <c r="H43" s="20"/>
      <c r="I43" s="47"/>
    </row>
    <row r="44" spans="1:9" x14ac:dyDescent="0.25">
      <c r="A44" s="4"/>
      <c r="B44" s="152"/>
      <c r="C44" s="161">
        <v>10</v>
      </c>
      <c r="D44" s="14">
        <v>1.4841</v>
      </c>
      <c r="E44" s="157">
        <f t="shared" ref="E44" si="9">AVERAGE(D44:D45)</f>
        <v>1.4842499999999998</v>
      </c>
      <c r="F44" s="157">
        <f t="shared" ref="F44" si="10">E44/$E$44</f>
        <v>1</v>
      </c>
      <c r="G44" s="19"/>
      <c r="H44" s="20"/>
      <c r="I44" s="4"/>
    </row>
    <row r="45" spans="1:9" x14ac:dyDescent="0.25">
      <c r="A45" s="47"/>
      <c r="B45" s="152"/>
      <c r="C45" s="162"/>
      <c r="D45" s="14">
        <v>1.4843999999999999</v>
      </c>
      <c r="E45" s="158"/>
      <c r="F45" s="158"/>
      <c r="G45" s="19"/>
      <c r="H45" s="20"/>
      <c r="I45" s="47"/>
    </row>
    <row r="46" spans="1:9" x14ac:dyDescent="0.25">
      <c r="A46" s="4"/>
      <c r="B46" s="152"/>
      <c r="C46" s="159">
        <v>15</v>
      </c>
      <c r="D46" s="14">
        <v>1.5663</v>
      </c>
      <c r="E46" s="157">
        <f t="shared" ref="E46" si="11">AVERAGE(D46:D47)</f>
        <v>1.5665</v>
      </c>
      <c r="F46" s="157">
        <f t="shared" ref="F46" si="12">E46/$E$44</f>
        <v>1.0554151928583462</v>
      </c>
      <c r="G46" s="19"/>
      <c r="H46" s="20"/>
      <c r="I46" s="4"/>
    </row>
    <row r="47" spans="1:9" x14ac:dyDescent="0.25">
      <c r="A47" s="47"/>
      <c r="B47" s="152"/>
      <c r="C47" s="160"/>
      <c r="D47" s="14">
        <v>1.5667</v>
      </c>
      <c r="E47" s="158"/>
      <c r="F47" s="158"/>
      <c r="G47" s="19"/>
      <c r="H47" s="20"/>
      <c r="I47" s="47"/>
    </row>
    <row r="48" spans="1:9" x14ac:dyDescent="0.25">
      <c r="A48" s="4"/>
      <c r="B48" s="152"/>
      <c r="C48" s="159">
        <v>20</v>
      </c>
      <c r="D48" s="14">
        <v>1.6221000000000001</v>
      </c>
      <c r="E48" s="157">
        <f t="shared" ref="E48" si="13">AVERAGE(D48:D49)</f>
        <v>1.6222000000000001</v>
      </c>
      <c r="F48" s="157">
        <f t="shared" ref="F48" si="14">E48/$E$44</f>
        <v>1.092942563584302</v>
      </c>
      <c r="G48" s="19"/>
      <c r="H48" s="20"/>
      <c r="I48" s="4"/>
    </row>
    <row r="49" spans="1:9" x14ac:dyDescent="0.25">
      <c r="A49" s="47"/>
      <c r="B49" s="152"/>
      <c r="C49" s="160"/>
      <c r="D49" s="14">
        <v>1.6223000000000001</v>
      </c>
      <c r="E49" s="158"/>
      <c r="F49" s="158"/>
      <c r="G49" s="19"/>
      <c r="H49" s="20"/>
      <c r="I49" s="47"/>
    </row>
    <row r="50" spans="1:9" x14ac:dyDescent="0.25">
      <c r="A50" s="47"/>
      <c r="B50" s="152"/>
      <c r="C50" s="159">
        <v>30</v>
      </c>
      <c r="D50" s="14">
        <v>1.6950000000000001</v>
      </c>
      <c r="E50" s="157">
        <f>AVERAGE(D50:D51)</f>
        <v>1.6957</v>
      </c>
      <c r="F50" s="157">
        <f>E50/$E$44</f>
        <v>1.1424625231598451</v>
      </c>
      <c r="G50" s="19"/>
      <c r="H50" s="20"/>
      <c r="I50" s="47"/>
    </row>
    <row r="51" spans="1:9" x14ac:dyDescent="0.25">
      <c r="A51" s="47"/>
      <c r="B51" s="153"/>
      <c r="C51" s="160"/>
      <c r="D51" s="14">
        <v>1.6963999999999999</v>
      </c>
      <c r="E51" s="158"/>
      <c r="F51" s="158"/>
      <c r="G51" s="19"/>
      <c r="H51" s="20"/>
      <c r="I51" s="47"/>
    </row>
    <row r="52" spans="1:9" x14ac:dyDescent="0.25">
      <c r="A52" s="4"/>
      <c r="B52" s="151" t="s">
        <v>19</v>
      </c>
      <c r="C52" s="159">
        <v>3</v>
      </c>
      <c r="D52" s="14">
        <v>1.5939000000000001</v>
      </c>
      <c r="E52" s="157">
        <f>AVERAGE(D52:D53)</f>
        <v>1.5943000000000001</v>
      </c>
      <c r="F52" s="157">
        <f>E52/$E$56</f>
        <v>0.83782647537968369</v>
      </c>
      <c r="G52" s="19"/>
      <c r="H52" s="20"/>
      <c r="I52" s="4"/>
    </row>
    <row r="53" spans="1:9" x14ac:dyDescent="0.25">
      <c r="A53" s="48"/>
      <c r="B53" s="152"/>
      <c r="C53" s="160"/>
      <c r="D53" s="21">
        <v>1.5947</v>
      </c>
      <c r="E53" s="158"/>
      <c r="F53" s="158"/>
      <c r="G53" s="19"/>
      <c r="H53" s="20"/>
      <c r="I53" s="48"/>
    </row>
    <row r="54" spans="1:9" x14ac:dyDescent="0.25">
      <c r="A54" s="4"/>
      <c r="B54" s="152"/>
      <c r="C54" s="159">
        <v>6</v>
      </c>
      <c r="D54" s="21">
        <v>1.7922</v>
      </c>
      <c r="E54" s="157">
        <f>AVERAGE(D54:D55)</f>
        <v>1.7924500000000001</v>
      </c>
      <c r="F54" s="157">
        <f>E54/$E$56</f>
        <v>0.94195701298018819</v>
      </c>
      <c r="G54" s="19"/>
      <c r="H54" s="20"/>
      <c r="I54" s="4"/>
    </row>
    <row r="55" spans="1:9" x14ac:dyDescent="0.25">
      <c r="A55" s="48"/>
      <c r="B55" s="152"/>
      <c r="C55" s="160"/>
      <c r="D55" s="21">
        <v>1.7927</v>
      </c>
      <c r="E55" s="158"/>
      <c r="F55" s="158"/>
      <c r="G55" s="19"/>
      <c r="H55" s="20"/>
      <c r="I55" s="48"/>
    </row>
    <row r="56" spans="1:9" x14ac:dyDescent="0.25">
      <c r="A56" s="4"/>
      <c r="B56" s="152"/>
      <c r="C56" s="161">
        <v>10</v>
      </c>
      <c r="D56" s="14">
        <v>1.9033</v>
      </c>
      <c r="E56" s="157">
        <f>AVERAGE(D56:D57)</f>
        <v>1.9029</v>
      </c>
      <c r="F56" s="157">
        <f>E56/$E$56</f>
        <v>1</v>
      </c>
      <c r="G56" s="19"/>
      <c r="H56" s="20"/>
      <c r="I56" s="4"/>
    </row>
    <row r="57" spans="1:9" x14ac:dyDescent="0.25">
      <c r="A57" s="48"/>
      <c r="B57" s="152"/>
      <c r="C57" s="162"/>
      <c r="D57" s="14">
        <v>1.9025000000000001</v>
      </c>
      <c r="E57" s="158"/>
      <c r="F57" s="158"/>
      <c r="G57" s="19"/>
      <c r="H57" s="20"/>
      <c r="I57" s="48"/>
    </row>
    <row r="58" spans="1:9" x14ac:dyDescent="0.25">
      <c r="A58" s="4"/>
      <c r="B58" s="152"/>
      <c r="C58" s="159">
        <v>15</v>
      </c>
      <c r="D58" s="14">
        <v>1.9782999999999999</v>
      </c>
      <c r="E58" s="157">
        <f>AVERAGE(D58:D59)</f>
        <v>1.9781499999999999</v>
      </c>
      <c r="F58" s="157">
        <f>E58/$E$56</f>
        <v>1.0395449051447789</v>
      </c>
      <c r="G58" s="19"/>
      <c r="H58" s="20"/>
      <c r="I58" s="4"/>
    </row>
    <row r="59" spans="1:9" x14ac:dyDescent="0.25">
      <c r="A59" s="48"/>
      <c r="B59" s="152"/>
      <c r="C59" s="160"/>
      <c r="D59" s="22">
        <v>1.978</v>
      </c>
      <c r="E59" s="158"/>
      <c r="F59" s="158"/>
      <c r="G59" s="19"/>
      <c r="H59" s="20"/>
      <c r="I59" s="48"/>
    </row>
    <row r="60" spans="1:9" x14ac:dyDescent="0.25">
      <c r="A60" s="4"/>
      <c r="B60" s="152"/>
      <c r="C60" s="159">
        <v>20</v>
      </c>
      <c r="D60" s="22">
        <v>2.0282</v>
      </c>
      <c r="E60" s="157">
        <f>AVERAGE(D60:D61)</f>
        <v>2.0297000000000001</v>
      </c>
      <c r="F60" s="157">
        <f>E60/$E$56</f>
        <v>1.0666351358452888</v>
      </c>
      <c r="G60" s="19"/>
      <c r="H60" s="20"/>
      <c r="I60" s="4"/>
    </row>
    <row r="61" spans="1:9" x14ac:dyDescent="0.25">
      <c r="A61" s="50"/>
      <c r="B61" s="152"/>
      <c r="C61" s="160"/>
      <c r="D61" s="14">
        <v>2.0312000000000001</v>
      </c>
      <c r="E61" s="158"/>
      <c r="F61" s="158"/>
      <c r="G61" s="19"/>
      <c r="H61" s="20"/>
      <c r="I61" s="48"/>
    </row>
    <row r="62" spans="1:9" x14ac:dyDescent="0.25">
      <c r="A62" s="50"/>
      <c r="B62" s="152"/>
      <c r="C62" s="159">
        <v>30</v>
      </c>
      <c r="D62" s="14">
        <v>2.1137999999999999</v>
      </c>
      <c r="E62" s="157">
        <f>AVERAGE(D62:D63)</f>
        <v>2.1133999999999999</v>
      </c>
      <c r="F62" s="157">
        <f>E62/$E$56</f>
        <v>1.1106206316674549</v>
      </c>
      <c r="G62" s="19"/>
      <c r="H62" s="20"/>
      <c r="I62" s="48"/>
    </row>
    <row r="63" spans="1:9" x14ac:dyDescent="0.25">
      <c r="A63" s="50"/>
      <c r="B63" s="153"/>
      <c r="C63" s="160"/>
      <c r="D63" s="22">
        <v>2.113</v>
      </c>
      <c r="E63" s="158"/>
      <c r="F63" s="158"/>
      <c r="G63" s="19"/>
      <c r="H63" s="20"/>
      <c r="I63" s="48"/>
    </row>
    <row r="64" spans="1:9" x14ac:dyDescent="0.25">
      <c r="A64" s="4"/>
      <c r="B64" s="4"/>
      <c r="C64" s="4"/>
      <c r="D64" s="4"/>
      <c r="E64" s="48"/>
      <c r="F64" s="4"/>
      <c r="G64" s="4"/>
      <c r="H64" s="4"/>
    </row>
    <row r="65" spans="2:6" x14ac:dyDescent="0.25">
      <c r="B65" s="163" t="s">
        <v>28</v>
      </c>
      <c r="C65" s="163"/>
    </row>
    <row r="67" spans="2:6" ht="30" x14ac:dyDescent="0.25">
      <c r="B67" s="2" t="s">
        <v>28</v>
      </c>
      <c r="C67" s="2" t="s">
        <v>48</v>
      </c>
      <c r="D67" s="1" t="s">
        <v>46</v>
      </c>
      <c r="E67" s="49"/>
      <c r="F67" s="1" t="s">
        <v>47</v>
      </c>
    </row>
    <row r="68" spans="2:6" x14ac:dyDescent="0.25">
      <c r="B68" s="154" t="s">
        <v>2</v>
      </c>
      <c r="C68" s="23">
        <v>3</v>
      </c>
      <c r="D68" s="14"/>
      <c r="E68" s="14"/>
      <c r="F68" s="14" t="e">
        <f>D68/$C$11</f>
        <v>#DIV/0!</v>
      </c>
    </row>
    <row r="69" spans="2:6" x14ac:dyDescent="0.25">
      <c r="B69" s="155"/>
      <c r="C69" s="23">
        <v>6</v>
      </c>
      <c r="D69" s="14"/>
      <c r="E69" s="14"/>
      <c r="F69" s="14" t="e">
        <f t="shared" ref="F69:F77" si="15">D69/$C$11</f>
        <v>#DIV/0!</v>
      </c>
    </row>
    <row r="70" spans="2:6" x14ac:dyDescent="0.25">
      <c r="B70" s="155"/>
      <c r="C70" s="24">
        <v>10</v>
      </c>
      <c r="D70" s="14"/>
      <c r="E70" s="14"/>
      <c r="F70" s="14" t="e">
        <f t="shared" si="15"/>
        <v>#DIV/0!</v>
      </c>
    </row>
    <row r="71" spans="2:6" x14ac:dyDescent="0.25">
      <c r="B71" s="155"/>
      <c r="C71" s="23">
        <v>15</v>
      </c>
      <c r="D71" s="14"/>
      <c r="E71" s="14"/>
      <c r="F71" s="14" t="e">
        <f t="shared" si="15"/>
        <v>#DIV/0!</v>
      </c>
    </row>
    <row r="72" spans="2:6" x14ac:dyDescent="0.25">
      <c r="B72" s="156"/>
      <c r="C72" s="23">
        <v>20</v>
      </c>
      <c r="D72" s="14"/>
      <c r="E72" s="14"/>
      <c r="F72" s="14" t="e">
        <f t="shared" si="15"/>
        <v>#DIV/0!</v>
      </c>
    </row>
    <row r="73" spans="2:6" x14ac:dyDescent="0.25">
      <c r="B73" s="151" t="s">
        <v>29</v>
      </c>
      <c r="C73" s="23">
        <v>3</v>
      </c>
      <c r="D73" s="14"/>
      <c r="E73" s="14"/>
      <c r="F73" s="14" t="e">
        <f t="shared" si="15"/>
        <v>#DIV/0!</v>
      </c>
    </row>
    <row r="74" spans="2:6" x14ac:dyDescent="0.25">
      <c r="B74" s="152"/>
      <c r="C74" s="23">
        <v>6</v>
      </c>
      <c r="D74" s="14"/>
      <c r="E74" s="14"/>
      <c r="F74" s="14" t="e">
        <f t="shared" si="15"/>
        <v>#DIV/0!</v>
      </c>
    </row>
    <row r="75" spans="2:6" x14ac:dyDescent="0.25">
      <c r="B75" s="152"/>
      <c r="C75" s="24">
        <v>10</v>
      </c>
      <c r="D75" s="14"/>
      <c r="E75" s="14"/>
      <c r="F75" s="14" t="e">
        <f t="shared" si="15"/>
        <v>#DIV/0!</v>
      </c>
    </row>
    <row r="76" spans="2:6" x14ac:dyDescent="0.25">
      <c r="B76" s="152"/>
      <c r="C76" s="23">
        <v>15</v>
      </c>
      <c r="D76" s="14"/>
      <c r="E76" s="14"/>
      <c r="F76" s="14" t="e">
        <f t="shared" si="15"/>
        <v>#DIV/0!</v>
      </c>
    </row>
    <row r="77" spans="2:6" x14ac:dyDescent="0.25">
      <c r="B77" s="153"/>
      <c r="C77" s="23">
        <v>20</v>
      </c>
      <c r="D77" s="14"/>
      <c r="E77" s="14"/>
      <c r="F77" s="14" t="e">
        <f t="shared" si="15"/>
        <v>#DIV/0!</v>
      </c>
    </row>
  </sheetData>
  <mergeCells count="82">
    <mergeCell ref="B68:B72"/>
    <mergeCell ref="B73:B77"/>
    <mergeCell ref="C2:H2"/>
    <mergeCell ref="B4:C4"/>
    <mergeCell ref="B13:C13"/>
    <mergeCell ref="B65:C65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B28:B39"/>
    <mergeCell ref="B16:B27"/>
    <mergeCell ref="C16:C17"/>
    <mergeCell ref="C18:C19"/>
    <mergeCell ref="C20:C21"/>
    <mergeCell ref="C22:C23"/>
    <mergeCell ref="C24:C25"/>
    <mergeCell ref="C26:C27"/>
    <mergeCell ref="C28:C29"/>
    <mergeCell ref="C42:C43"/>
    <mergeCell ref="C44:C45"/>
    <mergeCell ref="C46:C47"/>
    <mergeCell ref="C48:C49"/>
    <mergeCell ref="C30:C31"/>
    <mergeCell ref="C32:C33"/>
    <mergeCell ref="C34:C35"/>
    <mergeCell ref="C36:C37"/>
    <mergeCell ref="C38:C39"/>
    <mergeCell ref="C60:C61"/>
    <mergeCell ref="C62:C63"/>
    <mergeCell ref="B52:B63"/>
    <mergeCell ref="B40:B51"/>
    <mergeCell ref="E52:E53"/>
    <mergeCell ref="E54:E55"/>
    <mergeCell ref="E56:E57"/>
    <mergeCell ref="E58:E59"/>
    <mergeCell ref="E60:E61"/>
    <mergeCell ref="E62:E63"/>
    <mergeCell ref="C50:C51"/>
    <mergeCell ref="C52:C53"/>
    <mergeCell ref="C54:C55"/>
    <mergeCell ref="C56:C57"/>
    <mergeCell ref="C58:C59"/>
    <mergeCell ref="C40:C41"/>
    <mergeCell ref="E26:E27"/>
    <mergeCell ref="F16:F17"/>
    <mergeCell ref="F18:F19"/>
    <mergeCell ref="F20:F21"/>
    <mergeCell ref="F22:F23"/>
    <mergeCell ref="F24:F25"/>
    <mergeCell ref="F26:F27"/>
    <mergeCell ref="E16:E17"/>
    <mergeCell ref="E18:E19"/>
    <mergeCell ref="E20:E21"/>
    <mergeCell ref="E22:E23"/>
    <mergeCell ref="E24:E25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58:F59"/>
    <mergeCell ref="F60:F61"/>
    <mergeCell ref="F62:F63"/>
    <mergeCell ref="F48:F49"/>
    <mergeCell ref="F50:F51"/>
    <mergeCell ref="F52:F53"/>
    <mergeCell ref="F54:F55"/>
    <mergeCell ref="F56:F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"/>
  <sheetViews>
    <sheetView showGridLines="0" topLeftCell="A49" workbookViewId="0">
      <selection activeCell="L62" sqref="L62"/>
    </sheetView>
  </sheetViews>
  <sheetFormatPr baseColWidth="10" defaultRowHeight="15" x14ac:dyDescent="0.25"/>
  <cols>
    <col min="1" max="1" width="11.42578125" style="17"/>
    <col min="2" max="2" width="21.42578125" style="17" customWidth="1"/>
    <col min="3" max="3" width="16.42578125" style="17" customWidth="1"/>
    <col min="4" max="4" width="11.42578125" style="17"/>
    <col min="5" max="5" width="19.28515625" style="17" customWidth="1"/>
    <col min="6" max="6" width="12.28515625" style="17" bestFit="1" customWidth="1"/>
    <col min="7" max="9" width="11.42578125" style="17"/>
    <col min="10" max="10" width="12.28515625" style="17" bestFit="1" customWidth="1"/>
    <col min="11" max="11" width="11.42578125" style="17"/>
    <col min="12" max="12" width="12.28515625" style="17" bestFit="1" customWidth="1"/>
    <col min="13" max="16384" width="11.42578125" style="17"/>
  </cols>
  <sheetData>
    <row r="2" spans="2:11" x14ac:dyDescent="0.25">
      <c r="C2" s="146" t="s">
        <v>62</v>
      </c>
      <c r="D2" s="146"/>
      <c r="E2" s="146"/>
      <c r="F2" s="146"/>
      <c r="G2" s="146"/>
    </row>
    <row r="3" spans="2:11" ht="15.75" thickBot="1" x14ac:dyDescent="0.3"/>
    <row r="4" spans="2:11" ht="15.75" thickTop="1" x14ac:dyDescent="0.25">
      <c r="B4" s="147" t="s">
        <v>63</v>
      </c>
      <c r="C4" s="148"/>
      <c r="E4" s="200" t="s">
        <v>75</v>
      </c>
      <c r="F4" s="201"/>
    </row>
    <row r="5" spans="2:11" ht="30" x14ac:dyDescent="0.25">
      <c r="B5" s="5" t="s">
        <v>1</v>
      </c>
      <c r="C5" s="92" t="s">
        <v>152</v>
      </c>
      <c r="E5" s="39" t="s">
        <v>160</v>
      </c>
      <c r="F5" s="57">
        <v>5.3560000000000003E-2</v>
      </c>
    </row>
    <row r="6" spans="2:11" ht="30" x14ac:dyDescent="0.25">
      <c r="B6" s="5" t="s">
        <v>64</v>
      </c>
      <c r="C6" s="93" t="s">
        <v>65</v>
      </c>
      <c r="E6" s="39" t="s">
        <v>87</v>
      </c>
      <c r="F6" s="40">
        <v>1.1000000000000001</v>
      </c>
      <c r="G6" s="17" t="s">
        <v>135</v>
      </c>
    </row>
    <row r="7" spans="2:11" x14ac:dyDescent="0.25">
      <c r="B7" s="5" t="s">
        <v>155</v>
      </c>
      <c r="C7" s="93" t="s">
        <v>156</v>
      </c>
      <c r="E7" s="39" t="s">
        <v>76</v>
      </c>
      <c r="F7" s="40">
        <v>400</v>
      </c>
    </row>
    <row r="8" spans="2:11" x14ac:dyDescent="0.25">
      <c r="B8" s="5" t="s">
        <v>66</v>
      </c>
      <c r="C8" s="93" t="s">
        <v>67</v>
      </c>
      <c r="E8" s="60" t="s">
        <v>93</v>
      </c>
      <c r="F8" s="61">
        <v>20</v>
      </c>
    </row>
    <row r="9" spans="2:11" ht="15.75" thickBot="1" x14ac:dyDescent="0.3">
      <c r="B9" s="37" t="s">
        <v>86</v>
      </c>
      <c r="C9" s="94">
        <v>1E-3</v>
      </c>
      <c r="E9" s="59" t="s">
        <v>94</v>
      </c>
      <c r="F9" s="58">
        <v>1013.5</v>
      </c>
    </row>
    <row r="10" spans="2:11" ht="16.5" thickTop="1" thickBot="1" x14ac:dyDescent="0.3"/>
    <row r="11" spans="2:11" ht="16.5" thickTop="1" thickBot="1" x14ac:dyDescent="0.3">
      <c r="B11" s="200" t="s">
        <v>68</v>
      </c>
      <c r="C11" s="201"/>
    </row>
    <row r="12" spans="2:11" ht="45" customHeight="1" thickTop="1" x14ac:dyDescent="0.25">
      <c r="B12" s="39" t="s">
        <v>69</v>
      </c>
      <c r="C12" s="40" t="s">
        <v>6</v>
      </c>
      <c r="E12" s="102"/>
      <c r="F12" s="202" t="s">
        <v>157</v>
      </c>
      <c r="G12" s="203"/>
      <c r="H12" s="101"/>
      <c r="I12" s="111"/>
      <c r="J12" s="176" t="s">
        <v>161</v>
      </c>
      <c r="K12" s="177"/>
    </row>
    <row r="13" spans="2:11" ht="30" x14ac:dyDescent="0.25">
      <c r="B13" s="39" t="s">
        <v>74</v>
      </c>
      <c r="C13" s="40">
        <v>10</v>
      </c>
      <c r="E13" s="108"/>
      <c r="F13" s="105" t="s">
        <v>16</v>
      </c>
      <c r="G13" s="110" t="s">
        <v>19</v>
      </c>
      <c r="H13" s="101"/>
      <c r="I13" s="116" t="s">
        <v>10</v>
      </c>
      <c r="J13" s="101" t="s">
        <v>16</v>
      </c>
      <c r="K13" s="112" t="s">
        <v>19</v>
      </c>
    </row>
    <row r="14" spans="2:11" x14ac:dyDescent="0.25">
      <c r="B14" s="39" t="s">
        <v>52</v>
      </c>
      <c r="C14" s="40">
        <v>100</v>
      </c>
      <c r="E14" s="103" t="s">
        <v>158</v>
      </c>
      <c r="F14" s="104">
        <f>C34*F5*C43*G64*C79*J17</f>
        <v>1.5942265714859745</v>
      </c>
      <c r="G14" s="98">
        <f>D34*F5*C43*I64*E79*K17</f>
        <v>1.9136137520947707</v>
      </c>
      <c r="H14" s="97"/>
      <c r="I14" s="116" t="s">
        <v>13</v>
      </c>
      <c r="J14" s="96"/>
      <c r="K14" s="113"/>
    </row>
    <row r="15" spans="2:11" x14ac:dyDescent="0.25">
      <c r="B15" s="39" t="s">
        <v>70</v>
      </c>
      <c r="C15" s="40">
        <v>200</v>
      </c>
      <c r="E15" s="103" t="s">
        <v>164</v>
      </c>
      <c r="F15" s="106">
        <v>1.595</v>
      </c>
      <c r="G15" s="40">
        <v>1.911</v>
      </c>
      <c r="H15" s="96"/>
      <c r="I15" s="116" t="s">
        <v>14</v>
      </c>
      <c r="J15" s="96"/>
      <c r="K15" s="113"/>
    </row>
    <row r="16" spans="2:11" ht="15.75" thickBot="1" x14ac:dyDescent="0.3">
      <c r="B16" s="39" t="s">
        <v>71</v>
      </c>
      <c r="C16" s="40">
        <v>400</v>
      </c>
      <c r="E16" s="100" t="s">
        <v>159</v>
      </c>
      <c r="F16" s="107">
        <f>(F15-F14)/F15*100</f>
        <v>4.8490815926364221E-2</v>
      </c>
      <c r="G16" s="99">
        <f>(G15-G14)/G15*100</f>
        <v>-0.13677404996183465</v>
      </c>
      <c r="H16" s="109"/>
      <c r="I16" s="116" t="s">
        <v>162</v>
      </c>
      <c r="J16" s="96">
        <v>0.66400000000000003</v>
      </c>
      <c r="K16" s="113">
        <v>0.78100000000000003</v>
      </c>
    </row>
    <row r="17" spans="2:15" ht="31.5" thickTop="1" thickBot="1" x14ac:dyDescent="0.3">
      <c r="B17" s="41" t="s">
        <v>72</v>
      </c>
      <c r="C17" s="42" t="s">
        <v>73</v>
      </c>
      <c r="I17" s="100" t="s">
        <v>163</v>
      </c>
      <c r="J17" s="114">
        <v>0.99199999999999999</v>
      </c>
      <c r="K17" s="115">
        <v>0.96799999999999997</v>
      </c>
    </row>
    <row r="18" spans="2:15" ht="15.75" thickTop="1" x14ac:dyDescent="0.25"/>
    <row r="20" spans="2:15" s="51" customFormat="1" ht="15.75" thickBot="1" x14ac:dyDescent="0.3">
      <c r="B20" s="43" t="s">
        <v>77</v>
      </c>
      <c r="C20" s="17"/>
    </row>
    <row r="21" spans="2:15" ht="15.75" thickTop="1" x14ac:dyDescent="0.25">
      <c r="B21" s="55"/>
      <c r="C21" s="51"/>
      <c r="D21" s="51"/>
      <c r="M21" s="111"/>
      <c r="N21" s="119" t="s">
        <v>16</v>
      </c>
      <c r="O21" s="120" t="s">
        <v>19</v>
      </c>
    </row>
    <row r="22" spans="2:15" ht="30.75" customHeight="1" x14ac:dyDescent="0.25">
      <c r="B22" s="95"/>
      <c r="C22" s="51"/>
      <c r="D22" s="51"/>
      <c r="F22" s="199" t="s">
        <v>78</v>
      </c>
      <c r="G22" s="199"/>
      <c r="H22" s="199" t="s">
        <v>79</v>
      </c>
      <c r="I22" s="199"/>
      <c r="J22" s="191" t="s">
        <v>80</v>
      </c>
      <c r="K22" s="207"/>
      <c r="M22" s="175" t="s">
        <v>165</v>
      </c>
      <c r="N22" s="96">
        <f>C24-$C$34</f>
        <v>3.7000000000002586E-2</v>
      </c>
      <c r="O22" s="113">
        <f>D24-$D$34</f>
        <v>3.9000000000001478E-2</v>
      </c>
    </row>
    <row r="23" spans="2:15" x14ac:dyDescent="0.25">
      <c r="C23" s="52" t="s">
        <v>16</v>
      </c>
      <c r="D23" s="52" t="s">
        <v>19</v>
      </c>
      <c r="F23" s="208" t="s">
        <v>81</v>
      </c>
      <c r="G23" s="210">
        <f>IF(C26&lt;&gt;"",STDEV(C24:C33),"")</f>
        <v>1.3374935098492491E-2</v>
      </c>
      <c r="H23" s="208" t="s">
        <v>82</v>
      </c>
      <c r="I23" s="204">
        <f>IF(C33&lt;&gt;"",C9/SQRT(3),"")</f>
        <v>5.773502691896258E-4</v>
      </c>
      <c r="J23" s="213">
        <f>IF(I26&lt;&gt;"",SQRT(G27^2+I26^2),"")</f>
        <v>7.7504005917973361E-3</v>
      </c>
      <c r="K23" s="214"/>
      <c r="M23" s="175"/>
      <c r="N23" s="96">
        <f>C25-$C$34</f>
        <v>-2.999999999996561E-3</v>
      </c>
      <c r="O23" s="113">
        <f t="shared" ref="O23:O31" si="0">D25-$D$34</f>
        <v>-1.1000000000002785E-2</v>
      </c>
    </row>
    <row r="24" spans="2:15" x14ac:dyDescent="0.25">
      <c r="B24" s="199" t="s">
        <v>153</v>
      </c>
      <c r="C24" s="14">
        <v>29.89</v>
      </c>
      <c r="D24" s="14">
        <v>36.700000000000003</v>
      </c>
      <c r="F24" s="209"/>
      <c r="G24" s="211"/>
      <c r="H24" s="212"/>
      <c r="I24" s="205"/>
      <c r="J24" s="215"/>
      <c r="K24" s="216"/>
      <c r="M24" s="175"/>
      <c r="N24" s="96">
        <f t="shared" ref="N24:N31" si="1">C26-$C$34</f>
        <v>-2.999999999996561E-3</v>
      </c>
      <c r="O24" s="113">
        <f t="shared" si="0"/>
        <v>-1.1000000000002785E-2</v>
      </c>
    </row>
    <row r="25" spans="2:15" x14ac:dyDescent="0.25">
      <c r="B25" s="199"/>
      <c r="C25" s="14">
        <v>29.85</v>
      </c>
      <c r="D25" s="14">
        <v>36.65</v>
      </c>
      <c r="F25" s="208" t="s">
        <v>83</v>
      </c>
      <c r="G25" s="204">
        <f>IF(G23&lt;&gt;"",G23/(SQRT(COUNTA(C24:C33))),"")</f>
        <v>4.2295258468164768E-3</v>
      </c>
      <c r="H25" s="209"/>
      <c r="I25" s="206"/>
      <c r="J25" s="215"/>
      <c r="K25" s="216"/>
      <c r="M25" s="175"/>
      <c r="N25" s="96">
        <f t="shared" si="1"/>
        <v>-2.999999999996561E-3</v>
      </c>
      <c r="O25" s="113">
        <f t="shared" si="0"/>
        <v>1.8999999999998352E-2</v>
      </c>
    </row>
    <row r="26" spans="2:15" x14ac:dyDescent="0.25">
      <c r="B26" s="199"/>
      <c r="C26" s="14">
        <v>29.85</v>
      </c>
      <c r="D26" s="14">
        <v>36.65</v>
      </c>
      <c r="F26" s="209"/>
      <c r="G26" s="206"/>
      <c r="H26" s="208" t="s">
        <v>84</v>
      </c>
      <c r="I26" s="204">
        <f>IF(I23&lt;&gt;"",I23*2,"")</f>
        <v>1.1547005383792516E-3</v>
      </c>
      <c r="J26" s="215"/>
      <c r="K26" s="216"/>
      <c r="M26" s="175"/>
      <c r="N26" s="96">
        <f>C28-$C$34</f>
        <v>-2.999999999996561E-3</v>
      </c>
      <c r="O26" s="113">
        <f>D28-$D$34</f>
        <v>-1.1000000000002785E-2</v>
      </c>
    </row>
    <row r="27" spans="2:15" x14ac:dyDescent="0.25">
      <c r="B27" s="199"/>
      <c r="C27" s="14">
        <v>29.85</v>
      </c>
      <c r="D27" s="14">
        <v>36.68</v>
      </c>
      <c r="F27" s="208" t="s">
        <v>85</v>
      </c>
      <c r="G27" s="210">
        <f>IF(G25&lt;&gt;"",G25*1.812,"")</f>
        <v>7.6639008344314558E-3</v>
      </c>
      <c r="H27" s="212"/>
      <c r="I27" s="205"/>
      <c r="J27" s="215"/>
      <c r="K27" s="216"/>
      <c r="M27" s="175"/>
      <c r="N27" s="96">
        <f t="shared" si="1"/>
        <v>-2.999999999996561E-3</v>
      </c>
      <c r="O27" s="113">
        <f t="shared" si="0"/>
        <v>-1.0000000000047748E-3</v>
      </c>
    </row>
    <row r="28" spans="2:15" x14ac:dyDescent="0.25">
      <c r="B28" s="199"/>
      <c r="C28" s="14">
        <v>29.85</v>
      </c>
      <c r="D28" s="14">
        <v>36.65</v>
      </c>
      <c r="F28" s="209"/>
      <c r="G28" s="211"/>
      <c r="H28" s="209"/>
      <c r="I28" s="206"/>
      <c r="J28" s="217"/>
      <c r="K28" s="218"/>
      <c r="M28" s="175"/>
      <c r="N28" s="96">
        <f t="shared" si="1"/>
        <v>-2.999999999996561E-3</v>
      </c>
      <c r="O28" s="113">
        <f t="shared" si="0"/>
        <v>-2.1000000000000796E-2</v>
      </c>
    </row>
    <row r="29" spans="2:15" x14ac:dyDescent="0.25">
      <c r="B29" s="199"/>
      <c r="C29" s="14">
        <v>29.85</v>
      </c>
      <c r="D29" s="14">
        <v>36.659999999999997</v>
      </c>
      <c r="M29" s="175"/>
      <c r="N29" s="96">
        <f t="shared" si="1"/>
        <v>-2.999999999996561E-3</v>
      </c>
      <c r="O29" s="113">
        <f t="shared" si="0"/>
        <v>-1.1000000000002785E-2</v>
      </c>
    </row>
    <row r="30" spans="2:15" x14ac:dyDescent="0.25">
      <c r="B30" s="199"/>
      <c r="C30" s="14">
        <v>29.85</v>
      </c>
      <c r="D30" s="14">
        <v>36.64</v>
      </c>
      <c r="M30" s="175"/>
      <c r="N30" s="96">
        <f t="shared" si="1"/>
        <v>-1.2999999999998124E-2</v>
      </c>
      <c r="O30" s="113">
        <f t="shared" si="0"/>
        <v>9.0000000000003411E-3</v>
      </c>
    </row>
    <row r="31" spans="2:15" x14ac:dyDescent="0.25">
      <c r="B31" s="199"/>
      <c r="C31" s="14">
        <v>29.85</v>
      </c>
      <c r="D31" s="14">
        <v>36.65</v>
      </c>
      <c r="M31" s="175"/>
      <c r="N31" s="96">
        <f t="shared" si="1"/>
        <v>-2.999999999996561E-3</v>
      </c>
      <c r="O31" s="113">
        <f t="shared" si="0"/>
        <v>-1.0000000000047748E-3</v>
      </c>
    </row>
    <row r="32" spans="2:15" ht="15.75" thickBot="1" x14ac:dyDescent="0.3">
      <c r="B32" s="199"/>
      <c r="C32" s="14">
        <v>29.84</v>
      </c>
      <c r="D32" s="14">
        <v>36.67</v>
      </c>
      <c r="M32" s="100" t="s">
        <v>83</v>
      </c>
      <c r="N32" s="122">
        <f>SQRT(SUMSQ(N22:N31)/(COUNTA(N22:N31)-1))/C34</f>
        <v>4.4802649979876371E-4</v>
      </c>
      <c r="O32" s="123">
        <f>SQRT(SUMSQ(O22:O31)/(COUNTA(O22:O31)-1))/D34</f>
        <v>4.8879117884460105E-4</v>
      </c>
    </row>
    <row r="33" spans="2:15" ht="15.75" thickTop="1" x14ac:dyDescent="0.25">
      <c r="B33" s="199"/>
      <c r="C33" s="14">
        <v>29.85</v>
      </c>
      <c r="D33" s="14">
        <v>36.659999999999997</v>
      </c>
      <c r="N33" s="118"/>
      <c r="O33" s="118"/>
    </row>
    <row r="34" spans="2:15" x14ac:dyDescent="0.25">
      <c r="B34" s="1" t="s">
        <v>154</v>
      </c>
      <c r="C34" s="38">
        <f>IF(C33&lt;&gt;"",AVERAGE(C24:C33),"")</f>
        <v>29.852999999999998</v>
      </c>
      <c r="D34" s="38">
        <f>IF(D33&lt;&gt;"",AVERAGE(D24:D33),"")</f>
        <v>36.661000000000001</v>
      </c>
    </row>
    <row r="35" spans="2:15" x14ac:dyDescent="0.25">
      <c r="D35" s="51"/>
    </row>
    <row r="37" spans="2:15" x14ac:dyDescent="0.25">
      <c r="B37" s="220" t="s">
        <v>88</v>
      </c>
      <c r="C37" s="220"/>
    </row>
    <row r="39" spans="2:15" x14ac:dyDescent="0.25">
      <c r="B39" s="219" t="s">
        <v>89</v>
      </c>
      <c r="C39" s="219"/>
      <c r="E39" s="27"/>
      <c r="F39" s="199" t="s">
        <v>79</v>
      </c>
      <c r="G39" s="199"/>
    </row>
    <row r="40" spans="2:15" x14ac:dyDescent="0.25">
      <c r="E40" s="208" t="s">
        <v>90</v>
      </c>
      <c r="F40" s="1" t="s">
        <v>82</v>
      </c>
      <c r="G40" s="121">
        <f>0.2/(C41*SQRT(12))</f>
        <v>2.8867513459481294E-3</v>
      </c>
    </row>
    <row r="41" spans="2:15" x14ac:dyDescent="0.25">
      <c r="B41" s="1" t="s">
        <v>93</v>
      </c>
      <c r="C41" s="44">
        <v>20</v>
      </c>
      <c r="E41" s="212"/>
      <c r="F41" s="208" t="s">
        <v>84</v>
      </c>
      <c r="G41" s="204">
        <f>IF(G40&lt;&gt;"",G40*2,"")</f>
        <v>5.7735026918962588E-3</v>
      </c>
    </row>
    <row r="42" spans="2:15" x14ac:dyDescent="0.25">
      <c r="B42" s="1" t="s">
        <v>94</v>
      </c>
      <c r="C42" s="44">
        <v>1012.5</v>
      </c>
      <c r="E42" s="209"/>
      <c r="F42" s="209"/>
      <c r="G42" s="206"/>
      <c r="L42" s="96"/>
    </row>
    <row r="43" spans="2:15" x14ac:dyDescent="0.25">
      <c r="B43" s="45" t="s">
        <v>92</v>
      </c>
      <c r="C43" s="117">
        <f>IF(C42&lt;&gt;"", (1013.25*(273.15+C41))/(C42*293.15),"")</f>
        <v>1.0007407407407407</v>
      </c>
      <c r="E43" s="208" t="s">
        <v>91</v>
      </c>
      <c r="F43" s="1" t="s">
        <v>82</v>
      </c>
      <c r="G43" s="121">
        <f>0.5/(C42*SQRT(12))</f>
        <v>1.4255562202212981E-4</v>
      </c>
    </row>
    <row r="44" spans="2:15" x14ac:dyDescent="0.25">
      <c r="E44" s="212"/>
      <c r="F44" s="208" t="s">
        <v>84</v>
      </c>
      <c r="G44" s="204">
        <f>IF(G43&lt;&gt;"",G43*2,"")</f>
        <v>2.8511124404425963E-4</v>
      </c>
    </row>
    <row r="45" spans="2:15" x14ac:dyDescent="0.25">
      <c r="E45" s="209"/>
      <c r="F45" s="209"/>
      <c r="G45" s="206"/>
    </row>
    <row r="47" spans="2:15" s="51" customFormat="1" x14ac:dyDescent="0.25">
      <c r="B47" s="219" t="s">
        <v>147</v>
      </c>
      <c r="C47" s="219"/>
      <c r="D47" s="17"/>
    </row>
    <row r="48" spans="2:15" s="51" customFormat="1" x14ac:dyDescent="0.25">
      <c r="B48" s="56"/>
      <c r="C48" s="56"/>
    </row>
    <row r="49" spans="1:15" s="51" customFormat="1" x14ac:dyDescent="0.25">
      <c r="B49" s="219"/>
      <c r="C49" s="219"/>
    </row>
    <row r="50" spans="1:15" s="51" customFormat="1" x14ac:dyDescent="0.25">
      <c r="B50" s="219"/>
      <c r="C50" s="219"/>
    </row>
    <row r="51" spans="1:15" s="51" customFormat="1" ht="15.75" thickBot="1" x14ac:dyDescent="0.3">
      <c r="B51" s="56"/>
      <c r="C51" s="56"/>
    </row>
    <row r="52" spans="1:15" s="51" customFormat="1" x14ac:dyDescent="0.25">
      <c r="B52" s="88" t="s">
        <v>144</v>
      </c>
      <c r="C52" s="89"/>
      <c r="D52" s="90"/>
    </row>
    <row r="53" spans="1:15" ht="15.75" thickBot="1" x14ac:dyDescent="0.3">
      <c r="B53" s="63">
        <v>1.022</v>
      </c>
      <c r="C53" s="64">
        <v>-0.36299999999999999</v>
      </c>
      <c r="D53" s="65">
        <v>0.34100000000000003</v>
      </c>
      <c r="E53" s="51"/>
      <c r="F53" s="51"/>
      <c r="G53" s="51"/>
      <c r="H53" s="51"/>
      <c r="I53" s="51"/>
      <c r="J53" s="51"/>
    </row>
    <row r="54" spans="1:15" x14ac:dyDescent="0.25">
      <c r="B54" s="87"/>
      <c r="C54" s="87"/>
      <c r="D54" s="87"/>
      <c r="E54" s="51"/>
      <c r="F54" s="51"/>
      <c r="G54" s="51"/>
      <c r="H54" s="51"/>
      <c r="I54" s="51"/>
      <c r="J54" s="51"/>
      <c r="K54" s="66"/>
      <c r="L54" s="66"/>
      <c r="M54" s="66"/>
      <c r="N54" s="66"/>
    </row>
    <row r="55" spans="1:15" ht="15.75" thickBot="1" x14ac:dyDescent="0.3">
      <c r="B55" s="19"/>
      <c r="C55" s="19"/>
      <c r="D55" s="19"/>
      <c r="E55" s="19"/>
      <c r="F55" s="19"/>
      <c r="G55" s="62"/>
      <c r="K55" s="19"/>
      <c r="L55" s="19"/>
      <c r="M55" s="19"/>
      <c r="N55" s="19"/>
    </row>
    <row r="56" spans="1:15" x14ac:dyDescent="0.25">
      <c r="B56" s="71" t="s">
        <v>136</v>
      </c>
      <c r="C56" s="183" t="s">
        <v>145</v>
      </c>
      <c r="D56" s="184"/>
      <c r="E56" s="184"/>
      <c r="F56" s="185"/>
      <c r="G56" s="221" t="s">
        <v>149</v>
      </c>
      <c r="H56" s="222"/>
      <c r="I56" s="222"/>
      <c r="J56" s="223"/>
      <c r="K56" s="19"/>
      <c r="L56" s="164" t="s">
        <v>165</v>
      </c>
      <c r="M56" s="164"/>
      <c r="N56" s="164"/>
      <c r="O56" s="164"/>
    </row>
    <row r="57" spans="1:15" ht="15.75" thickBot="1" x14ac:dyDescent="0.3">
      <c r="B57" s="72" t="s">
        <v>137</v>
      </c>
      <c r="C57" s="178">
        <v>11924</v>
      </c>
      <c r="D57" s="179"/>
      <c r="E57" s="179"/>
      <c r="F57" s="180"/>
      <c r="G57" s="224">
        <v>11924</v>
      </c>
      <c r="H57" s="225"/>
      <c r="I57" s="225"/>
      <c r="J57" s="226"/>
      <c r="K57" s="19"/>
      <c r="L57" s="164" t="s">
        <v>16</v>
      </c>
      <c r="M57" s="164"/>
      <c r="N57" s="164" t="s">
        <v>19</v>
      </c>
      <c r="O57" s="164"/>
    </row>
    <row r="58" spans="1:15" x14ac:dyDescent="0.25">
      <c r="B58" s="72" t="s">
        <v>10</v>
      </c>
      <c r="C58" s="193" t="s">
        <v>16</v>
      </c>
      <c r="D58" s="194"/>
      <c r="E58" s="195" t="s">
        <v>19</v>
      </c>
      <c r="F58" s="196"/>
      <c r="G58" s="195" t="s">
        <v>16</v>
      </c>
      <c r="H58" s="196"/>
      <c r="I58" s="195" t="s">
        <v>19</v>
      </c>
      <c r="J58" s="196"/>
      <c r="K58" s="19"/>
      <c r="L58" s="140">
        <v>400</v>
      </c>
      <c r="M58" s="140">
        <v>100</v>
      </c>
      <c r="N58" s="140">
        <v>400</v>
      </c>
      <c r="O58" s="141">
        <v>100</v>
      </c>
    </row>
    <row r="59" spans="1:15" ht="15.75" thickBot="1" x14ac:dyDescent="0.3">
      <c r="B59" s="72" t="s">
        <v>76</v>
      </c>
      <c r="C59" s="67" t="s">
        <v>138</v>
      </c>
      <c r="D59" s="68" t="s">
        <v>139</v>
      </c>
      <c r="E59" s="67" t="s">
        <v>138</v>
      </c>
      <c r="F59" s="68" t="s">
        <v>139</v>
      </c>
      <c r="G59" s="67" t="s">
        <v>138</v>
      </c>
      <c r="H59" s="68" t="s">
        <v>139</v>
      </c>
      <c r="I59" s="67" t="s">
        <v>138</v>
      </c>
      <c r="J59" s="68" t="s">
        <v>139</v>
      </c>
      <c r="K59" s="19"/>
      <c r="L59" s="142">
        <f>G60-G$63</f>
        <v>1.0000000000001563E-2</v>
      </c>
      <c r="M59" s="142">
        <f t="shared" ref="M59:O61" si="2">H60-H$63</f>
        <v>1.9999999999999574E-2</v>
      </c>
      <c r="N59" s="142">
        <f t="shared" si="2"/>
        <v>3.3333333333303017E-3</v>
      </c>
      <c r="O59" s="142">
        <f t="shared" si="2"/>
        <v>4.6666666666666856E-2</v>
      </c>
    </row>
    <row r="60" spans="1:15" x14ac:dyDescent="0.25">
      <c r="B60" s="72" t="s">
        <v>140</v>
      </c>
      <c r="C60" s="74">
        <v>30.33</v>
      </c>
      <c r="D60" s="75">
        <v>30.15</v>
      </c>
      <c r="E60" s="74">
        <v>37.119999999999997</v>
      </c>
      <c r="F60" s="75">
        <v>36.58</v>
      </c>
      <c r="G60" s="74">
        <v>29.82</v>
      </c>
      <c r="H60" s="75">
        <v>29.64</v>
      </c>
      <c r="I60" s="74">
        <v>36.65</v>
      </c>
      <c r="J60" s="75">
        <v>36.07</v>
      </c>
      <c r="K60" s="19"/>
      <c r="L60" s="142">
        <f t="shared" ref="L60:L61" si="3">G61-G$63</f>
        <v>0</v>
      </c>
      <c r="M60" s="142">
        <f t="shared" si="2"/>
        <v>-1.0000000000001563E-2</v>
      </c>
      <c r="N60" s="142">
        <f t="shared" si="2"/>
        <v>-1.6666666666665719E-2</v>
      </c>
      <c r="O60" s="142">
        <f t="shared" si="2"/>
        <v>-2.3333333333333428E-2</v>
      </c>
    </row>
    <row r="61" spans="1:15" x14ac:dyDescent="0.25">
      <c r="B61" s="72" t="s">
        <v>141</v>
      </c>
      <c r="C61" s="76">
        <v>30.33</v>
      </c>
      <c r="D61" s="77">
        <v>30.17</v>
      </c>
      <c r="E61" s="76">
        <v>37.119999999999997</v>
      </c>
      <c r="F61" s="77">
        <v>36.58</v>
      </c>
      <c r="G61" s="76">
        <v>29.81</v>
      </c>
      <c r="H61" s="77">
        <v>29.61</v>
      </c>
      <c r="I61" s="76">
        <v>36.630000000000003</v>
      </c>
      <c r="J61" s="77">
        <v>36</v>
      </c>
      <c r="K61" s="19"/>
      <c r="L61" s="142">
        <f t="shared" si="3"/>
        <v>-9.9999999999980105E-3</v>
      </c>
      <c r="M61" s="142">
        <f t="shared" si="2"/>
        <v>-1.0000000000001563E-2</v>
      </c>
      <c r="N61" s="142">
        <f t="shared" si="2"/>
        <v>1.3333333333328312E-2</v>
      </c>
      <c r="O61" s="142">
        <f t="shared" si="2"/>
        <v>-2.3333333333333428E-2</v>
      </c>
    </row>
    <row r="62" spans="1:15" ht="75" x14ac:dyDescent="0.25">
      <c r="B62" s="72" t="s">
        <v>142</v>
      </c>
      <c r="C62" s="78">
        <v>30.32</v>
      </c>
      <c r="D62" s="79">
        <v>30.14</v>
      </c>
      <c r="E62" s="78">
        <v>37.130000000000003</v>
      </c>
      <c r="F62" s="79">
        <v>36.58</v>
      </c>
      <c r="G62" s="78">
        <v>29.8</v>
      </c>
      <c r="H62" s="79">
        <v>29.61</v>
      </c>
      <c r="I62" s="78">
        <v>36.659999999999997</v>
      </c>
      <c r="J62" s="79">
        <v>36</v>
      </c>
      <c r="K62" s="134" t="s">
        <v>166</v>
      </c>
      <c r="L62" s="143">
        <f>SQRT(SUMSQ(L59:L61)/(COUNTA(L59:L61)-1))/G63</f>
        <v>3.3545790003353863E-4</v>
      </c>
      <c r="M62" s="143">
        <f>SQRT(SUMSQ(M59:M61)/(COUNTA(M59:M61)-1))/H63</f>
        <v>5.8475719364245199E-4</v>
      </c>
      <c r="N62" s="143">
        <f>SQRT(SUMSQ(N59:N61)/(COUNTA(N59:N61)-1))/I63</f>
        <v>4.1682514962296962E-4</v>
      </c>
      <c r="O62" s="143">
        <f>SQRT(SUMSQ(O59:O61)/(COUNTA(O59:O61)-1))/J63</f>
        <v>1.1218983670752466E-3</v>
      </c>
    </row>
    <row r="63" spans="1:15" ht="45.75" thickBot="1" x14ac:dyDescent="0.3">
      <c r="A63" s="51"/>
      <c r="B63" s="72" t="s">
        <v>143</v>
      </c>
      <c r="C63" s="69">
        <f>AVERAGE(C60:C62)</f>
        <v>30.326666666666664</v>
      </c>
      <c r="D63" s="70">
        <f t="shared" ref="D63:F63" si="4">AVERAGE(D60:D62)</f>
        <v>30.153333333333336</v>
      </c>
      <c r="E63" s="69">
        <f t="shared" si="4"/>
        <v>37.123333333333335</v>
      </c>
      <c r="F63" s="70">
        <f t="shared" si="4"/>
        <v>36.58</v>
      </c>
      <c r="G63" s="69">
        <f>AVERAGE(G60:G62)</f>
        <v>29.81</v>
      </c>
      <c r="H63" s="70">
        <f>AVERAGE(H60:H62)</f>
        <v>29.62</v>
      </c>
      <c r="I63" s="69">
        <f>AVERAGE(I60:I62)</f>
        <v>36.646666666666668</v>
      </c>
      <c r="J63" s="70">
        <f>AVERAGE(J60:J62)</f>
        <v>36.023333333333333</v>
      </c>
      <c r="K63" s="137" t="s">
        <v>167</v>
      </c>
      <c r="L63" s="165">
        <f>SQRT(SUMSQ(L62:M62))</f>
        <v>6.7414611043267747E-4</v>
      </c>
      <c r="M63" s="165"/>
      <c r="N63" s="165">
        <f>SQRT(SUMSQ(N62:O62))</f>
        <v>1.1968287895118147E-3</v>
      </c>
      <c r="O63" s="165"/>
    </row>
    <row r="64" spans="1:15" ht="31.5" thickTop="1" thickBot="1" x14ac:dyDescent="0.3">
      <c r="B64" s="73" t="s">
        <v>146</v>
      </c>
      <c r="C64" s="186">
        <f>$B$53+$C$53*(C63/D63)+$D$53*((C63/D63)^2)</f>
        <v>1.0018450066965565</v>
      </c>
      <c r="D64" s="187"/>
      <c r="E64" s="186">
        <f>$B$53+$C$53*(E63/F63)+$D$53*((E63/F63)^2)</f>
        <v>1.0048134308725607</v>
      </c>
      <c r="F64" s="187"/>
      <c r="G64" s="186">
        <f>$B$53+$C$53*(G63/H63)+$D$53*((G63/H63)^2)</f>
        <v>1.0020602836240819</v>
      </c>
      <c r="H64" s="187"/>
      <c r="I64" s="186">
        <f>$B$53+$C$53*(I63/J63)+$D$53*((I63/J63)^2)</f>
        <v>1.0056219486102078</v>
      </c>
      <c r="J64" s="187"/>
      <c r="K64" s="17" t="s">
        <v>171</v>
      </c>
      <c r="L64" s="166"/>
      <c r="M64" s="166"/>
      <c r="N64" s="166"/>
      <c r="O64" s="166"/>
    </row>
    <row r="65" spans="2:15" x14ac:dyDescent="0.25">
      <c r="M65" s="62"/>
      <c r="N65" s="62"/>
      <c r="O65" s="62"/>
    </row>
    <row r="67" spans="2:15" ht="15" customHeight="1" x14ac:dyDescent="0.25">
      <c r="B67" s="219" t="s">
        <v>148</v>
      </c>
      <c r="C67" s="219"/>
    </row>
    <row r="69" spans="2:15" s="51" customFormat="1" ht="45" x14ac:dyDescent="0.25">
      <c r="B69" s="17"/>
      <c r="C69" s="91" t="s">
        <v>151</v>
      </c>
      <c r="D69" s="91"/>
      <c r="E69" s="91"/>
      <c r="F69" s="91"/>
      <c r="G69" s="91"/>
      <c r="H69" s="17"/>
      <c r="I69" s="17"/>
      <c r="J69" s="17"/>
    </row>
    <row r="71" spans="2:15" ht="15.75" thickBot="1" x14ac:dyDescent="0.3">
      <c r="B71" s="51"/>
      <c r="C71" s="51"/>
      <c r="D71" s="51"/>
      <c r="E71" s="51"/>
      <c r="F71" s="51"/>
      <c r="G71" s="51"/>
      <c r="H71" s="51"/>
      <c r="I71" s="51"/>
      <c r="J71" s="51"/>
    </row>
    <row r="72" spans="2:15" ht="15.75" thickTop="1" x14ac:dyDescent="0.25">
      <c r="B72" s="53" t="s">
        <v>137</v>
      </c>
      <c r="C72" s="188">
        <v>11924</v>
      </c>
      <c r="D72" s="189"/>
      <c r="E72" s="189"/>
      <c r="F72" s="190"/>
      <c r="G72" s="96"/>
      <c r="H72" s="102"/>
      <c r="I72" s="167" t="s">
        <v>165</v>
      </c>
      <c r="J72" s="167"/>
      <c r="K72" s="167"/>
      <c r="L72" s="168"/>
    </row>
    <row r="73" spans="2:15" x14ac:dyDescent="0.25">
      <c r="B73" s="52" t="s">
        <v>10</v>
      </c>
      <c r="C73" s="191" t="s">
        <v>16</v>
      </c>
      <c r="D73" s="192"/>
      <c r="E73" s="197" t="s">
        <v>19</v>
      </c>
      <c r="F73" s="198"/>
      <c r="G73" s="101"/>
      <c r="H73" s="126"/>
      <c r="I73" s="169" t="s">
        <v>16</v>
      </c>
      <c r="J73" s="170"/>
      <c r="K73" s="170" t="s">
        <v>19</v>
      </c>
      <c r="L73" s="171"/>
    </row>
    <row r="74" spans="2:15" x14ac:dyDescent="0.25">
      <c r="B74" s="52" t="s">
        <v>76</v>
      </c>
      <c r="C74" s="38">
        <v>400</v>
      </c>
      <c r="D74" s="38">
        <v>-400</v>
      </c>
      <c r="E74" s="38">
        <v>400</v>
      </c>
      <c r="F74" s="83">
        <v>-400</v>
      </c>
      <c r="G74" s="96"/>
      <c r="H74" s="126"/>
      <c r="I74" s="130">
        <v>400</v>
      </c>
      <c r="J74" s="131">
        <v>-400</v>
      </c>
      <c r="K74" s="130">
        <v>400</v>
      </c>
      <c r="L74" s="113">
        <v>-400</v>
      </c>
    </row>
    <row r="75" spans="2:15" x14ac:dyDescent="0.25">
      <c r="B75" s="52" t="s">
        <v>140</v>
      </c>
      <c r="C75" s="84">
        <f>G60</f>
        <v>29.82</v>
      </c>
      <c r="D75" s="14">
        <v>-29.98</v>
      </c>
      <c r="E75" s="84">
        <f>I60</f>
        <v>36.65</v>
      </c>
      <c r="F75" s="85">
        <v>-36.69</v>
      </c>
      <c r="G75" s="19"/>
      <c r="H75" s="126"/>
      <c r="I75" s="129">
        <f>C75-C$78</f>
        <v>1.0000000000001563E-2</v>
      </c>
      <c r="J75" s="128">
        <f t="shared" ref="J75:L77" si="5">D75-D$78</f>
        <v>-3.3333333333331439E-2</v>
      </c>
      <c r="K75" s="129">
        <f t="shared" si="5"/>
        <v>3.3333333333303017E-3</v>
      </c>
      <c r="L75" s="127">
        <f>F75-F$78</f>
        <v>-1.3333333333328312E-2</v>
      </c>
    </row>
    <row r="76" spans="2:15" x14ac:dyDescent="0.25">
      <c r="B76" s="54" t="s">
        <v>150</v>
      </c>
      <c r="C76" s="84">
        <f t="shared" ref="C76:C77" si="6">G61</f>
        <v>29.81</v>
      </c>
      <c r="D76" s="14">
        <v>-29.93</v>
      </c>
      <c r="E76" s="84">
        <f t="shared" ref="E76:E77" si="7">I61</f>
        <v>36.630000000000003</v>
      </c>
      <c r="F76" s="85">
        <v>-36.67</v>
      </c>
      <c r="G76" s="19"/>
      <c r="H76" s="126"/>
      <c r="I76" s="129">
        <f t="shared" ref="I76:I77" si="8">C76-C$78</f>
        <v>0</v>
      </c>
      <c r="J76" s="128">
        <f t="shared" si="5"/>
        <v>1.6666666666669272E-2</v>
      </c>
      <c r="K76" s="129">
        <f t="shared" si="5"/>
        <v>-1.6666666666665719E-2</v>
      </c>
      <c r="L76" s="127">
        <f t="shared" si="5"/>
        <v>6.6666666666677088E-3</v>
      </c>
    </row>
    <row r="77" spans="2:15" x14ac:dyDescent="0.25">
      <c r="B77" s="52" t="s">
        <v>142</v>
      </c>
      <c r="C77" s="81">
        <f t="shared" si="6"/>
        <v>29.8</v>
      </c>
      <c r="D77" s="82">
        <v>-29.93</v>
      </c>
      <c r="E77" s="81">
        <f t="shared" si="7"/>
        <v>36.659999999999997</v>
      </c>
      <c r="F77" s="80">
        <v>-36.67</v>
      </c>
      <c r="G77" s="19"/>
      <c r="H77" s="126"/>
      <c r="I77" s="129">
        <f t="shared" si="8"/>
        <v>-9.9999999999980105E-3</v>
      </c>
      <c r="J77" s="128">
        <f t="shared" si="5"/>
        <v>1.6666666666669272E-2</v>
      </c>
      <c r="K77" s="129">
        <f t="shared" si="5"/>
        <v>1.3333333333328312E-2</v>
      </c>
      <c r="L77" s="127">
        <f t="shared" si="5"/>
        <v>6.6666666666677088E-3</v>
      </c>
    </row>
    <row r="78" spans="2:15" ht="75" x14ac:dyDescent="0.25">
      <c r="B78" s="54" t="s">
        <v>143</v>
      </c>
      <c r="C78" s="84">
        <f>AVERAGE(C75:C77)</f>
        <v>29.81</v>
      </c>
      <c r="D78" s="84">
        <f>AVERAGE(D75:D77)</f>
        <v>-29.946666666666669</v>
      </c>
      <c r="E78" s="84">
        <f t="shared" ref="E78:F78" si="9">AVERAGE(E75:E77)</f>
        <v>36.646666666666668</v>
      </c>
      <c r="F78" s="84">
        <f t="shared" si="9"/>
        <v>-36.676666666666669</v>
      </c>
      <c r="G78" s="135"/>
      <c r="H78" s="134" t="s">
        <v>166</v>
      </c>
      <c r="I78" s="132">
        <f>SQRT(SUMSQ(I75:I77)/(COUNTA(I75:I77)-1))/C78</f>
        <v>3.3545790003353863E-4</v>
      </c>
      <c r="J78" s="133">
        <f>SQRT(SUMSQ(J75:J77)/(COUNTA(J75:J77)-1))/ABS(D78)</f>
        <v>9.6396416271644122E-4</v>
      </c>
      <c r="K78" s="132">
        <f>SQRT(SUMSQ(K75:K77)/(COUNTA(K75:K77)-1))/E78</f>
        <v>4.1682514962296962E-4</v>
      </c>
      <c r="L78" s="138">
        <f>SQRT(SUMSQ(L75:L77)/(COUNTA(L75:L77)-1))/F78</f>
        <v>-3.1483246524921065E-4</v>
      </c>
    </row>
    <row r="79" spans="2:15" ht="45.75" thickBot="1" x14ac:dyDescent="0.3">
      <c r="B79" s="52" t="s">
        <v>95</v>
      </c>
      <c r="C79" s="181">
        <f>(ABS(C78)+ABS(D78))/(2*C78)</f>
        <v>1.0022922956502294</v>
      </c>
      <c r="D79" s="182"/>
      <c r="E79" s="181">
        <f>(ABS(E78)+ABS(F78))/(2*E78)</f>
        <v>1.0004093141713661</v>
      </c>
      <c r="F79" s="182"/>
      <c r="G79" s="136"/>
      <c r="H79" s="137" t="s">
        <v>167</v>
      </c>
      <c r="I79" s="172">
        <f>SQRT(SUMSQ(I78:J78))</f>
        <v>1.0206659148303725E-3</v>
      </c>
      <c r="J79" s="173"/>
      <c r="K79" s="172">
        <f>SQRT(SUMSQ(K78:L78))</f>
        <v>5.2236260062633356E-4</v>
      </c>
      <c r="L79" s="174"/>
      <c r="M79" s="126"/>
    </row>
    <row r="80" spans="2:15" ht="15.75" thickTop="1" x14ac:dyDescent="0.25">
      <c r="E80" s="86"/>
    </row>
    <row r="83" spans="2:4" ht="30" customHeight="1" x14ac:dyDescent="0.25">
      <c r="B83" s="145" t="s">
        <v>168</v>
      </c>
      <c r="C83" s="145"/>
    </row>
    <row r="84" spans="2:4" s="124" customFormat="1" ht="30" customHeight="1" x14ac:dyDescent="0.25"/>
    <row r="85" spans="2:4" s="124" customFormat="1" ht="30" customHeight="1" x14ac:dyDescent="0.25">
      <c r="D85" s="124" t="s">
        <v>83</v>
      </c>
    </row>
    <row r="86" spans="2:4" ht="30" x14ac:dyDescent="0.25">
      <c r="B86" s="17" t="s">
        <v>169</v>
      </c>
      <c r="C86" s="139" t="s">
        <v>170</v>
      </c>
      <c r="D86" s="125">
        <f>0.1/(SQRT(12)*100)</f>
        <v>2.886751345948129E-4</v>
      </c>
    </row>
    <row r="87" spans="2:4" x14ac:dyDescent="0.25">
      <c r="B87" s="17" t="s">
        <v>66</v>
      </c>
    </row>
  </sheetData>
  <mergeCells count="63">
    <mergeCell ref="B47:C47"/>
    <mergeCell ref="E64:F64"/>
    <mergeCell ref="G64:H64"/>
    <mergeCell ref="B67:C67"/>
    <mergeCell ref="B37:C37"/>
    <mergeCell ref="B39:C39"/>
    <mergeCell ref="F39:G39"/>
    <mergeCell ref="E40:E42"/>
    <mergeCell ref="E43:E45"/>
    <mergeCell ref="F41:F42"/>
    <mergeCell ref="G41:G42"/>
    <mergeCell ref="F44:F45"/>
    <mergeCell ref="G44:G45"/>
    <mergeCell ref="G56:J56"/>
    <mergeCell ref="G57:J57"/>
    <mergeCell ref="B49:C50"/>
    <mergeCell ref="I26:I28"/>
    <mergeCell ref="J22:K22"/>
    <mergeCell ref="F23:F24"/>
    <mergeCell ref="G23:G24"/>
    <mergeCell ref="H23:H25"/>
    <mergeCell ref="I23:I25"/>
    <mergeCell ref="J23:K28"/>
    <mergeCell ref="F25:F26"/>
    <mergeCell ref="G25:G26"/>
    <mergeCell ref="F27:F28"/>
    <mergeCell ref="G27:G28"/>
    <mergeCell ref="H26:H28"/>
    <mergeCell ref="C2:G2"/>
    <mergeCell ref="B4:C4"/>
    <mergeCell ref="B11:C11"/>
    <mergeCell ref="E4:F4"/>
    <mergeCell ref="B24:B33"/>
    <mergeCell ref="F22:G22"/>
    <mergeCell ref="F12:G12"/>
    <mergeCell ref="M22:M31"/>
    <mergeCell ref="J12:K12"/>
    <mergeCell ref="C57:F57"/>
    <mergeCell ref="C79:D79"/>
    <mergeCell ref="C56:F56"/>
    <mergeCell ref="C64:D64"/>
    <mergeCell ref="C72:F72"/>
    <mergeCell ref="C73:D73"/>
    <mergeCell ref="C58:D58"/>
    <mergeCell ref="I64:J64"/>
    <mergeCell ref="I58:J58"/>
    <mergeCell ref="E73:F73"/>
    <mergeCell ref="E79:F79"/>
    <mergeCell ref="E58:F58"/>
    <mergeCell ref="G58:H58"/>
    <mergeCell ref="H22:I22"/>
    <mergeCell ref="B83:C83"/>
    <mergeCell ref="L56:O56"/>
    <mergeCell ref="L57:M57"/>
    <mergeCell ref="N57:O57"/>
    <mergeCell ref="L63:M63"/>
    <mergeCell ref="N63:O63"/>
    <mergeCell ref="L64:O64"/>
    <mergeCell ref="I72:L72"/>
    <mergeCell ref="I73:J73"/>
    <mergeCell ref="K73:L73"/>
    <mergeCell ref="I79:J79"/>
    <mergeCell ref="K79:L7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Rendements en profondeur</vt:lpstr>
      <vt:lpstr>Profils</vt:lpstr>
      <vt:lpstr>TPR</vt:lpstr>
      <vt:lpstr>FOC</vt:lpstr>
      <vt:lpstr>Dose absolue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2022-07-19T13:00:38Z</dcterms:created>
  <dcterms:modified xsi:type="dcterms:W3CDTF">2022-08-16T09:54:25Z</dcterms:modified>
</cp:coreProperties>
</file>