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OSPanel\domains\palnt-backend\trash\"/>
    </mc:Choice>
  </mc:AlternateContent>
  <xr:revisionPtr revIDLastSave="0" documentId="8_{52D9EE8E-2785-42F8-A0DC-70A412EE5C40}" xr6:coauthVersionLast="47" xr6:coauthVersionMax="47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Gala" sheetId="3" r:id="rId1"/>
    <sheet name="Gala2" sheetId="11" r:id="rId2"/>
    <sheet name="Gala3" sheetId="13" r:id="rId3"/>
    <sheet name="Gala-Armando" sheetId="27" r:id="rId4"/>
    <sheet name="Gala-Armando+++" sheetId="28" r:id="rId5"/>
    <sheet name="Gala-Armando-Euros-35" sheetId="29" r:id="rId6"/>
    <sheet name="Cransa" sheetId="4" r:id="rId7"/>
    <sheet name="Arturo" sheetId="5" r:id="rId8"/>
    <sheet name="2 planchas" sheetId="6" r:id="rId9"/>
    <sheet name="Jimena-Armando" sheetId="7" r:id="rId10"/>
    <sheet name="Jimena-C-125" sheetId="14" r:id="rId11"/>
    <sheet name="Jimena-C-150" sheetId="15" r:id="rId12"/>
    <sheet name="Alex-Cola-39 Semanal" sheetId="16" r:id="rId13"/>
    <sheet name="Oscar" sheetId="8" r:id="rId14"/>
    <sheet name="Oscar2" sheetId="12" r:id="rId15"/>
    <sheet name="William" sheetId="9" r:id="rId16"/>
    <sheet name="Cristy" sheetId="10" r:id="rId17"/>
    <sheet name="Guido-C-125" sheetId="17" r:id="rId18"/>
    <sheet name="Guido-Cola" sheetId="19" r:id="rId19"/>
    <sheet name="Farin-Cola" sheetId="20" r:id="rId20"/>
    <sheet name="Oscar-Cola" sheetId="21" r:id="rId21"/>
    <sheet name="Oscar-C-125" sheetId="22" r:id="rId22"/>
    <sheet name="Oscar-C-150" sheetId="23" r:id="rId23"/>
    <sheet name="William-Cola" sheetId="24" r:id="rId24"/>
    <sheet name="William-C-125" sheetId="25" r:id="rId25"/>
    <sheet name="William-C-150" sheetId="26" r:id="rId26"/>
    <sheet name="Mega-Cola" sheetId="30" r:id="rId27"/>
    <sheet name="Mega-C-125" sheetId="31" r:id="rId28"/>
    <sheet name="Mega-C-150" sheetId="32" r:id="rId29"/>
    <sheet name="Monte-Cola" sheetId="33" r:id="rId30"/>
    <sheet name="Monte-C-125" sheetId="34" r:id="rId31"/>
    <sheet name="Monte-C-150" sheetId="35" r:id="rId32"/>
    <sheet name="Liliana-Cola" sheetId="3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6" l="1"/>
  <c r="E3" i="36"/>
  <c r="M14" i="36"/>
  <c r="D9" i="36" s="1"/>
  <c r="E9" i="36" s="1"/>
  <c r="P10" i="36"/>
  <c r="O10" i="36"/>
  <c r="Q13" i="36"/>
  <c r="P13" i="36"/>
  <c r="O13" i="36"/>
  <c r="Q12" i="36"/>
  <c r="P12" i="36"/>
  <c r="O12" i="36"/>
  <c r="A13" i="36"/>
  <c r="A12" i="36"/>
  <c r="C5" i="36"/>
  <c r="I5" i="36" s="1"/>
  <c r="O9" i="36" l="1"/>
  <c r="Q9" i="36"/>
  <c r="Q8" i="36" s="1"/>
  <c r="E5" i="36"/>
  <c r="F4" i="36" s="1"/>
  <c r="G4" i="36" s="1"/>
  <c r="H4" i="36" s="1"/>
  <c r="I4" i="36" s="1"/>
  <c r="J4" i="36" s="1"/>
  <c r="K4" i="36" s="1"/>
  <c r="P9" i="36"/>
  <c r="E10" i="28"/>
  <c r="F3" i="36" l="1"/>
  <c r="D19" i="35"/>
  <c r="E19" i="35" s="1"/>
  <c r="W15" i="35"/>
  <c r="V15" i="35"/>
  <c r="U15" i="35"/>
  <c r="T15" i="35"/>
  <c r="S15" i="35"/>
  <c r="R15" i="35"/>
  <c r="A15" i="35"/>
  <c r="W14" i="35"/>
  <c r="V14" i="35"/>
  <c r="U14" i="35"/>
  <c r="T14" i="35"/>
  <c r="S14" i="35"/>
  <c r="R14" i="35"/>
  <c r="A14" i="35"/>
  <c r="W13" i="35"/>
  <c r="W8" i="35" s="1"/>
  <c r="W7" i="35" s="1"/>
  <c r="V13" i="35"/>
  <c r="U13" i="35"/>
  <c r="T13" i="35"/>
  <c r="S13" i="35"/>
  <c r="R13" i="35"/>
  <c r="A13" i="35"/>
  <c r="W12" i="35"/>
  <c r="V12" i="35"/>
  <c r="V8" i="35" s="1"/>
  <c r="V7" i="35" s="1"/>
  <c r="U12" i="35"/>
  <c r="T12" i="35"/>
  <c r="S12" i="35"/>
  <c r="R12" i="35"/>
  <c r="A12" i="35"/>
  <c r="W11" i="35"/>
  <c r="V11" i="35"/>
  <c r="U11" i="35"/>
  <c r="T11" i="35"/>
  <c r="T8" i="35" s="1"/>
  <c r="T7" i="35" s="1"/>
  <c r="S11" i="35"/>
  <c r="R11" i="35"/>
  <c r="A11" i="35"/>
  <c r="V9" i="35"/>
  <c r="U9" i="35"/>
  <c r="T9" i="35"/>
  <c r="S9" i="35"/>
  <c r="R9" i="35"/>
  <c r="E7" i="35"/>
  <c r="E6" i="35"/>
  <c r="E5" i="35"/>
  <c r="E4" i="35"/>
  <c r="E3" i="35"/>
  <c r="A15" i="34"/>
  <c r="A14" i="34"/>
  <c r="A13" i="34"/>
  <c r="A12" i="34"/>
  <c r="A11" i="34"/>
  <c r="D19" i="34"/>
  <c r="E19" i="34" s="1"/>
  <c r="W15" i="34"/>
  <c r="V15" i="34"/>
  <c r="U15" i="34"/>
  <c r="T15" i="34"/>
  <c r="S15" i="34"/>
  <c r="R15" i="34"/>
  <c r="W14" i="34"/>
  <c r="V14" i="34"/>
  <c r="U14" i="34"/>
  <c r="T14" i="34"/>
  <c r="S14" i="34"/>
  <c r="R14" i="34"/>
  <c r="W13" i="34"/>
  <c r="V13" i="34"/>
  <c r="U13" i="34"/>
  <c r="T13" i="34"/>
  <c r="S13" i="34"/>
  <c r="R13" i="34"/>
  <c r="W12" i="34"/>
  <c r="V12" i="34"/>
  <c r="U12" i="34"/>
  <c r="T12" i="34"/>
  <c r="S12" i="34"/>
  <c r="R12" i="34"/>
  <c r="W11" i="34"/>
  <c r="V11" i="34"/>
  <c r="U11" i="34"/>
  <c r="T11" i="34"/>
  <c r="S11" i="34"/>
  <c r="R11" i="34"/>
  <c r="V9" i="34"/>
  <c r="U9" i="34"/>
  <c r="T9" i="34"/>
  <c r="S9" i="34"/>
  <c r="R9" i="34"/>
  <c r="E7" i="34"/>
  <c r="E6" i="34"/>
  <c r="E5" i="34"/>
  <c r="E4" i="34"/>
  <c r="E3" i="34"/>
  <c r="W15" i="33"/>
  <c r="W14" i="33"/>
  <c r="W13" i="33"/>
  <c r="W12" i="33"/>
  <c r="W11" i="33"/>
  <c r="D19" i="33"/>
  <c r="E19" i="33" s="1"/>
  <c r="V15" i="33"/>
  <c r="U15" i="33"/>
  <c r="T15" i="33"/>
  <c r="S15" i="33"/>
  <c r="R15" i="33"/>
  <c r="A15" i="33"/>
  <c r="V14" i="33"/>
  <c r="U14" i="33"/>
  <c r="T14" i="33"/>
  <c r="S14" i="33"/>
  <c r="R14" i="33"/>
  <c r="A14" i="33"/>
  <c r="V13" i="33"/>
  <c r="U13" i="33"/>
  <c r="T13" i="33"/>
  <c r="S13" i="33"/>
  <c r="R13" i="33"/>
  <c r="A13" i="33"/>
  <c r="V12" i="33"/>
  <c r="U12" i="33"/>
  <c r="T12" i="33"/>
  <c r="S12" i="33"/>
  <c r="R12" i="33"/>
  <c r="A12" i="33"/>
  <c r="V11" i="33"/>
  <c r="U11" i="33"/>
  <c r="T11" i="33"/>
  <c r="S11" i="33"/>
  <c r="R11" i="33"/>
  <c r="A11" i="33"/>
  <c r="V9" i="33"/>
  <c r="U9" i="33"/>
  <c r="T9" i="33"/>
  <c r="S9" i="33"/>
  <c r="R9" i="33"/>
  <c r="E7" i="33"/>
  <c r="E6" i="33"/>
  <c r="E5" i="33"/>
  <c r="E4" i="33"/>
  <c r="E3" i="33"/>
  <c r="C8" i="32"/>
  <c r="D19" i="32"/>
  <c r="E19" i="32" s="1"/>
  <c r="V15" i="32"/>
  <c r="U15" i="32"/>
  <c r="T15" i="32"/>
  <c r="S15" i="32"/>
  <c r="R15" i="32"/>
  <c r="A15" i="32"/>
  <c r="V14" i="32"/>
  <c r="U14" i="32"/>
  <c r="T14" i="32"/>
  <c r="S14" i="32"/>
  <c r="R14" i="32"/>
  <c r="A14" i="32"/>
  <c r="V13" i="32"/>
  <c r="U13" i="32"/>
  <c r="T13" i="32"/>
  <c r="S13" i="32"/>
  <c r="R13" i="32"/>
  <c r="A13" i="32"/>
  <c r="V12" i="32"/>
  <c r="U12" i="32"/>
  <c r="T12" i="32"/>
  <c r="S12" i="32"/>
  <c r="R12" i="32"/>
  <c r="A12" i="32"/>
  <c r="V11" i="32"/>
  <c r="V8" i="32" s="1"/>
  <c r="V7" i="32" s="1"/>
  <c r="U11" i="32"/>
  <c r="T11" i="32"/>
  <c r="S11" i="32"/>
  <c r="R11" i="32"/>
  <c r="A11" i="32"/>
  <c r="V9" i="32"/>
  <c r="U9" i="32"/>
  <c r="T9" i="32"/>
  <c r="S9" i="32"/>
  <c r="R9" i="32"/>
  <c r="E7" i="32"/>
  <c r="E6" i="32"/>
  <c r="E5" i="32"/>
  <c r="E4" i="32"/>
  <c r="E8" i="32" s="1"/>
  <c r="F6" i="32" s="1"/>
  <c r="E3" i="32"/>
  <c r="A15" i="31"/>
  <c r="A14" i="31"/>
  <c r="A13" i="31"/>
  <c r="A12" i="31"/>
  <c r="A11" i="31"/>
  <c r="D19" i="31"/>
  <c r="E19" i="31" s="1"/>
  <c r="V15" i="31"/>
  <c r="U15" i="31"/>
  <c r="T15" i="31"/>
  <c r="S15" i="31"/>
  <c r="R15" i="31"/>
  <c r="V14" i="31"/>
  <c r="U14" i="31"/>
  <c r="T14" i="31"/>
  <c r="S14" i="31"/>
  <c r="R14" i="31"/>
  <c r="V13" i="31"/>
  <c r="U13" i="31"/>
  <c r="T13" i="31"/>
  <c r="S13" i="31"/>
  <c r="R13" i="31"/>
  <c r="V12" i="31"/>
  <c r="U12" i="31"/>
  <c r="T12" i="31"/>
  <c r="S12" i="31"/>
  <c r="R12" i="31"/>
  <c r="V11" i="31"/>
  <c r="U11" i="31"/>
  <c r="T11" i="31"/>
  <c r="S11" i="31"/>
  <c r="R11" i="31"/>
  <c r="V9" i="31"/>
  <c r="U9" i="31"/>
  <c r="T9" i="31"/>
  <c r="S9" i="31"/>
  <c r="R9" i="31"/>
  <c r="E7" i="31"/>
  <c r="E6" i="31"/>
  <c r="E5" i="31"/>
  <c r="E4" i="31"/>
  <c r="E3" i="31"/>
  <c r="E7" i="30"/>
  <c r="E6" i="30"/>
  <c r="F6" i="30" s="1"/>
  <c r="E5" i="30"/>
  <c r="F5" i="30" s="1"/>
  <c r="E4" i="30"/>
  <c r="E8" i="30" s="1"/>
  <c r="E3" i="30"/>
  <c r="D19" i="30"/>
  <c r="E19" i="30" s="1"/>
  <c r="V15" i="30"/>
  <c r="U15" i="30"/>
  <c r="T15" i="30"/>
  <c r="S15" i="30"/>
  <c r="R15" i="30"/>
  <c r="V14" i="30"/>
  <c r="U14" i="30"/>
  <c r="T14" i="30"/>
  <c r="S14" i="30"/>
  <c r="R14" i="30"/>
  <c r="V13" i="30"/>
  <c r="U13" i="30"/>
  <c r="T13" i="30"/>
  <c r="S13" i="30"/>
  <c r="R13" i="30"/>
  <c r="V12" i="30"/>
  <c r="U12" i="30"/>
  <c r="T12" i="30"/>
  <c r="S12" i="30"/>
  <c r="R12" i="30"/>
  <c r="V11" i="30"/>
  <c r="U11" i="30"/>
  <c r="T11" i="30"/>
  <c r="S11" i="30"/>
  <c r="R11" i="30"/>
  <c r="V9" i="30"/>
  <c r="U9" i="30"/>
  <c r="T9" i="30"/>
  <c r="S9" i="30"/>
  <c r="R9" i="30"/>
  <c r="A15" i="30"/>
  <c r="A14" i="30"/>
  <c r="A13" i="30"/>
  <c r="A12" i="30"/>
  <c r="A11" i="30"/>
  <c r="G6" i="30" l="1"/>
  <c r="H6" i="30" s="1"/>
  <c r="I6" i="30" s="1"/>
  <c r="J6" i="30" s="1"/>
  <c r="L6" i="30" s="1"/>
  <c r="M6" i="30" s="1"/>
  <c r="G5" i="30"/>
  <c r="H5" i="30" s="1"/>
  <c r="I5" i="30" s="1"/>
  <c r="J5" i="30" s="1"/>
  <c r="L5" i="30" s="1"/>
  <c r="M5" i="30" s="1"/>
  <c r="F4" i="30"/>
  <c r="G4" i="30" s="1"/>
  <c r="H4" i="30" s="1"/>
  <c r="I4" i="30" s="1"/>
  <c r="J4" i="30" s="1"/>
  <c r="L4" i="30" s="1"/>
  <c r="M4" i="30" s="1"/>
  <c r="F3" i="30"/>
  <c r="F7" i="30"/>
  <c r="G7" i="30" s="1"/>
  <c r="H7" i="30" s="1"/>
  <c r="I7" i="30" s="1"/>
  <c r="J7" i="30" s="1"/>
  <c r="L7" i="30" s="1"/>
  <c r="M7" i="30" s="1"/>
  <c r="F7" i="32"/>
  <c r="R8" i="32"/>
  <c r="R7" i="32" s="1"/>
  <c r="F4" i="35"/>
  <c r="G4" i="35" s="1"/>
  <c r="H4" i="35" s="1"/>
  <c r="I4" i="35" s="1"/>
  <c r="J4" i="35" s="1"/>
  <c r="L4" i="35" s="1"/>
  <c r="M4" i="35" s="1"/>
  <c r="F5" i="32"/>
  <c r="S8" i="32"/>
  <c r="S7" i="32" s="1"/>
  <c r="E8" i="34"/>
  <c r="F5" i="34" s="1"/>
  <c r="G5" i="34" s="1"/>
  <c r="H5" i="34" s="1"/>
  <c r="I5" i="34" s="1"/>
  <c r="J5" i="34" s="1"/>
  <c r="L5" i="34" s="1"/>
  <c r="M5" i="34" s="1"/>
  <c r="F7" i="34"/>
  <c r="G7" i="34" s="1"/>
  <c r="H7" i="34" s="1"/>
  <c r="I7" i="34" s="1"/>
  <c r="J7" i="34" s="1"/>
  <c r="L7" i="34" s="1"/>
  <c r="M7" i="34" s="1"/>
  <c r="E8" i="35"/>
  <c r="F5" i="35" s="1"/>
  <c r="G5" i="35" s="1"/>
  <c r="H5" i="35" s="1"/>
  <c r="I5" i="35" s="1"/>
  <c r="J5" i="35" s="1"/>
  <c r="L5" i="35" s="1"/>
  <c r="M5" i="35" s="1"/>
  <c r="U8" i="35"/>
  <c r="U7" i="35" s="1"/>
  <c r="E8" i="31"/>
  <c r="T8" i="32"/>
  <c r="T7" i="32" s="1"/>
  <c r="F4" i="34"/>
  <c r="G4" i="34" s="1"/>
  <c r="H4" i="34" s="1"/>
  <c r="I4" i="34" s="1"/>
  <c r="J4" i="34" s="1"/>
  <c r="L4" i="34" s="1"/>
  <c r="M4" i="34" s="1"/>
  <c r="F6" i="35"/>
  <c r="G6" i="35" s="1"/>
  <c r="H6" i="35" s="1"/>
  <c r="I6" i="35" s="1"/>
  <c r="J6" i="35" s="1"/>
  <c r="L6" i="35" s="1"/>
  <c r="M6" i="35" s="1"/>
  <c r="R8" i="35"/>
  <c r="R7" i="35" s="1"/>
  <c r="F4" i="32"/>
  <c r="F3" i="32"/>
  <c r="U8" i="32"/>
  <c r="U7" i="32" s="1"/>
  <c r="F7" i="35"/>
  <c r="G7" i="35" s="1"/>
  <c r="H7" i="35" s="1"/>
  <c r="I7" i="35" s="1"/>
  <c r="J7" i="35" s="1"/>
  <c r="L7" i="35" s="1"/>
  <c r="M7" i="35" s="1"/>
  <c r="S8" i="35"/>
  <c r="S7" i="35" s="1"/>
  <c r="F5" i="36"/>
  <c r="G3" i="36"/>
  <c r="W8" i="34"/>
  <c r="W7" i="34" s="1"/>
  <c r="S8" i="34"/>
  <c r="S7" i="34" s="1"/>
  <c r="R8" i="34"/>
  <c r="R7" i="34" s="1"/>
  <c r="T8" i="34"/>
  <c r="T7" i="34" s="1"/>
  <c r="U8" i="34"/>
  <c r="U7" i="34" s="1"/>
  <c r="V8" i="34"/>
  <c r="V7" i="34" s="1"/>
  <c r="F3" i="34"/>
  <c r="S8" i="33"/>
  <c r="W8" i="33"/>
  <c r="W7" i="33" s="1"/>
  <c r="U8" i="33"/>
  <c r="V8" i="33"/>
  <c r="R8" i="33"/>
  <c r="T8" i="33"/>
  <c r="E8" i="33"/>
  <c r="F3" i="33" s="1"/>
  <c r="G7" i="32"/>
  <c r="H7" i="32" s="1"/>
  <c r="I7" i="32" s="1"/>
  <c r="J7" i="32" s="1"/>
  <c r="L7" i="32" s="1"/>
  <c r="M7" i="32" s="1"/>
  <c r="G3" i="32"/>
  <c r="H3" i="32" s="1"/>
  <c r="I3" i="32" s="1"/>
  <c r="J3" i="32" s="1"/>
  <c r="L3" i="32" s="1"/>
  <c r="M3" i="32" s="1"/>
  <c r="M8" i="32" s="1"/>
  <c r="G4" i="32"/>
  <c r="H4" i="32" s="1"/>
  <c r="I4" i="32" s="1"/>
  <c r="J4" i="32" s="1"/>
  <c r="L4" i="32" s="1"/>
  <c r="M4" i="32" s="1"/>
  <c r="G5" i="32"/>
  <c r="H5" i="32" s="1"/>
  <c r="I5" i="32" s="1"/>
  <c r="J5" i="32" s="1"/>
  <c r="L5" i="32" s="1"/>
  <c r="M5" i="32" s="1"/>
  <c r="G6" i="32"/>
  <c r="H6" i="32" s="1"/>
  <c r="I6" i="32" s="1"/>
  <c r="J6" i="32" s="1"/>
  <c r="L6" i="32" s="1"/>
  <c r="M6" i="32" s="1"/>
  <c r="F8" i="32"/>
  <c r="V8" i="31"/>
  <c r="V7" i="31" s="1"/>
  <c r="T8" i="31"/>
  <c r="T7" i="31" s="1"/>
  <c r="R8" i="31"/>
  <c r="R7" i="31" s="1"/>
  <c r="U8" i="31"/>
  <c r="U7" i="31" s="1"/>
  <c r="S8" i="31"/>
  <c r="S7" i="31" s="1"/>
  <c r="F6" i="31"/>
  <c r="G6" i="31" s="1"/>
  <c r="H6" i="31" s="1"/>
  <c r="I6" i="31" s="1"/>
  <c r="J6" i="31" s="1"/>
  <c r="L6" i="31" s="1"/>
  <c r="M6" i="31" s="1"/>
  <c r="G5" i="31"/>
  <c r="H5" i="31" s="1"/>
  <c r="I5" i="31" s="1"/>
  <c r="J5" i="31" s="1"/>
  <c r="L5" i="31" s="1"/>
  <c r="M5" i="31" s="1"/>
  <c r="F4" i="31"/>
  <c r="G4" i="31" s="1"/>
  <c r="H4" i="31" s="1"/>
  <c r="I4" i="31" s="1"/>
  <c r="J4" i="31" s="1"/>
  <c r="L4" i="31" s="1"/>
  <c r="M4" i="31" s="1"/>
  <c r="F5" i="31"/>
  <c r="F7" i="31"/>
  <c r="G7" i="31" s="1"/>
  <c r="H7" i="31" s="1"/>
  <c r="I7" i="31" s="1"/>
  <c r="J7" i="31" s="1"/>
  <c r="L7" i="31" s="1"/>
  <c r="M7" i="31" s="1"/>
  <c r="F3" i="31"/>
  <c r="F8" i="31" s="1"/>
  <c r="U8" i="30"/>
  <c r="T8" i="30"/>
  <c r="R8" i="30"/>
  <c r="V8" i="30"/>
  <c r="V7" i="30" s="1"/>
  <c r="S8" i="30"/>
  <c r="U22" i="29"/>
  <c r="W22" i="29" s="1"/>
  <c r="U21" i="29"/>
  <c r="W21" i="29"/>
  <c r="AB18" i="29"/>
  <c r="AA18" i="29"/>
  <c r="Z18" i="29"/>
  <c r="Y18" i="29"/>
  <c r="X18" i="29"/>
  <c r="W18" i="29"/>
  <c r="V18" i="29"/>
  <c r="B18" i="29"/>
  <c r="AB17" i="29"/>
  <c r="AA17" i="29"/>
  <c r="Z17" i="29"/>
  <c r="Y17" i="29"/>
  <c r="X17" i="29"/>
  <c r="W17" i="29"/>
  <c r="V17" i="29"/>
  <c r="B17" i="29"/>
  <c r="AB16" i="29"/>
  <c r="AA16" i="29"/>
  <c r="Z16" i="29"/>
  <c r="Y16" i="29"/>
  <c r="X16" i="29"/>
  <c r="W16" i="29"/>
  <c r="V16" i="29"/>
  <c r="B16" i="29"/>
  <c r="AB15" i="29"/>
  <c r="AA15" i="29"/>
  <c r="Z15" i="29"/>
  <c r="Y15" i="29"/>
  <c r="X15" i="29"/>
  <c r="W15" i="29"/>
  <c r="V15" i="29"/>
  <c r="B15" i="29"/>
  <c r="AB14" i="29"/>
  <c r="AA14" i="29"/>
  <c r="Z14" i="29"/>
  <c r="Y14" i="29"/>
  <c r="X14" i="29"/>
  <c r="W14" i="29"/>
  <c r="V14" i="29"/>
  <c r="B14" i="29"/>
  <c r="AB13" i="29"/>
  <c r="AA13" i="29"/>
  <c r="Z13" i="29"/>
  <c r="Y13" i="29"/>
  <c r="X13" i="29"/>
  <c r="W13" i="29"/>
  <c r="V13" i="29"/>
  <c r="B13" i="29"/>
  <c r="AB12" i="29"/>
  <c r="AA12" i="29"/>
  <c r="Z12" i="29"/>
  <c r="Z9" i="29" s="1"/>
  <c r="Y12" i="29"/>
  <c r="Y9" i="29" s="1"/>
  <c r="X12" i="29"/>
  <c r="W12" i="29"/>
  <c r="V12" i="29"/>
  <c r="V9" i="29" s="1"/>
  <c r="B12" i="29"/>
  <c r="E10" i="29"/>
  <c r="B23" i="29" s="1"/>
  <c r="AB9" i="29"/>
  <c r="AA9" i="29"/>
  <c r="S9" i="29"/>
  <c r="AB10" i="29" s="1"/>
  <c r="G9" i="29"/>
  <c r="S8" i="29"/>
  <c r="AA10" i="29" s="1"/>
  <c r="G8" i="29"/>
  <c r="S7" i="29"/>
  <c r="Z10" i="29" s="1"/>
  <c r="G7" i="29"/>
  <c r="S6" i="29"/>
  <c r="Y10" i="29" s="1"/>
  <c r="G6" i="29"/>
  <c r="S5" i="29"/>
  <c r="X10" i="29" s="1"/>
  <c r="G5" i="29"/>
  <c r="S4" i="29"/>
  <c r="W10" i="29" s="1"/>
  <c r="G4" i="29"/>
  <c r="S3" i="29"/>
  <c r="V10" i="29" s="1"/>
  <c r="G3" i="29"/>
  <c r="F6" i="34" l="1"/>
  <c r="G6" i="34" s="1"/>
  <c r="H6" i="34" s="1"/>
  <c r="I6" i="34" s="1"/>
  <c r="J6" i="34" s="1"/>
  <c r="L6" i="34" s="1"/>
  <c r="M6" i="34" s="1"/>
  <c r="F8" i="30"/>
  <c r="F3" i="35"/>
  <c r="G3" i="30"/>
  <c r="H3" i="30" s="1"/>
  <c r="I3" i="30" s="1"/>
  <c r="J3" i="30" s="1"/>
  <c r="L3" i="30" s="1"/>
  <c r="M3" i="30" s="1"/>
  <c r="M8" i="30" s="1"/>
  <c r="H3" i="36"/>
  <c r="I3" i="36" s="1"/>
  <c r="J3" i="36" s="1"/>
  <c r="K3" i="36" s="1"/>
  <c r="K5" i="36" s="1"/>
  <c r="G5" i="36"/>
  <c r="G3" i="34"/>
  <c r="H3" i="34" s="1"/>
  <c r="I3" i="34" s="1"/>
  <c r="J3" i="34" s="1"/>
  <c r="L3" i="34" s="1"/>
  <c r="M3" i="34" s="1"/>
  <c r="M8" i="34" s="1"/>
  <c r="F7" i="33"/>
  <c r="G7" i="33" s="1"/>
  <c r="H7" i="33" s="1"/>
  <c r="I7" i="33" s="1"/>
  <c r="F6" i="33"/>
  <c r="G6" i="33" s="1"/>
  <c r="H6" i="33" s="1"/>
  <c r="I6" i="33" s="1"/>
  <c r="G3" i="33"/>
  <c r="H3" i="33" s="1"/>
  <c r="I3" i="33" s="1"/>
  <c r="F5" i="33"/>
  <c r="G5" i="33" s="1"/>
  <c r="H5" i="33" s="1"/>
  <c r="I5" i="33" s="1"/>
  <c r="F4" i="33"/>
  <c r="G4" i="33" s="1"/>
  <c r="H4" i="33" s="1"/>
  <c r="I4" i="33" s="1"/>
  <c r="G3" i="31"/>
  <c r="H3" i="31" s="1"/>
  <c r="I3" i="31" s="1"/>
  <c r="J3" i="31" s="1"/>
  <c r="L3" i="31" s="1"/>
  <c r="M3" i="31" s="1"/>
  <c r="M8" i="31" s="1"/>
  <c r="W23" i="29"/>
  <c r="X9" i="29"/>
  <c r="W9" i="29"/>
  <c r="G10" i="29"/>
  <c r="M6" i="28"/>
  <c r="B23" i="28"/>
  <c r="U22" i="28"/>
  <c r="U21" i="28"/>
  <c r="W21" i="28" s="1"/>
  <c r="I5" i="28"/>
  <c r="I4" i="28"/>
  <c r="I3" i="28"/>
  <c r="Q5" i="28"/>
  <c r="Q4" i="28"/>
  <c r="Q3" i="28"/>
  <c r="B12" i="28"/>
  <c r="B13" i="28"/>
  <c r="B14" i="28"/>
  <c r="AB18" i="28"/>
  <c r="AA18" i="28"/>
  <c r="Z18" i="28"/>
  <c r="Y18" i="28"/>
  <c r="X18" i="28"/>
  <c r="W18" i="28"/>
  <c r="V18" i="28"/>
  <c r="B18" i="28"/>
  <c r="AB17" i="28"/>
  <c r="AA17" i="28"/>
  <c r="Z17" i="28"/>
  <c r="Y17" i="28"/>
  <c r="X17" i="28"/>
  <c r="W17" i="28"/>
  <c r="V17" i="28"/>
  <c r="B17" i="28"/>
  <c r="AB16" i="28"/>
  <c r="AA16" i="28"/>
  <c r="Z16" i="28"/>
  <c r="Y16" i="28"/>
  <c r="X16" i="28"/>
  <c r="W16" i="28"/>
  <c r="V16" i="28"/>
  <c r="B16" i="28"/>
  <c r="AB15" i="28"/>
  <c r="AA15" i="28"/>
  <c r="Z15" i="28"/>
  <c r="Y15" i="28"/>
  <c r="X15" i="28"/>
  <c r="W15" i="28"/>
  <c r="V15" i="28"/>
  <c r="B15" i="28"/>
  <c r="AB14" i="28"/>
  <c r="AA14" i="28"/>
  <c r="Z14" i="28"/>
  <c r="Y14" i="28"/>
  <c r="X14" i="28"/>
  <c r="W14" i="28"/>
  <c r="V14" i="28"/>
  <c r="AB13" i="28"/>
  <c r="AA13" i="28"/>
  <c r="Z13" i="28"/>
  <c r="Y13" i="28"/>
  <c r="X13" i="28"/>
  <c r="W13" i="28"/>
  <c r="V13" i="28"/>
  <c r="AB12" i="28"/>
  <c r="AA12" i="28"/>
  <c r="Z12" i="28"/>
  <c r="Y12" i="28"/>
  <c r="X12" i="28"/>
  <c r="W12" i="28"/>
  <c r="V12" i="28"/>
  <c r="V10" i="28"/>
  <c r="S9" i="28"/>
  <c r="AB10" i="28" s="1"/>
  <c r="S8" i="28"/>
  <c r="AA10" i="28" s="1"/>
  <c r="S7" i="28"/>
  <c r="Z10" i="28" s="1"/>
  <c r="S6" i="28"/>
  <c r="Y10" i="28" s="1"/>
  <c r="S5" i="28"/>
  <c r="X10" i="28" s="1"/>
  <c r="S4" i="28"/>
  <c r="W10" i="28" s="1"/>
  <c r="S3" i="28"/>
  <c r="J3" i="33" l="1"/>
  <c r="F8" i="35"/>
  <c r="G3" i="35"/>
  <c r="H3" i="35" s="1"/>
  <c r="I3" i="35" s="1"/>
  <c r="J3" i="35" s="1"/>
  <c r="L3" i="35" s="1"/>
  <c r="M3" i="35" s="1"/>
  <c r="M8" i="35" s="1"/>
  <c r="J6" i="33"/>
  <c r="J4" i="33"/>
  <c r="J7" i="33"/>
  <c r="J5" i="33"/>
  <c r="F8" i="34"/>
  <c r="L5" i="36"/>
  <c r="M5" i="36" s="1"/>
  <c r="F8" i="33"/>
  <c r="C23" i="29"/>
  <c r="D23" i="29" s="1"/>
  <c r="W22" i="28"/>
  <c r="W23" i="28" s="1"/>
  <c r="I6" i="28"/>
  <c r="J4" i="28" s="1"/>
  <c r="Y9" i="28"/>
  <c r="AA9" i="28"/>
  <c r="X9" i="28"/>
  <c r="V9" i="28"/>
  <c r="W9" i="28"/>
  <c r="AB9" i="28"/>
  <c r="Z9" i="28"/>
  <c r="P8" i="19"/>
  <c r="P7" i="19"/>
  <c r="P6" i="19"/>
  <c r="P5" i="19"/>
  <c r="P4" i="19"/>
  <c r="P3" i="19"/>
  <c r="D8" i="19"/>
  <c r="L8" i="19" s="1"/>
  <c r="M8" i="19" s="1"/>
  <c r="M8" i="33" l="1"/>
  <c r="K5" i="28"/>
  <c r="K4" i="28"/>
  <c r="L4" i="28"/>
  <c r="M4" i="28" s="1"/>
  <c r="N4" i="28" s="1"/>
  <c r="F4" i="28" s="1"/>
  <c r="G4" i="28" s="1"/>
  <c r="J3" i="28"/>
  <c r="K3" i="28" s="1"/>
  <c r="J5" i="28"/>
  <c r="L5" i="28" l="1"/>
  <c r="M5" i="28" s="1"/>
  <c r="N5" i="28" s="1"/>
  <c r="F5" i="28" s="1"/>
  <c r="G5" i="28" s="1"/>
  <c r="J6" i="28"/>
  <c r="K6" i="28"/>
  <c r="O6" i="28" s="1"/>
  <c r="P6" i="28" s="1"/>
  <c r="L3" i="28"/>
  <c r="M3" i="28" s="1"/>
  <c r="N3" i="28" s="1"/>
  <c r="F3" i="28" s="1"/>
  <c r="G3" i="28" s="1"/>
  <c r="G10" i="28" s="1"/>
  <c r="C23" i="28" s="1"/>
  <c r="D23" i="28" s="1"/>
  <c r="L8" i="16"/>
  <c r="O3" i="16"/>
  <c r="O4" i="16"/>
  <c r="O5" i="16"/>
  <c r="O6" i="16"/>
  <c r="O8" i="16" s="1"/>
  <c r="O7" i="16"/>
  <c r="D8" i="16"/>
  <c r="U22" i="27" l="1"/>
  <c r="W22" i="27" s="1"/>
  <c r="U21" i="27"/>
  <c r="W21" i="27" s="1"/>
  <c r="W23" i="27" s="1"/>
  <c r="B12" i="27"/>
  <c r="AB18" i="27"/>
  <c r="AA18" i="27"/>
  <c r="Z18" i="27"/>
  <c r="Y18" i="27"/>
  <c r="X18" i="27"/>
  <c r="W18" i="27"/>
  <c r="AB17" i="27"/>
  <c r="AA17" i="27"/>
  <c r="Z17" i="27"/>
  <c r="Y17" i="27"/>
  <c r="X17" i="27"/>
  <c r="W17" i="27"/>
  <c r="V18" i="27"/>
  <c r="V17" i="27"/>
  <c r="S6" i="27"/>
  <c r="Y10" i="27" s="1"/>
  <c r="S5" i="27"/>
  <c r="X10" i="27" s="1"/>
  <c r="Y16" i="27"/>
  <c r="X16" i="27"/>
  <c r="Y15" i="27"/>
  <c r="X15" i="27"/>
  <c r="Y14" i="27"/>
  <c r="X14" i="27"/>
  <c r="Y13" i="27"/>
  <c r="X13" i="27"/>
  <c r="Y12" i="27"/>
  <c r="X12" i="27"/>
  <c r="B18" i="27"/>
  <c r="B17" i="27"/>
  <c r="G6" i="27"/>
  <c r="G5" i="27"/>
  <c r="G8" i="27"/>
  <c r="G7" i="27"/>
  <c r="G4" i="27"/>
  <c r="AB16" i="27"/>
  <c r="AA16" i="27"/>
  <c r="Z16" i="27"/>
  <c r="W16" i="27"/>
  <c r="V16" i="27"/>
  <c r="B16" i="27"/>
  <c r="AB15" i="27"/>
  <c r="AA15" i="27"/>
  <c r="Z15" i="27"/>
  <c r="W15" i="27"/>
  <c r="V15" i="27"/>
  <c r="B15" i="27"/>
  <c r="AB14" i="27"/>
  <c r="AA14" i="27"/>
  <c r="Z14" i="27"/>
  <c r="W14" i="27"/>
  <c r="V14" i="27"/>
  <c r="B14" i="27"/>
  <c r="AB13" i="27"/>
  <c r="AA13" i="27"/>
  <c r="Z13" i="27"/>
  <c r="W13" i="27"/>
  <c r="V13" i="27"/>
  <c r="B13" i="27"/>
  <c r="AB12" i="27"/>
  <c r="AA12" i="27"/>
  <c r="Z12" i="27"/>
  <c r="W12" i="27"/>
  <c r="V12" i="27"/>
  <c r="E10" i="27"/>
  <c r="B23" i="27" s="1"/>
  <c r="S9" i="27"/>
  <c r="AB10" i="27" s="1"/>
  <c r="G9" i="27"/>
  <c r="S8" i="27"/>
  <c r="AA10" i="27" s="1"/>
  <c r="S7" i="27"/>
  <c r="Z10" i="27" s="1"/>
  <c r="S4" i="27"/>
  <c r="W10" i="27" s="1"/>
  <c r="S3" i="27"/>
  <c r="V10" i="27" s="1"/>
  <c r="G3" i="27"/>
  <c r="Z9" i="27" l="1"/>
  <c r="AA9" i="27"/>
  <c r="W9" i="27"/>
  <c r="AB9" i="27"/>
  <c r="X9" i="27"/>
  <c r="Y9" i="27"/>
  <c r="V9" i="27"/>
  <c r="G10" i="27"/>
  <c r="C23" i="27" s="1"/>
  <c r="D23" i="27" l="1"/>
  <c r="S20" i="26"/>
  <c r="Y19" i="26"/>
  <c r="X19" i="26"/>
  <c r="W19" i="26"/>
  <c r="V19" i="26"/>
  <c r="U19" i="26"/>
  <c r="B19" i="26"/>
  <c r="Y18" i="26"/>
  <c r="X18" i="26"/>
  <c r="W18" i="26"/>
  <c r="V18" i="26"/>
  <c r="U18" i="26"/>
  <c r="B18" i="26"/>
  <c r="Y17" i="26"/>
  <c r="X17" i="26"/>
  <c r="W17" i="26"/>
  <c r="V17" i="26"/>
  <c r="U17" i="26"/>
  <c r="B17" i="26"/>
  <c r="Y16" i="26"/>
  <c r="X16" i="26"/>
  <c r="W16" i="26"/>
  <c r="V16" i="26"/>
  <c r="U16" i="26"/>
  <c r="B16" i="26"/>
  <c r="Y15" i="26"/>
  <c r="X15" i="26"/>
  <c r="W15" i="26"/>
  <c r="V15" i="26"/>
  <c r="U15" i="26"/>
  <c r="U12" i="26" s="1"/>
  <c r="B15" i="26"/>
  <c r="U13" i="26"/>
  <c r="X12" i="26"/>
  <c r="E11" i="26"/>
  <c r="F11" i="26" s="1"/>
  <c r="D8" i="26"/>
  <c r="H7" i="26"/>
  <c r="G7" i="26"/>
  <c r="Y13" i="26" s="1"/>
  <c r="E7" i="26"/>
  <c r="H6" i="26"/>
  <c r="G6" i="26"/>
  <c r="X13" i="26" s="1"/>
  <c r="E6" i="26"/>
  <c r="H5" i="26"/>
  <c r="G5" i="26"/>
  <c r="W13" i="26" s="1"/>
  <c r="E5" i="26"/>
  <c r="H4" i="26"/>
  <c r="G4" i="26"/>
  <c r="V13" i="26" s="1"/>
  <c r="E4" i="26"/>
  <c r="H3" i="26"/>
  <c r="H8" i="26" s="1"/>
  <c r="G3" i="26"/>
  <c r="E3" i="26"/>
  <c r="X13" i="25"/>
  <c r="H7" i="25"/>
  <c r="G7" i="25"/>
  <c r="Y13" i="25" s="1"/>
  <c r="E7" i="25"/>
  <c r="H6" i="25"/>
  <c r="G6" i="25"/>
  <c r="E6" i="25"/>
  <c r="I7" i="26" l="1"/>
  <c r="I6" i="26"/>
  <c r="J6" i="26" s="1"/>
  <c r="K6" i="26" s="1"/>
  <c r="L6" i="26" s="1"/>
  <c r="M6" i="26" s="1"/>
  <c r="Y12" i="26"/>
  <c r="I5" i="26"/>
  <c r="J5" i="26" s="1"/>
  <c r="K5" i="26" s="1"/>
  <c r="L5" i="26" s="1"/>
  <c r="M5" i="26" s="1"/>
  <c r="V12" i="26"/>
  <c r="I3" i="26"/>
  <c r="I4" i="26"/>
  <c r="J4" i="26" s="1"/>
  <c r="K4" i="26" s="1"/>
  <c r="L4" i="26" s="1"/>
  <c r="M4" i="26" s="1"/>
  <c r="W12" i="26"/>
  <c r="J7" i="26"/>
  <c r="K7" i="26" s="1"/>
  <c r="L7" i="26" s="1"/>
  <c r="M7" i="26" s="1"/>
  <c r="J3" i="26"/>
  <c r="K10" i="26"/>
  <c r="L10" i="26" s="1"/>
  <c r="M10" i="26" s="1"/>
  <c r="D8" i="25"/>
  <c r="S20" i="25"/>
  <c r="E11" i="25" s="1"/>
  <c r="F11" i="25" s="1"/>
  <c r="Y19" i="25"/>
  <c r="X19" i="25"/>
  <c r="W19" i="25"/>
  <c r="V19" i="25"/>
  <c r="U19" i="25"/>
  <c r="B19" i="25"/>
  <c r="Y18" i="25"/>
  <c r="X18" i="25"/>
  <c r="W18" i="25"/>
  <c r="V18" i="25"/>
  <c r="U18" i="25"/>
  <c r="B18" i="25"/>
  <c r="Y17" i="25"/>
  <c r="X17" i="25"/>
  <c r="W17" i="25"/>
  <c r="V17" i="25"/>
  <c r="U17" i="25"/>
  <c r="B17" i="25"/>
  <c r="Y16" i="25"/>
  <c r="X16" i="25"/>
  <c r="W16" i="25"/>
  <c r="V16" i="25"/>
  <c r="U16" i="25"/>
  <c r="B16" i="25"/>
  <c r="Y15" i="25"/>
  <c r="X15" i="25"/>
  <c r="W15" i="25"/>
  <c r="V15" i="25"/>
  <c r="U15" i="25"/>
  <c r="B15" i="25"/>
  <c r="H5" i="25"/>
  <c r="G5" i="25"/>
  <c r="W13" i="25" s="1"/>
  <c r="E5" i="25"/>
  <c r="H4" i="25"/>
  <c r="G4" i="25"/>
  <c r="V13" i="25" s="1"/>
  <c r="E4" i="25"/>
  <c r="H3" i="25"/>
  <c r="G3" i="25"/>
  <c r="U13" i="25" s="1"/>
  <c r="E3" i="25"/>
  <c r="D8" i="24"/>
  <c r="K10" i="24" s="1"/>
  <c r="L10" i="24" s="1"/>
  <c r="M10" i="24" s="1"/>
  <c r="H7" i="24"/>
  <c r="G7" i="24"/>
  <c r="Y13" i="24" s="1"/>
  <c r="E7" i="24"/>
  <c r="H6" i="24"/>
  <c r="G6" i="24"/>
  <c r="E6" i="24"/>
  <c r="S20" i="24"/>
  <c r="E11" i="24" s="1"/>
  <c r="F11" i="24" s="1"/>
  <c r="Y19" i="24"/>
  <c r="X19" i="24"/>
  <c r="W19" i="24"/>
  <c r="V19" i="24"/>
  <c r="U19" i="24"/>
  <c r="B19" i="24"/>
  <c r="Y18" i="24"/>
  <c r="X18" i="24"/>
  <c r="W18" i="24"/>
  <c r="V18" i="24"/>
  <c r="U18" i="24"/>
  <c r="B18" i="24"/>
  <c r="Y17" i="24"/>
  <c r="X17" i="24"/>
  <c r="W17" i="24"/>
  <c r="V17" i="24"/>
  <c r="U17" i="24"/>
  <c r="B17" i="24"/>
  <c r="Y16" i="24"/>
  <c r="X16" i="24"/>
  <c r="W16" i="24"/>
  <c r="V16" i="24"/>
  <c r="U16" i="24"/>
  <c r="B16" i="24"/>
  <c r="Y15" i="24"/>
  <c r="X15" i="24"/>
  <c r="W15" i="24"/>
  <c r="V15" i="24"/>
  <c r="U15" i="24"/>
  <c r="B15" i="24"/>
  <c r="X13" i="24"/>
  <c r="H5" i="24"/>
  <c r="G5" i="24"/>
  <c r="W13" i="24" s="1"/>
  <c r="E5" i="24"/>
  <c r="H4" i="24"/>
  <c r="G4" i="24"/>
  <c r="V13" i="24" s="1"/>
  <c r="E4" i="24"/>
  <c r="H3" i="24"/>
  <c r="H8" i="24" s="1"/>
  <c r="G3" i="24"/>
  <c r="U13" i="24" s="1"/>
  <c r="E3" i="24"/>
  <c r="S20" i="23"/>
  <c r="E11" i="23" s="1"/>
  <c r="F11" i="23" s="1"/>
  <c r="Y19" i="23"/>
  <c r="X19" i="23"/>
  <c r="W19" i="23"/>
  <c r="V19" i="23"/>
  <c r="U19" i="23"/>
  <c r="B19" i="23"/>
  <c r="Y18" i="23"/>
  <c r="X18" i="23"/>
  <c r="W18" i="23"/>
  <c r="V18" i="23"/>
  <c r="U18" i="23"/>
  <c r="B18" i="23"/>
  <c r="Y17" i="23"/>
  <c r="X17" i="23"/>
  <c r="W17" i="23"/>
  <c r="V17" i="23"/>
  <c r="U17" i="23"/>
  <c r="B17" i="23"/>
  <c r="Y16" i="23"/>
  <c r="X16" i="23"/>
  <c r="W16" i="23"/>
  <c r="V16" i="23"/>
  <c r="U16" i="23"/>
  <c r="B16" i="23"/>
  <c r="Y15" i="23"/>
  <c r="Y12" i="23" s="1"/>
  <c r="X15" i="23"/>
  <c r="X12" i="23" s="1"/>
  <c r="W15" i="23"/>
  <c r="V15" i="23"/>
  <c r="U15" i="23"/>
  <c r="U12" i="23" s="1"/>
  <c r="B15" i="23"/>
  <c r="X13" i="23"/>
  <c r="V13" i="23"/>
  <c r="U13" i="23"/>
  <c r="H5" i="23"/>
  <c r="G5" i="23"/>
  <c r="W13" i="23" s="1"/>
  <c r="E5" i="23"/>
  <c r="H4" i="23"/>
  <c r="G4" i="23"/>
  <c r="E4" i="23"/>
  <c r="H3" i="23"/>
  <c r="H8" i="23" s="1"/>
  <c r="G3" i="23"/>
  <c r="E3" i="23"/>
  <c r="S20" i="22"/>
  <c r="E11" i="22" s="1"/>
  <c r="F11" i="22" s="1"/>
  <c r="Y19" i="22"/>
  <c r="X19" i="22"/>
  <c r="W19" i="22"/>
  <c r="V19" i="22"/>
  <c r="U19" i="22"/>
  <c r="B19" i="22"/>
  <c r="Y18" i="22"/>
  <c r="X18" i="22"/>
  <c r="W18" i="22"/>
  <c r="V18" i="22"/>
  <c r="U18" i="22"/>
  <c r="B18" i="22"/>
  <c r="Y17" i="22"/>
  <c r="X17" i="22"/>
  <c r="W17" i="22"/>
  <c r="V17" i="22"/>
  <c r="U17" i="22"/>
  <c r="B17" i="22"/>
  <c r="Y16" i="22"/>
  <c r="X16" i="22"/>
  <c r="W16" i="22"/>
  <c r="V16" i="22"/>
  <c r="U16" i="22"/>
  <c r="B16" i="22"/>
  <c r="Y15" i="22"/>
  <c r="X15" i="22"/>
  <c r="W15" i="22"/>
  <c r="V15" i="22"/>
  <c r="U15" i="22"/>
  <c r="B15" i="22"/>
  <c r="X13" i="22"/>
  <c r="W13" i="22"/>
  <c r="H4" i="22"/>
  <c r="G4" i="22"/>
  <c r="V13" i="22" s="1"/>
  <c r="E4" i="22"/>
  <c r="H3" i="22"/>
  <c r="G3" i="22"/>
  <c r="U13" i="22" s="1"/>
  <c r="E3" i="22"/>
  <c r="S20" i="21"/>
  <c r="E11" i="21" s="1"/>
  <c r="F11" i="21" s="1"/>
  <c r="Y19" i="21"/>
  <c r="X19" i="21"/>
  <c r="W19" i="21"/>
  <c r="V19" i="21"/>
  <c r="U19" i="21"/>
  <c r="B19" i="21"/>
  <c r="Y18" i="21"/>
  <c r="X18" i="21"/>
  <c r="W18" i="21"/>
  <c r="V18" i="21"/>
  <c r="U18" i="21"/>
  <c r="B18" i="21"/>
  <c r="Y17" i="21"/>
  <c r="X17" i="21"/>
  <c r="W17" i="21"/>
  <c r="V17" i="21"/>
  <c r="U17" i="21"/>
  <c r="B17" i="21"/>
  <c r="Y16" i="21"/>
  <c r="X16" i="21"/>
  <c r="W16" i="21"/>
  <c r="V16" i="21"/>
  <c r="U16" i="21"/>
  <c r="B16" i="21"/>
  <c r="Y15" i="21"/>
  <c r="X15" i="21"/>
  <c r="W15" i="21"/>
  <c r="V15" i="21"/>
  <c r="U15" i="21"/>
  <c r="B15" i="21"/>
  <c r="X13" i="21"/>
  <c r="H5" i="21"/>
  <c r="G5" i="21"/>
  <c r="W13" i="21" s="1"/>
  <c r="E5" i="21"/>
  <c r="V13" i="21"/>
  <c r="U13" i="21"/>
  <c r="I8" i="26" l="1"/>
  <c r="V12" i="23"/>
  <c r="H8" i="25"/>
  <c r="I6" i="25" s="1"/>
  <c r="J6" i="25" s="1"/>
  <c r="K6" i="25" s="1"/>
  <c r="L6" i="25" s="1"/>
  <c r="M6" i="25" s="1"/>
  <c r="W12" i="23"/>
  <c r="K10" i="25"/>
  <c r="L10" i="25" s="1"/>
  <c r="M10" i="25" s="1"/>
  <c r="W12" i="22"/>
  <c r="J8" i="26"/>
  <c r="K3" i="26"/>
  <c r="L3" i="26" s="1"/>
  <c r="M3" i="26" s="1"/>
  <c r="X12" i="25"/>
  <c r="V12" i="25"/>
  <c r="U12" i="25"/>
  <c r="Y12" i="25"/>
  <c r="W12" i="25"/>
  <c r="I7" i="25"/>
  <c r="J7" i="25" s="1"/>
  <c r="K7" i="25" s="1"/>
  <c r="L7" i="25" s="1"/>
  <c r="M7" i="25" s="1"/>
  <c r="I4" i="25"/>
  <c r="J4" i="25" s="1"/>
  <c r="K4" i="25" s="1"/>
  <c r="L4" i="25" s="1"/>
  <c r="M4" i="25" s="1"/>
  <c r="V12" i="24"/>
  <c r="Y12" i="24"/>
  <c r="W12" i="24"/>
  <c r="U12" i="24"/>
  <c r="X12" i="24"/>
  <c r="I7" i="24"/>
  <c r="J7" i="24" s="1"/>
  <c r="K7" i="24" s="1"/>
  <c r="L7" i="24" s="1"/>
  <c r="M7" i="24" s="1"/>
  <c r="I4" i="23"/>
  <c r="J4" i="23" s="1"/>
  <c r="K4" i="23" s="1"/>
  <c r="L4" i="23" s="1"/>
  <c r="I5" i="23"/>
  <c r="J5" i="23" s="1"/>
  <c r="K5" i="23" s="1"/>
  <c r="L5" i="23" s="1"/>
  <c r="I3" i="23"/>
  <c r="V12" i="22"/>
  <c r="U12" i="22"/>
  <c r="Y12" i="22"/>
  <c r="X12" i="22"/>
  <c r="H8" i="22"/>
  <c r="I4" i="22" s="1"/>
  <c r="J4" i="22" s="1"/>
  <c r="K4" i="22" s="1"/>
  <c r="L4" i="22" s="1"/>
  <c r="W12" i="21"/>
  <c r="X12" i="21"/>
  <c r="Y12" i="21"/>
  <c r="V12" i="21"/>
  <c r="U12" i="21"/>
  <c r="H8" i="21"/>
  <c r="I5" i="21" s="1"/>
  <c r="J5" i="21" s="1"/>
  <c r="K5" i="21" s="1"/>
  <c r="L5" i="21" s="1"/>
  <c r="M5" i="23" l="1"/>
  <c r="N5" i="23"/>
  <c r="M4" i="23"/>
  <c r="N4" i="23"/>
  <c r="I3" i="25"/>
  <c r="I8" i="23"/>
  <c r="I5" i="25"/>
  <c r="J5" i="25" s="1"/>
  <c r="K5" i="25" s="1"/>
  <c r="L5" i="25" s="1"/>
  <c r="M5" i="25" s="1"/>
  <c r="M5" i="21"/>
  <c r="N5" i="21"/>
  <c r="M4" i="22"/>
  <c r="N4" i="22"/>
  <c r="I8" i="25"/>
  <c r="J3" i="25"/>
  <c r="K3" i="25" s="1"/>
  <c r="L3" i="25" s="1"/>
  <c r="M3" i="25" s="1"/>
  <c r="I5" i="24"/>
  <c r="J5" i="24" s="1"/>
  <c r="K5" i="24" s="1"/>
  <c r="L5" i="24" s="1"/>
  <c r="M5" i="24" s="1"/>
  <c r="I6" i="24"/>
  <c r="J6" i="24" s="1"/>
  <c r="K6" i="24" s="1"/>
  <c r="L6" i="24" s="1"/>
  <c r="M6" i="24" s="1"/>
  <c r="I3" i="24"/>
  <c r="I8" i="24" s="1"/>
  <c r="I4" i="24"/>
  <c r="J4" i="24" s="1"/>
  <c r="K4" i="24" s="1"/>
  <c r="L4" i="24" s="1"/>
  <c r="M4" i="24" s="1"/>
  <c r="J3" i="23"/>
  <c r="I3" i="22"/>
  <c r="J3" i="22" s="1"/>
  <c r="K3" i="22" s="1"/>
  <c r="L3" i="22" s="1"/>
  <c r="S20" i="20"/>
  <c r="E11" i="20" s="1"/>
  <c r="F11" i="20" s="1"/>
  <c r="Y19" i="20"/>
  <c r="X19" i="20"/>
  <c r="W19" i="20"/>
  <c r="V19" i="20"/>
  <c r="U19" i="20"/>
  <c r="B19" i="20"/>
  <c r="Y18" i="20"/>
  <c r="X18" i="20"/>
  <c r="W18" i="20"/>
  <c r="V18" i="20"/>
  <c r="U18" i="20"/>
  <c r="B18" i="20"/>
  <c r="Y17" i="20"/>
  <c r="X17" i="20"/>
  <c r="W17" i="20"/>
  <c r="V17" i="20"/>
  <c r="U17" i="20"/>
  <c r="B17" i="20"/>
  <c r="Y16" i="20"/>
  <c r="X16" i="20"/>
  <c r="W16" i="20"/>
  <c r="V16" i="20"/>
  <c r="U16" i="20"/>
  <c r="B16" i="20"/>
  <c r="Y15" i="20"/>
  <c r="X15" i="20"/>
  <c r="W15" i="20"/>
  <c r="V15" i="20"/>
  <c r="U15" i="20"/>
  <c r="B15" i="20"/>
  <c r="H6" i="20"/>
  <c r="G6" i="20"/>
  <c r="X13" i="20" s="1"/>
  <c r="E6" i="20"/>
  <c r="H5" i="20"/>
  <c r="G5" i="20"/>
  <c r="W13" i="20" s="1"/>
  <c r="E5" i="20"/>
  <c r="H4" i="20"/>
  <c r="G4" i="20"/>
  <c r="V13" i="20" s="1"/>
  <c r="E4" i="20"/>
  <c r="H3" i="20"/>
  <c r="G3" i="20"/>
  <c r="U13" i="20" s="1"/>
  <c r="E3" i="20"/>
  <c r="M3" i="22" l="1"/>
  <c r="N3" i="22"/>
  <c r="J8" i="25"/>
  <c r="J3" i="24"/>
  <c r="K3" i="23"/>
  <c r="L3" i="23" s="1"/>
  <c r="J8" i="23"/>
  <c r="J8" i="22"/>
  <c r="I8" i="22"/>
  <c r="I8" i="21"/>
  <c r="U12" i="20"/>
  <c r="W12" i="20"/>
  <c r="X12" i="20"/>
  <c r="Y12" i="20"/>
  <c r="V12" i="20"/>
  <c r="H8" i="20"/>
  <c r="I4" i="20" s="1"/>
  <c r="J4" i="20" s="1"/>
  <c r="K4" i="20" s="1"/>
  <c r="L4" i="20" s="1"/>
  <c r="M4" i="20" s="1"/>
  <c r="S20" i="19"/>
  <c r="E11" i="19" s="1"/>
  <c r="F11" i="19" s="1"/>
  <c r="Y19" i="19"/>
  <c r="X19" i="19"/>
  <c r="W19" i="19"/>
  <c r="V19" i="19"/>
  <c r="U19" i="19"/>
  <c r="B19" i="19"/>
  <c r="Y18" i="19"/>
  <c r="X18" i="19"/>
  <c r="W18" i="19"/>
  <c r="V18" i="19"/>
  <c r="U18" i="19"/>
  <c r="B18" i="19"/>
  <c r="Y17" i="19"/>
  <c r="X17" i="19"/>
  <c r="W17" i="19"/>
  <c r="V17" i="19"/>
  <c r="U17" i="19"/>
  <c r="B17" i="19"/>
  <c r="Y16" i="19"/>
  <c r="X16" i="19"/>
  <c r="W16" i="19"/>
  <c r="V16" i="19"/>
  <c r="U16" i="19"/>
  <c r="B16" i="19"/>
  <c r="Y15" i="19"/>
  <c r="X15" i="19"/>
  <c r="W15" i="19"/>
  <c r="V15" i="19"/>
  <c r="U15" i="19"/>
  <c r="B15" i="19"/>
  <c r="H7" i="19"/>
  <c r="G7" i="19"/>
  <c r="X13" i="19" s="1"/>
  <c r="E7" i="19"/>
  <c r="H6" i="19"/>
  <c r="G6" i="19"/>
  <c r="E6" i="19"/>
  <c r="H5" i="19"/>
  <c r="G5" i="19"/>
  <c r="E5" i="19"/>
  <c r="H4" i="19"/>
  <c r="G4" i="19"/>
  <c r="V13" i="19" s="1"/>
  <c r="E4" i="19"/>
  <c r="H3" i="19"/>
  <c r="G3" i="19"/>
  <c r="U13" i="19" s="1"/>
  <c r="E3" i="19"/>
  <c r="S20" i="17"/>
  <c r="E11" i="17" s="1"/>
  <c r="F11" i="17" s="1"/>
  <c r="Y19" i="17"/>
  <c r="X19" i="17"/>
  <c r="W19" i="17"/>
  <c r="V19" i="17"/>
  <c r="U19" i="17"/>
  <c r="B19" i="17"/>
  <c r="Y18" i="17"/>
  <c r="X18" i="17"/>
  <c r="W18" i="17"/>
  <c r="V18" i="17"/>
  <c r="U18" i="17"/>
  <c r="B18" i="17"/>
  <c r="Y17" i="17"/>
  <c r="X17" i="17"/>
  <c r="W17" i="17"/>
  <c r="V17" i="17"/>
  <c r="U17" i="17"/>
  <c r="B17" i="17"/>
  <c r="Y16" i="17"/>
  <c r="X16" i="17"/>
  <c r="W16" i="17"/>
  <c r="V16" i="17"/>
  <c r="U16" i="17"/>
  <c r="B16" i="17"/>
  <c r="Y15" i="17"/>
  <c r="X15" i="17"/>
  <c r="W15" i="17"/>
  <c r="V15" i="17"/>
  <c r="U15" i="17"/>
  <c r="B15" i="17"/>
  <c r="H7" i="17"/>
  <c r="G7" i="17"/>
  <c r="X13" i="17" s="1"/>
  <c r="E7" i="17"/>
  <c r="H6" i="17"/>
  <c r="G6" i="17"/>
  <c r="W13" i="17" s="1"/>
  <c r="E6" i="17"/>
  <c r="H5" i="17"/>
  <c r="G5" i="17"/>
  <c r="E5" i="17"/>
  <c r="H4" i="17"/>
  <c r="G4" i="17"/>
  <c r="V13" i="17" s="1"/>
  <c r="E4" i="17"/>
  <c r="H3" i="17"/>
  <c r="G3" i="17"/>
  <c r="U13" i="17" s="1"/>
  <c r="E3" i="17"/>
  <c r="Z18" i="16"/>
  <c r="S20" i="16"/>
  <c r="E11" i="16" s="1"/>
  <c r="F11" i="16" s="1"/>
  <c r="Y19" i="16"/>
  <c r="X19" i="16"/>
  <c r="W19" i="16"/>
  <c r="V19" i="16"/>
  <c r="U19" i="16"/>
  <c r="B19" i="16"/>
  <c r="Y18" i="16"/>
  <c r="X18" i="16"/>
  <c r="W18" i="16"/>
  <c r="V18" i="16"/>
  <c r="U18" i="16"/>
  <c r="B18" i="16"/>
  <c r="Y17" i="16"/>
  <c r="X17" i="16"/>
  <c r="W17" i="16"/>
  <c r="V17" i="16"/>
  <c r="U17" i="16"/>
  <c r="B17" i="16"/>
  <c r="Y16" i="16"/>
  <c r="X16" i="16"/>
  <c r="W16" i="16"/>
  <c r="V16" i="16"/>
  <c r="U16" i="16"/>
  <c r="B16" i="16"/>
  <c r="Y15" i="16"/>
  <c r="X15" i="16"/>
  <c r="W15" i="16"/>
  <c r="V15" i="16"/>
  <c r="U15" i="16"/>
  <c r="B15" i="16"/>
  <c r="H7" i="16"/>
  <c r="G7" i="16"/>
  <c r="Y13" i="16" s="1"/>
  <c r="E7" i="16"/>
  <c r="H6" i="16"/>
  <c r="G6" i="16"/>
  <c r="X13" i="16" s="1"/>
  <c r="E6" i="16"/>
  <c r="H5" i="16"/>
  <c r="G5" i="16"/>
  <c r="W13" i="16" s="1"/>
  <c r="E5" i="16"/>
  <c r="H4" i="16"/>
  <c r="G4" i="16"/>
  <c r="V13" i="16" s="1"/>
  <c r="E4" i="16"/>
  <c r="H3" i="16"/>
  <c r="G3" i="16"/>
  <c r="U13" i="16" s="1"/>
  <c r="E3" i="16"/>
  <c r="S20" i="15"/>
  <c r="Y19" i="15"/>
  <c r="X19" i="15"/>
  <c r="W19" i="15"/>
  <c r="V19" i="15"/>
  <c r="U19" i="15"/>
  <c r="B19" i="15"/>
  <c r="Y18" i="15"/>
  <c r="X18" i="15"/>
  <c r="W18" i="15"/>
  <c r="V18" i="15"/>
  <c r="U18" i="15"/>
  <c r="B18" i="15"/>
  <c r="Y17" i="15"/>
  <c r="X17" i="15"/>
  <c r="W17" i="15"/>
  <c r="V17" i="15"/>
  <c r="U17" i="15"/>
  <c r="B17" i="15"/>
  <c r="Y16" i="15"/>
  <c r="Y12" i="15" s="1"/>
  <c r="X16" i="15"/>
  <c r="W16" i="15"/>
  <c r="V16" i="15"/>
  <c r="U16" i="15"/>
  <c r="U12" i="15" s="1"/>
  <c r="B16" i="15"/>
  <c r="Y15" i="15"/>
  <c r="X15" i="15"/>
  <c r="X12" i="15" s="1"/>
  <c r="W15" i="15"/>
  <c r="W12" i="15" s="1"/>
  <c r="V15" i="15"/>
  <c r="U15" i="15"/>
  <c r="B15" i="15"/>
  <c r="V13" i="15"/>
  <c r="E11" i="15"/>
  <c r="F11" i="15" s="1"/>
  <c r="H7" i="15"/>
  <c r="G7" i="15"/>
  <c r="Y13" i="15" s="1"/>
  <c r="E7" i="15"/>
  <c r="H6" i="15"/>
  <c r="G6" i="15"/>
  <c r="X13" i="15" s="1"/>
  <c r="E6" i="15"/>
  <c r="H5" i="15"/>
  <c r="G5" i="15"/>
  <c r="W13" i="15" s="1"/>
  <c r="E5" i="15"/>
  <c r="H4" i="15"/>
  <c r="G4" i="15"/>
  <c r="E4" i="15"/>
  <c r="H3" i="15"/>
  <c r="G3" i="15"/>
  <c r="U13" i="15" s="1"/>
  <c r="E3" i="15"/>
  <c r="W13" i="19" l="1"/>
  <c r="H8" i="15"/>
  <c r="V12" i="15"/>
  <c r="M3" i="23"/>
  <c r="N3" i="23"/>
  <c r="H8" i="16"/>
  <c r="I5" i="16" s="1"/>
  <c r="J5" i="16" s="1"/>
  <c r="K5" i="16" s="1"/>
  <c r="L5" i="16" s="1"/>
  <c r="M5" i="16" s="1"/>
  <c r="K3" i="24"/>
  <c r="L3" i="24" s="1"/>
  <c r="M3" i="24" s="1"/>
  <c r="J8" i="24"/>
  <c r="J8" i="21"/>
  <c r="H8" i="19"/>
  <c r="I3" i="19" s="1"/>
  <c r="I3" i="20"/>
  <c r="J3" i="20" s="1"/>
  <c r="K3" i="20" s="1"/>
  <c r="L3" i="20" s="1"/>
  <c r="M3" i="20" s="1"/>
  <c r="I6" i="20"/>
  <c r="J6" i="20" s="1"/>
  <c r="K6" i="20" s="1"/>
  <c r="L6" i="20" s="1"/>
  <c r="M6" i="20" s="1"/>
  <c r="I5" i="20"/>
  <c r="J5" i="20" s="1"/>
  <c r="K5" i="20" s="1"/>
  <c r="L5" i="20" s="1"/>
  <c r="M5" i="20" s="1"/>
  <c r="Y12" i="19"/>
  <c r="U12" i="19"/>
  <c r="X12" i="19"/>
  <c r="W12" i="19"/>
  <c r="V12" i="19"/>
  <c r="W12" i="17"/>
  <c r="Y12" i="17"/>
  <c r="V12" i="17"/>
  <c r="X12" i="17"/>
  <c r="U12" i="17"/>
  <c r="H8" i="17"/>
  <c r="I6" i="17" s="1"/>
  <c r="J6" i="17" s="1"/>
  <c r="K6" i="17" s="1"/>
  <c r="L6" i="17" s="1"/>
  <c r="M6" i="17" s="1"/>
  <c r="Y12" i="16"/>
  <c r="X12" i="16"/>
  <c r="V12" i="16"/>
  <c r="U12" i="16"/>
  <c r="W12" i="16"/>
  <c r="I7" i="15"/>
  <c r="I5" i="15"/>
  <c r="J5" i="15" s="1"/>
  <c r="K5" i="15" s="1"/>
  <c r="L5" i="15" s="1"/>
  <c r="M5" i="15" s="1"/>
  <c r="I3" i="15"/>
  <c r="I8" i="15" s="1"/>
  <c r="I6" i="15"/>
  <c r="I4" i="15"/>
  <c r="J7" i="15"/>
  <c r="K7" i="15" s="1"/>
  <c r="L7" i="15" s="1"/>
  <c r="M7" i="15" s="1"/>
  <c r="J6" i="15"/>
  <c r="K6" i="15" s="1"/>
  <c r="L6" i="15" s="1"/>
  <c r="M6" i="15" s="1"/>
  <c r="J4" i="15"/>
  <c r="K4" i="15" s="1"/>
  <c r="L4" i="15" s="1"/>
  <c r="M4" i="15" s="1"/>
  <c r="H7" i="14"/>
  <c r="H6" i="14"/>
  <c r="H5" i="14"/>
  <c r="H4" i="14"/>
  <c r="H3" i="14"/>
  <c r="S20" i="14"/>
  <c r="E11" i="14" s="1"/>
  <c r="F11" i="14" s="1"/>
  <c r="Y19" i="14"/>
  <c r="X19" i="14"/>
  <c r="W19" i="14"/>
  <c r="V19" i="14"/>
  <c r="U19" i="14"/>
  <c r="Y18" i="14"/>
  <c r="X18" i="14"/>
  <c r="W18" i="14"/>
  <c r="V18" i="14"/>
  <c r="U18" i="14"/>
  <c r="Y17" i="14"/>
  <c r="X17" i="14"/>
  <c r="W17" i="14"/>
  <c r="V17" i="14"/>
  <c r="U17" i="14"/>
  <c r="Y16" i="14"/>
  <c r="X16" i="14"/>
  <c r="W16" i="14"/>
  <c r="V16" i="14"/>
  <c r="U16" i="14"/>
  <c r="Y15" i="14"/>
  <c r="X15" i="14"/>
  <c r="W15" i="14"/>
  <c r="V15" i="14"/>
  <c r="U15" i="14"/>
  <c r="F58" i="7"/>
  <c r="F57" i="7"/>
  <c r="F56" i="7"/>
  <c r="F55" i="7"/>
  <c r="F54" i="7"/>
  <c r="J7" i="14" l="1"/>
  <c r="K7" i="14" s="1"/>
  <c r="L7" i="14" s="1"/>
  <c r="M7" i="14" s="1"/>
  <c r="I7" i="14"/>
  <c r="I3" i="14"/>
  <c r="H8" i="14"/>
  <c r="I6" i="14" s="1"/>
  <c r="J6" i="14" s="1"/>
  <c r="K6" i="14" s="1"/>
  <c r="L6" i="14" s="1"/>
  <c r="M6" i="14" s="1"/>
  <c r="I7" i="16"/>
  <c r="J7" i="16" s="1"/>
  <c r="K7" i="16" s="1"/>
  <c r="L7" i="16" s="1"/>
  <c r="M7" i="16" s="1"/>
  <c r="I4" i="16"/>
  <c r="J4" i="16" s="1"/>
  <c r="K4" i="16" s="1"/>
  <c r="L4" i="16" s="1"/>
  <c r="M4" i="16" s="1"/>
  <c r="I3" i="16"/>
  <c r="J3" i="16" s="1"/>
  <c r="I6" i="16"/>
  <c r="J6" i="16" s="1"/>
  <c r="K6" i="16" s="1"/>
  <c r="L6" i="16" s="1"/>
  <c r="M6" i="16" s="1"/>
  <c r="I7" i="19"/>
  <c r="J7" i="19" s="1"/>
  <c r="K7" i="19" s="1"/>
  <c r="L7" i="19" s="1"/>
  <c r="M7" i="19" s="1"/>
  <c r="I6" i="19"/>
  <c r="J6" i="19" s="1"/>
  <c r="K6" i="19" s="1"/>
  <c r="L6" i="19" s="1"/>
  <c r="M6" i="19" s="1"/>
  <c r="I5" i="19"/>
  <c r="J5" i="19" s="1"/>
  <c r="K5" i="19" s="1"/>
  <c r="L5" i="19" s="1"/>
  <c r="M5" i="19" s="1"/>
  <c r="I4" i="19"/>
  <c r="J4" i="19" s="1"/>
  <c r="K4" i="19" s="1"/>
  <c r="L4" i="19" s="1"/>
  <c r="M4" i="19" s="1"/>
  <c r="I8" i="20"/>
  <c r="J8" i="20"/>
  <c r="J3" i="19"/>
  <c r="I3" i="17"/>
  <c r="I4" i="17"/>
  <c r="J4" i="17" s="1"/>
  <c r="K4" i="17" s="1"/>
  <c r="L4" i="17" s="1"/>
  <c r="M4" i="17" s="1"/>
  <c r="I5" i="17"/>
  <c r="J5" i="17" s="1"/>
  <c r="K5" i="17" s="1"/>
  <c r="L5" i="17" s="1"/>
  <c r="M5" i="17" s="1"/>
  <c r="I7" i="17"/>
  <c r="J7" i="17" s="1"/>
  <c r="K7" i="17" s="1"/>
  <c r="L7" i="17" s="1"/>
  <c r="M7" i="17" s="1"/>
  <c r="J3" i="15"/>
  <c r="U12" i="14"/>
  <c r="V12" i="14"/>
  <c r="W12" i="14"/>
  <c r="Y12" i="14"/>
  <c r="X12" i="14"/>
  <c r="B19" i="14"/>
  <c r="B18" i="14"/>
  <c r="B17" i="14"/>
  <c r="B16" i="14"/>
  <c r="B15" i="14"/>
  <c r="G7" i="14"/>
  <c r="Y13" i="14" s="1"/>
  <c r="G6" i="14"/>
  <c r="X13" i="14" s="1"/>
  <c r="G5" i="14"/>
  <c r="W13" i="14" s="1"/>
  <c r="G4" i="14"/>
  <c r="V13" i="14" s="1"/>
  <c r="G3" i="14"/>
  <c r="U13" i="14" s="1"/>
  <c r="E7" i="14"/>
  <c r="E6" i="14"/>
  <c r="E5" i="14"/>
  <c r="E4" i="14"/>
  <c r="E3" i="14"/>
  <c r="I8" i="14" l="1"/>
  <c r="I5" i="14"/>
  <c r="J5" i="14" s="1"/>
  <c r="K5" i="14" s="1"/>
  <c r="L5" i="14" s="1"/>
  <c r="M5" i="14" s="1"/>
  <c r="I4" i="14"/>
  <c r="J4" i="14" s="1"/>
  <c r="K4" i="14" s="1"/>
  <c r="L4" i="14" s="1"/>
  <c r="M4" i="14" s="1"/>
  <c r="J3" i="14"/>
  <c r="I8" i="16"/>
  <c r="I8" i="19"/>
  <c r="J8" i="19"/>
  <c r="Q8" i="19" s="1"/>
  <c r="R8" i="19" s="1"/>
  <c r="K3" i="19"/>
  <c r="L3" i="19" s="1"/>
  <c r="M3" i="19" s="1"/>
  <c r="I8" i="17"/>
  <c r="J3" i="17"/>
  <c r="K3" i="17" s="1"/>
  <c r="L3" i="17" s="1"/>
  <c r="M3" i="17" s="1"/>
  <c r="J8" i="16"/>
  <c r="P8" i="16" s="1"/>
  <c r="Q8" i="16" s="1"/>
  <c r="K3" i="16"/>
  <c r="L3" i="16" s="1"/>
  <c r="M3" i="16" s="1"/>
  <c r="K3" i="15"/>
  <c r="L3" i="15" s="1"/>
  <c r="M3" i="15" s="1"/>
  <c r="J8" i="15"/>
  <c r="D11" i="13"/>
  <c r="J10" i="13"/>
  <c r="J9" i="13"/>
  <c r="J8" i="13"/>
  <c r="J7" i="13"/>
  <c r="J11" i="13" s="1"/>
  <c r="J6" i="13"/>
  <c r="J5" i="13"/>
  <c r="J4" i="13"/>
  <c r="F14" i="13"/>
  <c r="E14" i="13"/>
  <c r="B47" i="13"/>
  <c r="K3" i="14" l="1"/>
  <c r="L3" i="14" s="1"/>
  <c r="M3" i="14" s="1"/>
  <c r="J8" i="14"/>
  <c r="L4" i="13"/>
  <c r="M4" i="13" s="1"/>
  <c r="J8" i="17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5" i="13"/>
  <c r="H35" i="13"/>
  <c r="G35" i="13"/>
  <c r="F35" i="13"/>
  <c r="E35" i="13"/>
  <c r="D35" i="13"/>
  <c r="C35" i="13"/>
  <c r="H10" i="13"/>
  <c r="H9" i="13"/>
  <c r="H8" i="13"/>
  <c r="H7" i="13"/>
  <c r="H6" i="13"/>
  <c r="H5" i="13"/>
  <c r="H4" i="13"/>
  <c r="F10" i="13"/>
  <c r="F9" i="13"/>
  <c r="F8" i="13"/>
  <c r="F7" i="13"/>
  <c r="F6" i="13"/>
  <c r="F5" i="13"/>
  <c r="F4" i="13"/>
  <c r="I36" i="13" l="1"/>
  <c r="E36" i="13"/>
  <c r="C36" i="13"/>
  <c r="D36" i="13"/>
  <c r="F36" i="13"/>
  <c r="G36" i="13"/>
  <c r="H36" i="13"/>
  <c r="B24" i="13"/>
  <c r="B23" i="13"/>
  <c r="B22" i="13"/>
  <c r="B21" i="13"/>
  <c r="B20" i="13"/>
  <c r="B19" i="13"/>
  <c r="B18" i="13"/>
  <c r="D20" i="12" l="1"/>
  <c r="O20" i="12" s="1"/>
  <c r="E19" i="12"/>
  <c r="E18" i="12"/>
  <c r="E20" i="12" s="1"/>
  <c r="G4" i="12"/>
  <c r="N9" i="12"/>
  <c r="O13" i="12"/>
  <c r="O9" i="12" s="1"/>
  <c r="E9" i="12" s="1"/>
  <c r="N13" i="12"/>
  <c r="N10" i="12"/>
  <c r="I8" i="12"/>
  <c r="B13" i="12"/>
  <c r="F9" i="12"/>
  <c r="F8" i="12"/>
  <c r="F18" i="12" l="1"/>
  <c r="F19" i="12"/>
  <c r="G19" i="12" s="1"/>
  <c r="H19" i="12" s="1"/>
  <c r="K19" i="12" s="1"/>
  <c r="L19" i="12" s="1"/>
  <c r="M20" i="12"/>
  <c r="N20" i="12" s="1"/>
  <c r="M3" i="11"/>
  <c r="L3" i="11"/>
  <c r="L2" i="11"/>
  <c r="M2" i="11" s="1"/>
  <c r="M4" i="11" s="1"/>
  <c r="E8" i="11"/>
  <c r="B18" i="11" s="1"/>
  <c r="G7" i="11"/>
  <c r="G6" i="11"/>
  <c r="G5" i="11"/>
  <c r="G4" i="11"/>
  <c r="G3" i="11"/>
  <c r="G8" i="11" s="1"/>
  <c r="C18" i="11" s="1"/>
  <c r="D18" i="11" s="1"/>
  <c r="B14" i="11"/>
  <c r="B13" i="11"/>
  <c r="B12" i="11"/>
  <c r="B11" i="11"/>
  <c r="B10" i="11"/>
  <c r="X14" i="11"/>
  <c r="W14" i="11"/>
  <c r="V14" i="11"/>
  <c r="U14" i="11"/>
  <c r="T14" i="1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X10" i="11"/>
  <c r="W10" i="11"/>
  <c r="V10" i="11"/>
  <c r="U10" i="11"/>
  <c r="T10" i="11"/>
  <c r="X8" i="11"/>
  <c r="W8" i="11"/>
  <c r="V8" i="11"/>
  <c r="U8" i="11"/>
  <c r="T8" i="11"/>
  <c r="Q7" i="11"/>
  <c r="Q6" i="11"/>
  <c r="Q5" i="11"/>
  <c r="Q4" i="11"/>
  <c r="Q3" i="11"/>
  <c r="G18" i="12" l="1"/>
  <c r="F20" i="12"/>
  <c r="W7" i="11"/>
  <c r="V7" i="11"/>
  <c r="V6" i="11" s="1"/>
  <c r="U7" i="11"/>
  <c r="T7" i="11"/>
  <c r="X7" i="11"/>
  <c r="G25" i="8"/>
  <c r="H25" i="8" s="1"/>
  <c r="I25" i="8" s="1"/>
  <c r="J25" i="8" s="1"/>
  <c r="K25" i="8" s="1"/>
  <c r="H18" i="12" l="1"/>
  <c r="K18" i="12" s="1"/>
  <c r="L18" i="12" s="1"/>
  <c r="L20" i="12" s="1"/>
  <c r="G20" i="12"/>
  <c r="D2" i="10" l="1"/>
  <c r="G2" i="10" l="1"/>
  <c r="I2" i="10"/>
  <c r="D22" i="9"/>
  <c r="B7" i="9"/>
  <c r="E49" i="7" l="1"/>
  <c r="E48" i="7"/>
  <c r="E47" i="7"/>
  <c r="E46" i="7"/>
  <c r="E50" i="7" s="1"/>
  <c r="F46" i="7" s="1"/>
  <c r="E45" i="7"/>
  <c r="J39" i="7"/>
  <c r="K39" i="7" s="1"/>
  <c r="J38" i="7"/>
  <c r="K38" i="7" s="1"/>
  <c r="K41" i="7" s="1"/>
  <c r="Z31" i="7"/>
  <c r="Y31" i="7"/>
  <c r="X31" i="7"/>
  <c r="W31" i="7"/>
  <c r="V31" i="7"/>
  <c r="Z30" i="7"/>
  <c r="Y30" i="7"/>
  <c r="X30" i="7"/>
  <c r="W30" i="7"/>
  <c r="V30" i="7"/>
  <c r="Z29" i="7"/>
  <c r="Y29" i="7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F31" i="7"/>
  <c r="F30" i="7"/>
  <c r="F29" i="7"/>
  <c r="F28" i="7"/>
  <c r="F27" i="7"/>
  <c r="H39" i="7"/>
  <c r="H38" i="7"/>
  <c r="H37" i="7"/>
  <c r="H36" i="7"/>
  <c r="F39" i="7"/>
  <c r="F38" i="7"/>
  <c r="F37" i="7"/>
  <c r="F36" i="7"/>
  <c r="J32" i="7"/>
  <c r="D31" i="7"/>
  <c r="Z34" i="7" s="1"/>
  <c r="D30" i="7"/>
  <c r="Y34" i="7" s="1"/>
  <c r="D29" i="7"/>
  <c r="X34" i="7" s="1"/>
  <c r="D28" i="7"/>
  <c r="W34" i="7" s="1"/>
  <c r="D27" i="7"/>
  <c r="V34" i="7" s="1"/>
  <c r="F47" i="7" l="1"/>
  <c r="G47" i="7" s="1"/>
  <c r="H47" i="7" s="1"/>
  <c r="I47" i="7" s="1"/>
  <c r="J47" i="7" s="1"/>
  <c r="G46" i="7"/>
  <c r="H46" i="7" s="1"/>
  <c r="I46" i="7" s="1"/>
  <c r="J46" i="7" s="1"/>
  <c r="G49" i="7"/>
  <c r="H49" i="7" s="1"/>
  <c r="I49" i="7" s="1"/>
  <c r="J49" i="7" s="1"/>
  <c r="F48" i="7"/>
  <c r="G48" i="7" s="1"/>
  <c r="H48" i="7" s="1"/>
  <c r="I48" i="7" s="1"/>
  <c r="J48" i="7" s="1"/>
  <c r="F45" i="7"/>
  <c r="F50" i="7" s="1"/>
  <c r="F49" i="7"/>
  <c r="X35" i="7"/>
  <c r="Y35" i="7"/>
  <c r="Z35" i="7"/>
  <c r="W35" i="7"/>
  <c r="V35" i="7"/>
  <c r="H43" i="3"/>
  <c r="A33" i="3"/>
  <c r="G45" i="7" l="1"/>
  <c r="D13" i="3"/>
  <c r="F41" i="3"/>
  <c r="F40" i="3"/>
  <c r="F39" i="3"/>
  <c r="F38" i="3"/>
  <c r="F37" i="3"/>
  <c r="F36" i="3"/>
  <c r="F35" i="3"/>
  <c r="F43" i="3" s="1"/>
  <c r="F32" i="3"/>
  <c r="F31" i="3"/>
  <c r="F30" i="3"/>
  <c r="F29" i="3"/>
  <c r="F28" i="3"/>
  <c r="F27" i="3"/>
  <c r="F26" i="3"/>
  <c r="H45" i="7" l="1"/>
  <c r="I45" i="7" s="1"/>
  <c r="J45" i="7" s="1"/>
  <c r="G50" i="7"/>
  <c r="C14" i="9"/>
  <c r="C15" i="9" s="1"/>
  <c r="C16" i="9" s="1"/>
  <c r="C17" i="9" s="1"/>
  <c r="C18" i="9" s="1"/>
  <c r="C13" i="9"/>
  <c r="B6" i="9"/>
  <c r="P6" i="8" l="1"/>
  <c r="Q6" i="8" s="1"/>
  <c r="R6" i="8" s="1"/>
  <c r="S6" i="8" s="1"/>
  <c r="T6" i="8" s="1"/>
  <c r="E21" i="8" s="1"/>
  <c r="F21" i="8" s="1"/>
  <c r="P5" i="8"/>
  <c r="Q5" i="8" s="1"/>
  <c r="R5" i="8" s="1"/>
  <c r="S5" i="8" s="1"/>
  <c r="T5" i="8" s="1"/>
  <c r="E20" i="8" s="1"/>
  <c r="F20" i="8" s="1"/>
  <c r="K6" i="8"/>
  <c r="M6" i="8" s="1"/>
  <c r="K5" i="8"/>
  <c r="M5" i="8" s="1"/>
  <c r="G5" i="8"/>
  <c r="B16" i="8"/>
  <c r="G6" i="8"/>
  <c r="B15" i="8"/>
  <c r="F23" i="8" l="1"/>
  <c r="F27" i="6"/>
  <c r="G26" i="6" s="1"/>
  <c r="F26" i="6"/>
  <c r="F25" i="6"/>
  <c r="G25" i="6" s="1"/>
  <c r="F24" i="6"/>
  <c r="G24" i="6" s="1"/>
  <c r="F23" i="6"/>
  <c r="G23" i="6" s="1"/>
  <c r="K7" i="6"/>
  <c r="L7" i="6" s="1"/>
  <c r="K6" i="6"/>
  <c r="L6" i="6" s="1"/>
  <c r="K5" i="6"/>
  <c r="K8" i="6" s="1"/>
  <c r="I3" i="6"/>
  <c r="J3" i="6" s="1"/>
  <c r="I2" i="6"/>
  <c r="J2" i="6" s="1"/>
  <c r="J4" i="6" s="1"/>
  <c r="L11" i="6"/>
  <c r="K11" i="6"/>
  <c r="J11" i="6"/>
  <c r="M17" i="6"/>
  <c r="L17" i="6"/>
  <c r="K17" i="6"/>
  <c r="J17" i="6"/>
  <c r="M16" i="6"/>
  <c r="L16" i="6"/>
  <c r="K16" i="6"/>
  <c r="J16" i="6"/>
  <c r="M15" i="6"/>
  <c r="L15" i="6"/>
  <c r="K15" i="6"/>
  <c r="J15" i="6"/>
  <c r="G3" i="6"/>
  <c r="C13" i="6"/>
  <c r="G2" i="6"/>
  <c r="G5" i="6" s="1"/>
  <c r="C12" i="6"/>
  <c r="C11" i="6"/>
  <c r="G27" i="6" l="1"/>
  <c r="G6" i="6"/>
  <c r="L5" i="6"/>
  <c r="L8" i="6" s="1"/>
  <c r="G7" i="6"/>
  <c r="K12" i="6"/>
  <c r="L12" i="6"/>
  <c r="H24" i="6"/>
  <c r="I24" i="6" s="1"/>
  <c r="J24" i="6" s="1"/>
  <c r="H25" i="6"/>
  <c r="I25" i="6" s="1"/>
  <c r="J25" i="6" s="1"/>
  <c r="H23" i="6"/>
  <c r="M7" i="6"/>
  <c r="N7" i="6" s="1"/>
  <c r="O7" i="6" s="1"/>
  <c r="P7" i="6" s="1"/>
  <c r="Q7" i="6" s="1"/>
  <c r="M6" i="6"/>
  <c r="N6" i="6" s="1"/>
  <c r="O6" i="6" s="1"/>
  <c r="P6" i="6" s="1"/>
  <c r="Q6" i="6" s="1"/>
  <c r="M5" i="6"/>
  <c r="H26" i="6"/>
  <c r="J12" i="6"/>
  <c r="M12" i="6"/>
  <c r="M10" i="6" s="1"/>
  <c r="B16" i="5"/>
  <c r="B19" i="5"/>
  <c r="B18" i="5"/>
  <c r="U17" i="5"/>
  <c r="M4" i="5"/>
  <c r="N4" i="5" s="1"/>
  <c r="M3" i="5"/>
  <c r="M2" i="5"/>
  <c r="M5" i="5" s="1"/>
  <c r="O20" i="5"/>
  <c r="E2" i="5" s="1"/>
  <c r="E3" i="5" s="1"/>
  <c r="T10" i="5"/>
  <c r="S10" i="5"/>
  <c r="R10" i="5"/>
  <c r="U18" i="5"/>
  <c r="T18" i="5"/>
  <c r="S18" i="5"/>
  <c r="R18" i="5"/>
  <c r="Q18" i="5"/>
  <c r="T17" i="5"/>
  <c r="S17" i="5"/>
  <c r="R17" i="5"/>
  <c r="Q17" i="5"/>
  <c r="U16" i="5"/>
  <c r="T16" i="5"/>
  <c r="S16" i="5"/>
  <c r="R16" i="5"/>
  <c r="Q16" i="5"/>
  <c r="J10" i="5"/>
  <c r="J9" i="5"/>
  <c r="H10" i="5"/>
  <c r="H9" i="5"/>
  <c r="H8" i="5"/>
  <c r="J8" i="5" s="1"/>
  <c r="B17" i="5"/>
  <c r="N3" i="5" l="1"/>
  <c r="N2" i="5"/>
  <c r="N5" i="5" s="1"/>
  <c r="N25" i="6"/>
  <c r="K25" i="6"/>
  <c r="L25" i="6" s="1"/>
  <c r="M25" i="6" s="1"/>
  <c r="N24" i="6"/>
  <c r="K24" i="6"/>
  <c r="L24" i="6" s="1"/>
  <c r="M24" i="6" s="1"/>
  <c r="M8" i="6"/>
  <c r="N5" i="6"/>
  <c r="O5" i="6" s="1"/>
  <c r="P5" i="6" s="1"/>
  <c r="Q5" i="6" s="1"/>
  <c r="I23" i="6"/>
  <c r="J23" i="6" s="1"/>
  <c r="H27" i="6"/>
  <c r="S12" i="5"/>
  <c r="O3" i="5"/>
  <c r="P3" i="5" s="1"/>
  <c r="Q3" i="5" s="1"/>
  <c r="R3" i="5" s="1"/>
  <c r="S3" i="5" s="1"/>
  <c r="O4" i="5"/>
  <c r="P4" i="5" s="1"/>
  <c r="Q4" i="5" s="1"/>
  <c r="R4" i="5" s="1"/>
  <c r="S4" i="5" s="1"/>
  <c r="O2" i="5"/>
  <c r="T12" i="5"/>
  <c r="U12" i="5"/>
  <c r="U8" i="5" s="1"/>
  <c r="Q12" i="5"/>
  <c r="Q8" i="5" s="1"/>
  <c r="R12" i="5"/>
  <c r="Y11" i="3"/>
  <c r="Y10" i="3"/>
  <c r="Y9" i="3"/>
  <c r="Y8" i="3"/>
  <c r="Y7" i="3"/>
  <c r="Y6" i="3"/>
  <c r="Y5" i="3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T11" i="3"/>
  <c r="T10" i="3"/>
  <c r="T9" i="3"/>
  <c r="T8" i="3"/>
  <c r="T7" i="3"/>
  <c r="T6" i="3"/>
  <c r="T5" i="3"/>
  <c r="R11" i="3"/>
  <c r="R10" i="3"/>
  <c r="R9" i="3"/>
  <c r="R8" i="3"/>
  <c r="R7" i="3"/>
  <c r="R6" i="3"/>
  <c r="R5" i="3"/>
  <c r="E11" i="3"/>
  <c r="E10" i="3"/>
  <c r="E9" i="3"/>
  <c r="E8" i="3"/>
  <c r="E7" i="3"/>
  <c r="E6" i="3"/>
  <c r="E5" i="3"/>
  <c r="AA24" i="3"/>
  <c r="AA25" i="3" s="1"/>
  <c r="N23" i="6" l="1"/>
  <c r="N27" i="6" s="1"/>
  <c r="K23" i="6"/>
  <c r="L23" i="6" s="1"/>
  <c r="M23" i="6" s="1"/>
  <c r="M27" i="6" s="1"/>
  <c r="P2" i="5"/>
  <c r="Q2" i="5" s="1"/>
  <c r="R2" i="5" s="1"/>
  <c r="S2" i="5" s="1"/>
  <c r="O5" i="5"/>
  <c r="E13" i="3"/>
  <c r="F6" i="3" s="1"/>
  <c r="G6" i="3" s="1"/>
  <c r="H6" i="3" s="1"/>
  <c r="AK10" i="3"/>
  <c r="AJ10" i="3"/>
  <c r="AI10" i="3"/>
  <c r="AH10" i="3"/>
  <c r="AG10" i="3"/>
  <c r="AF10" i="3"/>
  <c r="AE10" i="3"/>
  <c r="AK16" i="3"/>
  <c r="AJ16" i="3"/>
  <c r="AI16" i="3"/>
  <c r="AH16" i="3"/>
  <c r="AG16" i="3"/>
  <c r="AF16" i="3"/>
  <c r="AE16" i="3"/>
  <c r="AK17" i="3"/>
  <c r="AJ17" i="3"/>
  <c r="AI17" i="3"/>
  <c r="AH17" i="3"/>
  <c r="AG17" i="3"/>
  <c r="AF17" i="3"/>
  <c r="AE17" i="3"/>
  <c r="AK18" i="3"/>
  <c r="AJ18" i="3"/>
  <c r="AI18" i="3"/>
  <c r="AH18" i="3"/>
  <c r="AG18" i="3"/>
  <c r="AF18" i="3"/>
  <c r="AE18" i="3"/>
  <c r="AK19" i="3"/>
  <c r="AJ19" i="3"/>
  <c r="AI19" i="3"/>
  <c r="AH19" i="3"/>
  <c r="AG19" i="3"/>
  <c r="AF19" i="3"/>
  <c r="AE19" i="3"/>
  <c r="AK20" i="3"/>
  <c r="AJ20" i="3"/>
  <c r="AI20" i="3"/>
  <c r="AH20" i="3"/>
  <c r="AG20" i="3"/>
  <c r="AF20" i="3"/>
  <c r="AE20" i="3"/>
  <c r="AK21" i="3"/>
  <c r="AJ21" i="3"/>
  <c r="AI21" i="3"/>
  <c r="AH21" i="3"/>
  <c r="AG21" i="3"/>
  <c r="AF21" i="3"/>
  <c r="AE21" i="3"/>
  <c r="AK22" i="3"/>
  <c r="AJ22" i="3"/>
  <c r="AI22" i="3"/>
  <c r="AH22" i="3"/>
  <c r="AG22" i="3"/>
  <c r="AF22" i="3"/>
  <c r="AE22" i="3"/>
  <c r="H22" i="3"/>
  <c r="H21" i="3"/>
  <c r="H20" i="3"/>
  <c r="H19" i="3"/>
  <c r="H18" i="3"/>
  <c r="H17" i="3"/>
  <c r="H16" i="3"/>
  <c r="E22" i="3"/>
  <c r="E21" i="3"/>
  <c r="E20" i="3"/>
  <c r="E19" i="3"/>
  <c r="E18" i="3"/>
  <c r="E17" i="3"/>
  <c r="C22" i="3"/>
  <c r="C21" i="3"/>
  <c r="C20" i="3"/>
  <c r="C19" i="3"/>
  <c r="C18" i="3"/>
  <c r="C17" i="3"/>
  <c r="E16" i="3"/>
  <c r="C16" i="3"/>
  <c r="O27" i="6" l="1"/>
  <c r="Z6" i="3"/>
  <c r="AA6" i="3" s="1"/>
  <c r="I6" i="3"/>
  <c r="F5" i="3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AE12" i="3"/>
  <c r="AE6" i="3" s="1"/>
  <c r="AE4" i="3" s="1"/>
  <c r="AH12" i="3"/>
  <c r="AH6" i="3" s="1"/>
  <c r="AH4" i="3" s="1"/>
  <c r="AJ12" i="3"/>
  <c r="AJ6" i="3" s="1"/>
  <c r="AJ4" i="3" s="1"/>
  <c r="AK12" i="3"/>
  <c r="AK6" i="3" s="1"/>
  <c r="AK4" i="3" s="1"/>
  <c r="AF12" i="3"/>
  <c r="AF6" i="3" s="1"/>
  <c r="AF4" i="3" s="1"/>
  <c r="AG12" i="3"/>
  <c r="AI12" i="3"/>
  <c r="AI6" i="3" s="1"/>
  <c r="AI4" i="3" s="1"/>
  <c r="K7" i="4"/>
  <c r="E7" i="4"/>
  <c r="M7" i="4" s="1"/>
  <c r="D5" i="4"/>
  <c r="C5" i="4"/>
  <c r="H7" i="4" l="1"/>
  <c r="I8" i="3"/>
  <c r="Z8" i="3"/>
  <c r="AA8" i="3" s="1"/>
  <c r="I7" i="3"/>
  <c r="Z7" i="3"/>
  <c r="AA7" i="3" s="1"/>
  <c r="I10" i="3"/>
  <c r="Z10" i="3"/>
  <c r="AA10" i="3" s="1"/>
  <c r="I11" i="3"/>
  <c r="Z11" i="3"/>
  <c r="AA11" i="3" s="1"/>
  <c r="F13" i="3"/>
  <c r="G5" i="3"/>
  <c r="I9" i="3"/>
  <c r="Z9" i="3"/>
  <c r="AA9" i="3" s="1"/>
  <c r="J6" i="3"/>
  <c r="N6" i="3"/>
  <c r="AG8" i="3"/>
  <c r="I13" i="3" s="1"/>
  <c r="AG6" i="3" l="1"/>
  <c r="AG4" i="3" s="1"/>
  <c r="L6" i="3"/>
  <c r="O6" i="3" s="1"/>
  <c r="P6" i="3" s="1"/>
  <c r="K6" i="3"/>
  <c r="J11" i="3"/>
  <c r="N11" i="3"/>
  <c r="N10" i="3"/>
  <c r="J10" i="3"/>
  <c r="N9" i="3"/>
  <c r="J9" i="3"/>
  <c r="J7" i="3"/>
  <c r="N7" i="3"/>
  <c r="H5" i="3"/>
  <c r="G13" i="3"/>
  <c r="G43" i="3" s="1"/>
  <c r="I43" i="3" s="1"/>
  <c r="J43" i="3" s="1"/>
  <c r="J8" i="3"/>
  <c r="N8" i="3"/>
  <c r="L7" i="3" l="1"/>
  <c r="O7" i="3" s="1"/>
  <c r="K7" i="3"/>
  <c r="L9" i="3"/>
  <c r="O9" i="3" s="1"/>
  <c r="P9" i="3" s="1"/>
  <c r="K9" i="3"/>
  <c r="L10" i="3"/>
  <c r="O10" i="3" s="1"/>
  <c r="K10" i="3"/>
  <c r="L8" i="3"/>
  <c r="O8" i="3" s="1"/>
  <c r="P8" i="3" s="1"/>
  <c r="K8" i="3"/>
  <c r="L11" i="3"/>
  <c r="O11" i="3" s="1"/>
  <c r="P11" i="3" s="1"/>
  <c r="K11" i="3"/>
  <c r="Z5" i="3"/>
  <c r="I5" i="3"/>
  <c r="P7" i="3"/>
  <c r="P10" i="3"/>
  <c r="J5" i="3" l="1"/>
  <c r="N5" i="3"/>
  <c r="AA5" i="3"/>
  <c r="AA13" i="3" s="1"/>
  <c r="Z13" i="3" s="1"/>
  <c r="L5" i="3" l="1"/>
  <c r="O5" i="3" s="1"/>
  <c r="O13" i="3" s="1"/>
  <c r="K5" i="3"/>
  <c r="K13" i="3" s="1"/>
  <c r="P5" i="3"/>
  <c r="P13" i="3" s="1"/>
</calcChain>
</file>

<file path=xl/sharedStrings.xml><?xml version="1.0" encoding="utf-8"?>
<sst xmlns="http://schemas.openxmlformats.org/spreadsheetml/2006/main" count="788" uniqueCount="168">
  <si>
    <t>Separadores</t>
  </si>
  <si>
    <t>Ancho</t>
  </si>
  <si>
    <t>Largo</t>
  </si>
  <si>
    <t>Cantidad</t>
  </si>
  <si>
    <t>Mi precio</t>
  </si>
  <si>
    <t>Precio Luis</t>
  </si>
  <si>
    <t>Costo</t>
  </si>
  <si>
    <t>Planchas</t>
  </si>
  <si>
    <t>Tiras de:</t>
  </si>
  <si>
    <t>Tiras</t>
  </si>
  <si>
    <t>salen</t>
  </si>
  <si>
    <t>Nececitan</t>
  </si>
  <si>
    <t>Quiedan</t>
  </si>
  <si>
    <t>Separadores para facturar</t>
  </si>
  <si>
    <t>Guardar tiras</t>
  </si>
  <si>
    <t>Precio</t>
  </si>
  <si>
    <t>Superficie</t>
  </si>
  <si>
    <t>Parte</t>
  </si>
  <si>
    <t>$ por medida</t>
  </si>
  <si>
    <t>Precio por millar</t>
  </si>
  <si>
    <t>Costo por millar</t>
  </si>
  <si>
    <t>Costo Carton</t>
  </si>
  <si>
    <t>quedo en 262 tiras</t>
  </si>
  <si>
    <t>Precios con cortes normales</t>
  </si>
  <si>
    <t>Separadores por tira</t>
  </si>
  <si>
    <t>costo de 1000</t>
  </si>
  <si>
    <t>Precio Luis + 5</t>
  </si>
  <si>
    <t>Precio para Cliente + 5</t>
  </si>
  <si>
    <t>Costo total</t>
  </si>
  <si>
    <t xml:space="preserve">Monto para cliente </t>
  </si>
  <si>
    <t>Ganancia</t>
  </si>
  <si>
    <t>Diferencia en precio</t>
  </si>
  <si>
    <t xml:space="preserve">Diferencia total </t>
  </si>
  <si>
    <t>Monto Luis</t>
  </si>
  <si>
    <t>Laminas por 1000</t>
  </si>
  <si>
    <t>Separadores por Tira</t>
  </si>
  <si>
    <t>Arturo</t>
  </si>
  <si>
    <t>Laminas</t>
  </si>
  <si>
    <t>Pedido</t>
  </si>
  <si>
    <t>Modos</t>
  </si>
  <si>
    <t>Laminas por pedido</t>
  </si>
  <si>
    <t>Guardar</t>
  </si>
  <si>
    <t>Laminas Total</t>
  </si>
  <si>
    <t>Costo Total</t>
  </si>
  <si>
    <t>Luis+4</t>
  </si>
  <si>
    <t>Final</t>
  </si>
  <si>
    <t>Nececitan tiras</t>
  </si>
  <si>
    <t>Salen</t>
  </si>
  <si>
    <t>A guardar</t>
  </si>
  <si>
    <t>Costo Planchas</t>
  </si>
  <si>
    <t>Monto, $</t>
  </si>
  <si>
    <t>Costo de planchas por 1000</t>
  </si>
  <si>
    <t>Luis +4</t>
  </si>
  <si>
    <t xml:space="preserve">Final +4 </t>
  </si>
  <si>
    <t>Costos sin tiras de guardar</t>
  </si>
  <si>
    <t>Costo de carton por 1000</t>
  </si>
  <si>
    <t>Costo total, $ / 1000</t>
  </si>
  <si>
    <t>Final +4</t>
  </si>
  <si>
    <t>Monto Final</t>
  </si>
  <si>
    <t>Monto de costo total</t>
  </si>
  <si>
    <t>Pedido:</t>
  </si>
  <si>
    <t>Feel</t>
  </si>
  <si>
    <t>Galaxy</t>
  </si>
  <si>
    <t>Visualizacion</t>
  </si>
  <si>
    <t>Tiras nececitan</t>
  </si>
  <si>
    <t>Tiras por lamina</t>
  </si>
  <si>
    <t>Separadores por lamina</t>
  </si>
  <si>
    <t>Laminas nececitan</t>
  </si>
  <si>
    <t>por 1000</t>
  </si>
  <si>
    <t>Luis+3+5</t>
  </si>
  <si>
    <t>Monto</t>
  </si>
  <si>
    <t>de 115 x 115</t>
  </si>
  <si>
    <t>de 124 x 126 micro</t>
  </si>
  <si>
    <t>Plancha</t>
  </si>
  <si>
    <t>Visualisacion</t>
  </si>
  <si>
    <t>Tiras por plancha</t>
  </si>
  <si>
    <t>Separadores por plancha</t>
  </si>
  <si>
    <t>Planchas nececitan</t>
  </si>
  <si>
    <t>Costo total:</t>
  </si>
  <si>
    <t>Final+4</t>
  </si>
  <si>
    <t>Monto cliente</t>
  </si>
  <si>
    <t>Costo Produccion</t>
  </si>
  <si>
    <t>Total Feel + Galaxy</t>
  </si>
  <si>
    <t>Modos:</t>
  </si>
  <si>
    <t>Planchas:</t>
  </si>
  <si>
    <t>quedo de Gala</t>
  </si>
  <si>
    <t>Separadores de 16 por tira</t>
  </si>
  <si>
    <t>Separadores de 18 por tira</t>
  </si>
  <si>
    <t>Plancha 72 x 128</t>
  </si>
  <si>
    <t>Plancha 62 x 128</t>
  </si>
  <si>
    <t>Gasto de laminas</t>
  </si>
  <si>
    <t>Precio final</t>
  </si>
  <si>
    <t>Precio Luis +3</t>
  </si>
  <si>
    <t>Precio Final</t>
  </si>
  <si>
    <t>Orden</t>
  </si>
  <si>
    <t>Separador</t>
  </si>
  <si>
    <t>Cuchillas</t>
  </si>
  <si>
    <t>Costo de Produccion</t>
  </si>
  <si>
    <t>50 % de ganancia</t>
  </si>
  <si>
    <t>Modo de cuchillas</t>
  </si>
  <si>
    <t>Planchas 62 x 126</t>
  </si>
  <si>
    <t>tiras nececitan</t>
  </si>
  <si>
    <t>Precios</t>
  </si>
  <si>
    <t>Precio de 1</t>
  </si>
  <si>
    <t xml:space="preserve">Costo </t>
  </si>
  <si>
    <t>Monto Ganancia</t>
  </si>
  <si>
    <t>477 separadores de 14 x 14 - empacar y regalar</t>
  </si>
  <si>
    <t>Costo (pagar  a Luis)</t>
  </si>
  <si>
    <t>Orden:</t>
  </si>
  <si>
    <t>Cuchillas:</t>
  </si>
  <si>
    <t>Plancas</t>
  </si>
  <si>
    <t>Tiras se nececitan:</t>
  </si>
  <si>
    <t>Salen:</t>
  </si>
  <si>
    <t>Tiras Nesecitan</t>
  </si>
  <si>
    <t>Planchas total :</t>
  </si>
  <si>
    <t>Total:</t>
  </si>
  <si>
    <t>Costo Carton:</t>
  </si>
  <si>
    <t>Monto total:</t>
  </si>
  <si>
    <t>Costo Produccion:</t>
  </si>
  <si>
    <t>Laminas liner 125:</t>
  </si>
  <si>
    <t>Tiras se nececita</t>
  </si>
  <si>
    <t>Modos de cuchillas</t>
  </si>
  <si>
    <t>Precio bueno + 8</t>
  </si>
  <si>
    <t>Precio Carton</t>
  </si>
  <si>
    <t>Costo de Produccion + 0,003</t>
  </si>
  <si>
    <t>Precio Deseado +0,008</t>
  </si>
  <si>
    <t>Costo produccion +3</t>
  </si>
  <si>
    <t>Precio deseado +8</t>
  </si>
  <si>
    <t>Precio Actual Jimena</t>
  </si>
  <si>
    <t>Precio Actual Ramiro</t>
  </si>
  <si>
    <t>Precio Actual</t>
  </si>
  <si>
    <t>Promedio:</t>
  </si>
  <si>
    <t>Planchas de</t>
  </si>
  <si>
    <t>Precio Acordado</t>
  </si>
  <si>
    <t>Monto a cobrar</t>
  </si>
  <si>
    <t>50% de ganancia</t>
  </si>
  <si>
    <t>Monto $</t>
  </si>
  <si>
    <t>Costo Produccion +0,003</t>
  </si>
  <si>
    <t>Precio +0,01</t>
  </si>
  <si>
    <t>Nesesitan</t>
  </si>
  <si>
    <t>Plancha:</t>
  </si>
  <si>
    <t>Monto Carton</t>
  </si>
  <si>
    <t>Diferencia</t>
  </si>
  <si>
    <t>Ahorro</t>
  </si>
  <si>
    <t>Precio+,01</t>
  </si>
  <si>
    <t>Заказ</t>
  </si>
  <si>
    <t>Ширина</t>
  </si>
  <si>
    <t>Длина</t>
  </si>
  <si>
    <t>Колл-во</t>
  </si>
  <si>
    <t>Разделителей из полоски</t>
  </si>
  <si>
    <t>Площадь</t>
  </si>
  <si>
    <t>часть</t>
  </si>
  <si>
    <t>Сумма</t>
  </si>
  <si>
    <t>стоимость картона</t>
  </si>
  <si>
    <t>стоимость произв</t>
  </si>
  <si>
    <t>желательная стоимость</t>
  </si>
  <si>
    <t>Ножи:</t>
  </si>
  <si>
    <t>листы</t>
  </si>
  <si>
    <t>полоски</t>
  </si>
  <si>
    <t>сохранить</t>
  </si>
  <si>
    <t>выходят</t>
  </si>
  <si>
    <t>необходимые</t>
  </si>
  <si>
    <t>Лист:</t>
  </si>
  <si>
    <t>ширина</t>
  </si>
  <si>
    <t>длина</t>
  </si>
  <si>
    <t>цена</t>
  </si>
  <si>
    <t>количество</t>
  </si>
  <si>
    <t>стоим всех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</si>
</sst>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4" fillId="0" borderId="0" xfId="0" applyFont="1"/>
    <xf numFmtId="0" fontId="3" fillId="0" borderId="0" xfId="0" applyFont="1"/>
    <xf numFmtId="9" fontId="7" fillId="0" borderId="0" xfId="0" applyNumberFormat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7" fillId="0" borderId="0" xfId="0" applyNumberFormat="1" applyFont="1"/>
    <xf numFmtId="166" fontId="7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5"/>
  <sheetViews>
    <sheetView topLeftCell="A11" workbookViewId="0">
      <selection activeCell="F26" sqref="F26:F32"/>
    </sheetView>
  </sheetViews>
  <sheetFormatPr defaultRowHeight="15" x14ac:dyDescent="0.25"/>
  <cols>
    <col min="3" max="3" width="5.85546875" customWidth="1"/>
    <col min="4" max="4" width="8.28515625" bestFit="1" customWidth="1"/>
    <col min="5" max="5" width="9.7109375" customWidth="1"/>
    <col min="6" max="6" width="12" bestFit="1" customWidth="1"/>
    <col min="7" max="7" width="11.7109375" bestFit="1" customWidth="1"/>
    <col min="8" max="8" width="8.28515625" customWidth="1"/>
    <col min="9" max="9" width="7.5703125" customWidth="1"/>
    <col min="10" max="10" width="6.7109375" customWidth="1"/>
    <col min="11" max="11" width="10.28515625" bestFit="1" customWidth="1"/>
    <col min="12" max="12" width="12" bestFit="1" customWidth="1"/>
    <col min="13" max="13" width="5.7109375" bestFit="1" customWidth="1"/>
    <col min="14" max="14" width="10.5703125" bestFit="1" customWidth="1"/>
    <col min="15" max="15" width="12" bestFit="1" customWidth="1"/>
    <col min="16" max="16" width="5.28515625" bestFit="1" customWidth="1"/>
    <col min="17" max="17" width="14.28515625" bestFit="1" customWidth="1"/>
    <col min="18" max="24" width="3" customWidth="1"/>
    <col min="25" max="25" width="7.42578125" bestFit="1" customWidth="1"/>
    <col min="26" max="26" width="6.85546875" customWidth="1"/>
    <col min="30" max="30" width="11.7109375" bestFit="1" customWidth="1"/>
    <col min="31" max="33" width="5" bestFit="1" customWidth="1"/>
    <col min="34" max="37" width="6" bestFit="1" customWidth="1"/>
  </cols>
  <sheetData>
    <row r="2" spans="2:37" x14ac:dyDescent="0.25">
      <c r="B2" t="s">
        <v>0</v>
      </c>
      <c r="E2" t="s">
        <v>7</v>
      </c>
      <c r="F2">
        <v>72</v>
      </c>
      <c r="G2">
        <v>120</v>
      </c>
      <c r="H2">
        <v>0.6</v>
      </c>
    </row>
    <row r="4" spans="2:37" s="1" customFormat="1" ht="42.6" customHeight="1" x14ac:dyDescent="0.25">
      <c r="B4" s="1" t="s">
        <v>1</v>
      </c>
      <c r="C4" s="1" t="s">
        <v>2</v>
      </c>
      <c r="D4" s="1" t="s">
        <v>3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26</v>
      </c>
      <c r="K4" s="1" t="s">
        <v>33</v>
      </c>
      <c r="L4" s="1" t="s">
        <v>27</v>
      </c>
      <c r="N4" s="1" t="s">
        <v>28</v>
      </c>
      <c r="O4" s="1" t="s">
        <v>29</v>
      </c>
      <c r="P4" s="1" t="s">
        <v>30</v>
      </c>
      <c r="R4" s="4" t="s">
        <v>23</v>
      </c>
      <c r="S4" s="1" t="s">
        <v>9</v>
      </c>
      <c r="T4" s="1" t="s">
        <v>24</v>
      </c>
      <c r="V4" s="1" t="s">
        <v>35</v>
      </c>
      <c r="W4" s="1" t="s">
        <v>34</v>
      </c>
      <c r="Y4" s="1" t="s">
        <v>25</v>
      </c>
      <c r="Z4" s="1" t="s">
        <v>31</v>
      </c>
      <c r="AA4" s="3" t="s">
        <v>32</v>
      </c>
      <c r="AB4" s="3"/>
      <c r="AD4" s="1" t="s">
        <v>13</v>
      </c>
      <c r="AE4" s="1">
        <f>AE6*C22</f>
        <v>5004</v>
      </c>
      <c r="AF4" s="1">
        <f>AF6*D21</f>
        <v>6000</v>
      </c>
      <c r="AG4" s="1">
        <f>AG6*D20</f>
        <v>5004</v>
      </c>
      <c r="AH4" s="1">
        <f>AH6*D19</f>
        <v>10003</v>
      </c>
      <c r="AI4" s="1">
        <f>AI6*D18</f>
        <v>20013</v>
      </c>
      <c r="AJ4" s="1">
        <f>AJ6*D17</f>
        <v>20020</v>
      </c>
      <c r="AK4" s="1">
        <f>AK6*D16</f>
        <v>20006</v>
      </c>
    </row>
    <row r="5" spans="2:37" x14ac:dyDescent="0.25">
      <c r="B5">
        <v>13</v>
      </c>
      <c r="C5">
        <v>17</v>
      </c>
      <c r="D5">
        <v>20000</v>
      </c>
      <c r="E5">
        <f t="shared" ref="E5:E11" si="0">B5*C5*D5</f>
        <v>4420000</v>
      </c>
      <c r="F5">
        <f t="shared" ref="F5:F11" si="1">E5/$E$13</f>
        <v>0.21362977283711937</v>
      </c>
      <c r="G5">
        <f t="shared" ref="G5:G11" si="2">$AA$25*F5</f>
        <v>319.16288061865635</v>
      </c>
      <c r="H5">
        <f t="shared" ref="H5:H11" si="3">G5/D5*1000</f>
        <v>15.958144030932816</v>
      </c>
      <c r="I5">
        <f t="shared" ref="I5:I11" si="4">H5+2</f>
        <v>17.958144030932814</v>
      </c>
      <c r="J5">
        <f t="shared" ref="J5:J11" si="5">I5+5</f>
        <v>22.958144030932814</v>
      </c>
      <c r="K5">
        <f t="shared" ref="K5:K11" si="6">J5*D5/1000</f>
        <v>459.16288061865629</v>
      </c>
      <c r="L5">
        <f t="shared" ref="L5:L11" si="7">J5+5</f>
        <v>27.958144030932814</v>
      </c>
      <c r="N5">
        <f t="shared" ref="N5:N11" si="8">I5*D5/1000</f>
        <v>359.16288061865629</v>
      </c>
      <c r="O5">
        <f t="shared" ref="O5:O11" si="9">L5*D5/1000</f>
        <v>559.16288061865623</v>
      </c>
      <c r="P5">
        <f t="shared" ref="P5:P11" si="10">O5-N5</f>
        <v>199.99999999999994</v>
      </c>
      <c r="R5">
        <f t="shared" ref="R5:R11" si="11">$F$2/B5</f>
        <v>5.5384615384615383</v>
      </c>
      <c r="S5">
        <v>5</v>
      </c>
      <c r="T5">
        <f t="shared" ref="T5:T11" si="12">$G$2/C5</f>
        <v>7.0588235294117645</v>
      </c>
      <c r="U5">
        <v>7</v>
      </c>
      <c r="V5">
        <f t="shared" ref="V5:V11" si="13">U5*S5</f>
        <v>35</v>
      </c>
      <c r="W5">
        <f t="shared" ref="W5:W11" si="14">1000/V5</f>
        <v>28.571428571428573</v>
      </c>
      <c r="X5">
        <v>29</v>
      </c>
      <c r="Y5">
        <f t="shared" ref="Y5:Y11" si="15">X5*$H$2</f>
        <v>17.399999999999999</v>
      </c>
      <c r="Z5">
        <f t="shared" ref="Z5:Z11" si="16">Y5-H5</f>
        <v>1.4418559690671824</v>
      </c>
      <c r="AA5">
        <f t="shared" ref="AA5:AA11" si="17">Z5*D5/1000</f>
        <v>28.837119381343648</v>
      </c>
    </row>
    <row r="6" spans="2:37" x14ac:dyDescent="0.25">
      <c r="B6">
        <v>14</v>
      </c>
      <c r="C6">
        <v>17</v>
      </c>
      <c r="D6">
        <v>20000</v>
      </c>
      <c r="E6">
        <f t="shared" si="0"/>
        <v>4760000</v>
      </c>
      <c r="F6">
        <f t="shared" si="1"/>
        <v>0.23006283228612856</v>
      </c>
      <c r="G6">
        <f t="shared" si="2"/>
        <v>343.71387143547605</v>
      </c>
      <c r="H6">
        <f t="shared" si="3"/>
        <v>17.185693571773804</v>
      </c>
      <c r="I6">
        <f t="shared" si="4"/>
        <v>19.185693571773804</v>
      </c>
      <c r="J6">
        <f t="shared" si="5"/>
        <v>24.185693571773804</v>
      </c>
      <c r="K6">
        <f t="shared" si="6"/>
        <v>483.71387143547605</v>
      </c>
      <c r="L6">
        <f t="shared" si="7"/>
        <v>29.185693571773804</v>
      </c>
      <c r="N6">
        <f t="shared" si="8"/>
        <v>383.71387143547605</v>
      </c>
      <c r="O6">
        <f t="shared" si="9"/>
        <v>583.71387143547611</v>
      </c>
      <c r="P6">
        <f t="shared" si="10"/>
        <v>200.00000000000006</v>
      </c>
      <c r="R6">
        <f t="shared" si="11"/>
        <v>5.1428571428571432</v>
      </c>
      <c r="S6">
        <v>5</v>
      </c>
      <c r="T6">
        <f t="shared" si="12"/>
        <v>7.0588235294117645</v>
      </c>
      <c r="U6">
        <v>7</v>
      </c>
      <c r="V6">
        <f t="shared" si="13"/>
        <v>35</v>
      </c>
      <c r="W6">
        <f t="shared" si="14"/>
        <v>28.571428571428573</v>
      </c>
      <c r="X6">
        <v>29</v>
      </c>
      <c r="Y6">
        <f t="shared" si="15"/>
        <v>17.399999999999999</v>
      </c>
      <c r="Z6">
        <f t="shared" si="16"/>
        <v>0.21430642822619461</v>
      </c>
      <c r="AA6">
        <f t="shared" si="17"/>
        <v>4.2861285645238922</v>
      </c>
      <c r="AD6" t="s">
        <v>12</v>
      </c>
      <c r="AE6">
        <f t="shared" ref="AE6:AK6" si="18">AE12-AE8</f>
        <v>417</v>
      </c>
      <c r="AF6">
        <f t="shared" si="18"/>
        <v>500</v>
      </c>
      <c r="AG6">
        <f t="shared" si="18"/>
        <v>417</v>
      </c>
      <c r="AH6">
        <f t="shared" si="18"/>
        <v>1429</v>
      </c>
      <c r="AI6">
        <f t="shared" si="18"/>
        <v>2859</v>
      </c>
      <c r="AJ6">
        <f t="shared" si="18"/>
        <v>2860</v>
      </c>
      <c r="AK6">
        <f t="shared" si="18"/>
        <v>2858</v>
      </c>
    </row>
    <row r="7" spans="2:37" x14ac:dyDescent="0.25">
      <c r="B7">
        <v>15</v>
      </c>
      <c r="C7">
        <v>17</v>
      </c>
      <c r="D7">
        <v>20000</v>
      </c>
      <c r="E7">
        <f t="shared" si="0"/>
        <v>5100000</v>
      </c>
      <c r="F7">
        <f t="shared" si="1"/>
        <v>0.24649589173513775</v>
      </c>
      <c r="G7">
        <f t="shared" si="2"/>
        <v>368.26486225229581</v>
      </c>
      <c r="H7">
        <f t="shared" si="3"/>
        <v>18.413243112614794</v>
      </c>
      <c r="I7">
        <f t="shared" si="4"/>
        <v>20.413243112614794</v>
      </c>
      <c r="J7">
        <f t="shared" si="5"/>
        <v>25.413243112614794</v>
      </c>
      <c r="K7">
        <f t="shared" si="6"/>
        <v>508.26486225229587</v>
      </c>
      <c r="L7">
        <f t="shared" si="7"/>
        <v>30.413243112614794</v>
      </c>
      <c r="N7">
        <f t="shared" si="8"/>
        <v>408.26486225229587</v>
      </c>
      <c r="O7">
        <f t="shared" si="9"/>
        <v>608.26486225229587</v>
      </c>
      <c r="P7">
        <f t="shared" si="10"/>
        <v>200</v>
      </c>
      <c r="R7">
        <f t="shared" si="11"/>
        <v>4.8</v>
      </c>
      <c r="S7">
        <v>4</v>
      </c>
      <c r="T7">
        <f t="shared" si="12"/>
        <v>7.0588235294117645</v>
      </c>
      <c r="U7">
        <v>7</v>
      </c>
      <c r="V7">
        <f t="shared" si="13"/>
        <v>28</v>
      </c>
      <c r="W7">
        <f t="shared" si="14"/>
        <v>35.714285714285715</v>
      </c>
      <c r="X7">
        <v>36</v>
      </c>
      <c r="Y7">
        <f t="shared" si="15"/>
        <v>21.599999999999998</v>
      </c>
      <c r="Z7">
        <f t="shared" si="16"/>
        <v>3.1867568873852044</v>
      </c>
      <c r="AA7">
        <f t="shared" si="17"/>
        <v>63.735137747704087</v>
      </c>
    </row>
    <row r="8" spans="2:37" x14ac:dyDescent="0.25">
      <c r="B8">
        <v>17</v>
      </c>
      <c r="C8">
        <v>17</v>
      </c>
      <c r="D8">
        <v>10000</v>
      </c>
      <c r="E8">
        <f t="shared" si="0"/>
        <v>2890000</v>
      </c>
      <c r="F8">
        <f t="shared" si="1"/>
        <v>0.13968100531657807</v>
      </c>
      <c r="G8">
        <f t="shared" si="2"/>
        <v>208.68342194296764</v>
      </c>
      <c r="H8">
        <f t="shared" si="3"/>
        <v>20.868342194296766</v>
      </c>
      <c r="I8">
        <f t="shared" si="4"/>
        <v>22.868342194296766</v>
      </c>
      <c r="J8">
        <f t="shared" si="5"/>
        <v>27.868342194296766</v>
      </c>
      <c r="K8">
        <f t="shared" si="6"/>
        <v>278.68342194296764</v>
      </c>
      <c r="L8">
        <f t="shared" si="7"/>
        <v>32.868342194296766</v>
      </c>
      <c r="N8">
        <f t="shared" si="8"/>
        <v>228.68342194296767</v>
      </c>
      <c r="O8">
        <f t="shared" si="9"/>
        <v>328.68342194296764</v>
      </c>
      <c r="P8">
        <f t="shared" si="10"/>
        <v>99.999999999999972</v>
      </c>
      <c r="R8">
        <f t="shared" si="11"/>
        <v>4.2352941176470589</v>
      </c>
      <c r="S8">
        <v>4</v>
      </c>
      <c r="T8">
        <f t="shared" si="12"/>
        <v>7.0588235294117645</v>
      </c>
      <c r="U8">
        <v>7</v>
      </c>
      <c r="V8">
        <f t="shared" si="13"/>
        <v>28</v>
      </c>
      <c r="W8">
        <f t="shared" si="14"/>
        <v>35.714285714285715</v>
      </c>
      <c r="X8">
        <v>36</v>
      </c>
      <c r="Y8">
        <f t="shared" si="15"/>
        <v>21.599999999999998</v>
      </c>
      <c r="Z8">
        <f t="shared" si="16"/>
        <v>0.73165780570323236</v>
      </c>
      <c r="AA8">
        <f t="shared" si="17"/>
        <v>7.3165780570323236</v>
      </c>
      <c r="AD8" t="s">
        <v>14</v>
      </c>
      <c r="AG8">
        <f>AG12-AG10</f>
        <v>262</v>
      </c>
    </row>
    <row r="9" spans="2:37" x14ac:dyDescent="0.25">
      <c r="B9">
        <v>20</v>
      </c>
      <c r="C9">
        <v>10</v>
      </c>
      <c r="D9">
        <v>5000</v>
      </c>
      <c r="E9">
        <f t="shared" si="0"/>
        <v>1000000</v>
      </c>
      <c r="F9">
        <f t="shared" si="1"/>
        <v>4.8332527791203478E-2</v>
      </c>
      <c r="G9">
        <f t="shared" si="2"/>
        <v>72.208796520058002</v>
      </c>
      <c r="H9">
        <f t="shared" si="3"/>
        <v>14.441759304011601</v>
      </c>
      <c r="I9">
        <f t="shared" si="4"/>
        <v>16.441759304011601</v>
      </c>
      <c r="J9">
        <f t="shared" si="5"/>
        <v>21.441759304011601</v>
      </c>
      <c r="K9">
        <f t="shared" si="6"/>
        <v>107.208796520058</v>
      </c>
      <c r="L9">
        <f t="shared" si="7"/>
        <v>26.441759304011601</v>
      </c>
      <c r="N9">
        <f t="shared" si="8"/>
        <v>82.208796520058002</v>
      </c>
      <c r="O9">
        <f t="shared" si="9"/>
        <v>132.208796520058</v>
      </c>
      <c r="P9">
        <f t="shared" si="10"/>
        <v>50</v>
      </c>
      <c r="R9">
        <f t="shared" si="11"/>
        <v>3.6</v>
      </c>
      <c r="S9">
        <v>3</v>
      </c>
      <c r="T9">
        <f t="shared" si="12"/>
        <v>12</v>
      </c>
      <c r="U9">
        <v>12</v>
      </c>
      <c r="V9">
        <f t="shared" si="13"/>
        <v>36</v>
      </c>
      <c r="W9">
        <f t="shared" si="14"/>
        <v>27.777777777777779</v>
      </c>
      <c r="X9">
        <v>28</v>
      </c>
      <c r="Y9">
        <f t="shared" si="15"/>
        <v>16.8</v>
      </c>
      <c r="Z9">
        <f t="shared" si="16"/>
        <v>2.3582406959883997</v>
      </c>
      <c r="AA9">
        <f t="shared" si="17"/>
        <v>11.791203479941998</v>
      </c>
    </row>
    <row r="10" spans="2:37" x14ac:dyDescent="0.25">
      <c r="B10">
        <v>22</v>
      </c>
      <c r="C10">
        <v>10</v>
      </c>
      <c r="D10">
        <v>6000</v>
      </c>
      <c r="E10">
        <f t="shared" si="0"/>
        <v>1320000</v>
      </c>
      <c r="F10">
        <f t="shared" si="1"/>
        <v>6.3798936684388588E-2</v>
      </c>
      <c r="G10">
        <f t="shared" si="2"/>
        <v>95.315611406476549</v>
      </c>
      <c r="H10">
        <f t="shared" si="3"/>
        <v>15.885935234412758</v>
      </c>
      <c r="I10">
        <f t="shared" si="4"/>
        <v>17.885935234412756</v>
      </c>
      <c r="J10">
        <f t="shared" si="5"/>
        <v>22.885935234412756</v>
      </c>
      <c r="K10">
        <f t="shared" si="6"/>
        <v>137.31561140647653</v>
      </c>
      <c r="L10">
        <f t="shared" si="7"/>
        <v>27.885935234412756</v>
      </c>
      <c r="N10">
        <f t="shared" si="8"/>
        <v>107.31561140647653</v>
      </c>
      <c r="O10">
        <f t="shared" si="9"/>
        <v>167.31561140647653</v>
      </c>
      <c r="P10">
        <f t="shared" si="10"/>
        <v>60</v>
      </c>
      <c r="R10">
        <f t="shared" si="11"/>
        <v>3.2727272727272729</v>
      </c>
      <c r="S10">
        <v>3</v>
      </c>
      <c r="T10">
        <f t="shared" si="12"/>
        <v>12</v>
      </c>
      <c r="U10">
        <v>12</v>
      </c>
      <c r="V10">
        <f t="shared" si="13"/>
        <v>36</v>
      </c>
      <c r="W10">
        <f t="shared" si="14"/>
        <v>27.777777777777779</v>
      </c>
      <c r="X10">
        <v>28</v>
      </c>
      <c r="Y10">
        <f t="shared" si="15"/>
        <v>16.8</v>
      </c>
      <c r="Z10">
        <f t="shared" si="16"/>
        <v>0.91406476558724314</v>
      </c>
      <c r="AA10">
        <f t="shared" si="17"/>
        <v>5.4843885935234589</v>
      </c>
      <c r="AD10" t="s">
        <v>11</v>
      </c>
      <c r="AE10">
        <f>F22</f>
        <v>417</v>
      </c>
      <c r="AF10">
        <f>F21</f>
        <v>500</v>
      </c>
      <c r="AG10">
        <f>F20</f>
        <v>417</v>
      </c>
      <c r="AH10">
        <f>F19</f>
        <v>1429</v>
      </c>
      <c r="AI10">
        <f>F18</f>
        <v>2858</v>
      </c>
      <c r="AJ10">
        <f>F17</f>
        <v>2858</v>
      </c>
      <c r="AK10">
        <f>F16</f>
        <v>2858</v>
      </c>
    </row>
    <row r="11" spans="2:37" x14ac:dyDescent="0.25">
      <c r="B11">
        <v>24</v>
      </c>
      <c r="C11">
        <v>10</v>
      </c>
      <c r="D11">
        <v>5000</v>
      </c>
      <c r="E11">
        <f t="shared" si="0"/>
        <v>1200000</v>
      </c>
      <c r="F11">
        <f t="shared" si="1"/>
        <v>5.7999033349444173E-2</v>
      </c>
      <c r="G11">
        <f t="shared" si="2"/>
        <v>86.650555824069599</v>
      </c>
      <c r="H11">
        <f t="shared" si="3"/>
        <v>17.330111164813918</v>
      </c>
      <c r="I11">
        <f t="shared" si="4"/>
        <v>19.330111164813918</v>
      </c>
      <c r="J11">
        <f t="shared" si="5"/>
        <v>24.330111164813918</v>
      </c>
      <c r="K11">
        <f t="shared" si="6"/>
        <v>121.65055582406958</v>
      </c>
      <c r="L11">
        <f t="shared" si="7"/>
        <v>29.330111164813918</v>
      </c>
      <c r="N11">
        <f t="shared" si="8"/>
        <v>96.650555824069585</v>
      </c>
      <c r="O11">
        <f t="shared" si="9"/>
        <v>146.65055582406958</v>
      </c>
      <c r="P11">
        <f t="shared" si="10"/>
        <v>50</v>
      </c>
      <c r="R11">
        <f t="shared" si="11"/>
        <v>3</v>
      </c>
      <c r="S11">
        <v>3</v>
      </c>
      <c r="T11">
        <f t="shared" si="12"/>
        <v>12</v>
      </c>
      <c r="U11">
        <v>12</v>
      </c>
      <c r="V11">
        <f t="shared" si="13"/>
        <v>36</v>
      </c>
      <c r="W11">
        <f t="shared" si="14"/>
        <v>27.777777777777779</v>
      </c>
      <c r="X11">
        <v>28</v>
      </c>
      <c r="Y11">
        <f t="shared" si="15"/>
        <v>16.8</v>
      </c>
      <c r="Z11">
        <f t="shared" si="16"/>
        <v>-0.53011116481391696</v>
      </c>
      <c r="AA11">
        <f t="shared" si="17"/>
        <v>-2.6505558240695843</v>
      </c>
    </row>
    <row r="12" spans="2:37" x14ac:dyDescent="0.25">
      <c r="AD12" t="s">
        <v>10</v>
      </c>
      <c r="AE12">
        <f t="shared" ref="AE12:AK12" si="19">SUM(AE16:AE22)</f>
        <v>417</v>
      </c>
      <c r="AF12">
        <f t="shared" si="19"/>
        <v>500</v>
      </c>
      <c r="AG12">
        <f t="shared" si="19"/>
        <v>679</v>
      </c>
      <c r="AH12">
        <f t="shared" si="19"/>
        <v>1429</v>
      </c>
      <c r="AI12">
        <f t="shared" si="19"/>
        <v>2859</v>
      </c>
      <c r="AJ12">
        <f t="shared" si="19"/>
        <v>2860</v>
      </c>
      <c r="AK12">
        <f t="shared" si="19"/>
        <v>2858</v>
      </c>
    </row>
    <row r="13" spans="2:37" x14ac:dyDescent="0.25">
      <c r="D13">
        <f>SUM(D5:D12)</f>
        <v>86000</v>
      </c>
      <c r="E13">
        <f>SUM(E5:E12)</f>
        <v>20690000</v>
      </c>
      <c r="F13">
        <f>SUM(F5:F12)</f>
        <v>1</v>
      </c>
      <c r="G13" s="2">
        <f>SUM(G5:G12)</f>
        <v>1494.0000000000002</v>
      </c>
      <c r="H13" s="2"/>
      <c r="I13" s="2">
        <f>AG8*20/72*0.6</f>
        <v>43.666666666666664</v>
      </c>
      <c r="K13" s="2">
        <f>SUM(K5:K12)</f>
        <v>2096</v>
      </c>
      <c r="O13" s="2">
        <f>SUM(O5:O12)</f>
        <v>2526</v>
      </c>
      <c r="P13" s="2">
        <f>SUM(P5:P12)</f>
        <v>860</v>
      </c>
      <c r="Y13" s="2"/>
      <c r="Z13" s="2">
        <f>I13+AA13</f>
        <v>162.4666666666665</v>
      </c>
      <c r="AA13" s="2">
        <f>SUM(AA5:AA12)</f>
        <v>118.79999999999983</v>
      </c>
      <c r="AB13" s="2"/>
      <c r="AC13" s="2"/>
    </row>
    <row r="14" spans="2:37" x14ac:dyDescent="0.25">
      <c r="G14" t="s">
        <v>21</v>
      </c>
      <c r="I14" t="s">
        <v>22</v>
      </c>
      <c r="R14">
        <v>24</v>
      </c>
      <c r="S14">
        <v>22</v>
      </c>
      <c r="T14">
        <v>20</v>
      </c>
      <c r="U14">
        <v>17</v>
      </c>
      <c r="V14">
        <v>15</v>
      </c>
      <c r="W14">
        <v>14</v>
      </c>
      <c r="X14">
        <v>13</v>
      </c>
      <c r="AA14" t="s">
        <v>7</v>
      </c>
      <c r="AE14">
        <v>24</v>
      </c>
      <c r="AF14">
        <v>22</v>
      </c>
      <c r="AG14">
        <v>20</v>
      </c>
      <c r="AH14">
        <v>17</v>
      </c>
      <c r="AI14">
        <v>15</v>
      </c>
      <c r="AJ14">
        <v>14</v>
      </c>
      <c r="AK14">
        <v>13</v>
      </c>
    </row>
    <row r="15" spans="2:37" x14ac:dyDescent="0.25">
      <c r="B15" t="s">
        <v>8</v>
      </c>
      <c r="F15" t="s">
        <v>9</v>
      </c>
    </row>
    <row r="16" spans="2:37" x14ac:dyDescent="0.25">
      <c r="B16">
        <v>13</v>
      </c>
      <c r="C16">
        <f t="shared" ref="C16:C22" si="20">$G$2/C5</f>
        <v>7.0588235294117645</v>
      </c>
      <c r="D16">
        <v>7</v>
      </c>
      <c r="E16">
        <f t="shared" ref="E16:E22" si="21">D5/D16</f>
        <v>2857.1428571428573</v>
      </c>
      <c r="F16">
        <v>2858</v>
      </c>
      <c r="H16">
        <f t="shared" ref="H16:H22" si="22">SUM(I16:M16)</f>
        <v>72</v>
      </c>
      <c r="I16">
        <v>13</v>
      </c>
      <c r="J16">
        <v>13</v>
      </c>
      <c r="K16">
        <v>13</v>
      </c>
      <c r="L16">
        <v>13</v>
      </c>
      <c r="M16">
        <v>20</v>
      </c>
      <c r="T16">
        <v>1</v>
      </c>
      <c r="X16">
        <v>4</v>
      </c>
      <c r="AA16">
        <v>359</v>
      </c>
      <c r="AE16">
        <f t="shared" ref="AE16:AK16" si="23">$AA$16*R16</f>
        <v>0</v>
      </c>
      <c r="AF16">
        <f t="shared" si="23"/>
        <v>0</v>
      </c>
      <c r="AG16">
        <f t="shared" si="23"/>
        <v>359</v>
      </c>
      <c r="AH16">
        <f t="shared" si="23"/>
        <v>0</v>
      </c>
      <c r="AI16">
        <f t="shared" si="23"/>
        <v>0</v>
      </c>
      <c r="AJ16">
        <f t="shared" si="23"/>
        <v>0</v>
      </c>
      <c r="AK16">
        <f t="shared" si="23"/>
        <v>1436</v>
      </c>
    </row>
    <row r="17" spans="1:37" x14ac:dyDescent="0.25">
      <c r="B17">
        <v>14</v>
      </c>
      <c r="C17">
        <f t="shared" si="20"/>
        <v>7.0588235294117645</v>
      </c>
      <c r="D17">
        <v>7</v>
      </c>
      <c r="E17">
        <f t="shared" si="21"/>
        <v>2857.1428571428573</v>
      </c>
      <c r="F17">
        <v>2858</v>
      </c>
      <c r="H17">
        <f t="shared" si="22"/>
        <v>72</v>
      </c>
      <c r="I17">
        <v>14</v>
      </c>
      <c r="J17">
        <v>14</v>
      </c>
      <c r="K17">
        <v>14</v>
      </c>
      <c r="L17">
        <v>13</v>
      </c>
      <c r="M17">
        <v>17</v>
      </c>
      <c r="U17">
        <v>1</v>
      </c>
      <c r="W17">
        <v>3</v>
      </c>
      <c r="X17">
        <v>1</v>
      </c>
      <c r="AA17">
        <v>469</v>
      </c>
      <c r="AE17">
        <f t="shared" ref="AE17:AK17" si="24">$AA$17*R17</f>
        <v>0</v>
      </c>
      <c r="AF17">
        <f t="shared" si="24"/>
        <v>0</v>
      </c>
      <c r="AG17">
        <f t="shared" si="24"/>
        <v>0</v>
      </c>
      <c r="AH17">
        <f t="shared" si="24"/>
        <v>469</v>
      </c>
      <c r="AI17">
        <f t="shared" si="24"/>
        <v>0</v>
      </c>
      <c r="AJ17">
        <f t="shared" si="24"/>
        <v>1407</v>
      </c>
      <c r="AK17">
        <f t="shared" si="24"/>
        <v>469</v>
      </c>
    </row>
    <row r="18" spans="1:37" x14ac:dyDescent="0.25">
      <c r="B18">
        <v>15</v>
      </c>
      <c r="C18">
        <f t="shared" si="20"/>
        <v>7.0588235294117645</v>
      </c>
      <c r="D18">
        <v>7</v>
      </c>
      <c r="E18">
        <f t="shared" si="21"/>
        <v>2857.1428571428573</v>
      </c>
      <c r="F18">
        <v>2858</v>
      </c>
      <c r="H18">
        <f t="shared" si="22"/>
        <v>72</v>
      </c>
      <c r="I18">
        <v>15</v>
      </c>
      <c r="J18">
        <v>15</v>
      </c>
      <c r="K18">
        <v>15</v>
      </c>
      <c r="L18">
        <v>14</v>
      </c>
      <c r="M18">
        <v>13</v>
      </c>
      <c r="V18">
        <v>3</v>
      </c>
      <c r="W18">
        <v>1</v>
      </c>
      <c r="X18">
        <v>1</v>
      </c>
      <c r="AA18">
        <v>953</v>
      </c>
      <c r="AE18">
        <f t="shared" ref="AE18:AK18" si="25">$AA$18*R18</f>
        <v>0</v>
      </c>
      <c r="AF18">
        <f t="shared" si="25"/>
        <v>0</v>
      </c>
      <c r="AG18">
        <f t="shared" si="25"/>
        <v>0</v>
      </c>
      <c r="AH18">
        <f t="shared" si="25"/>
        <v>0</v>
      </c>
      <c r="AI18">
        <f t="shared" si="25"/>
        <v>2859</v>
      </c>
      <c r="AJ18">
        <f t="shared" si="25"/>
        <v>953</v>
      </c>
      <c r="AK18">
        <f t="shared" si="25"/>
        <v>953</v>
      </c>
    </row>
    <row r="19" spans="1:37" x14ac:dyDescent="0.25">
      <c r="B19">
        <v>17</v>
      </c>
      <c r="C19">
        <f t="shared" si="20"/>
        <v>7.0588235294117645</v>
      </c>
      <c r="D19">
        <v>7</v>
      </c>
      <c r="E19">
        <f t="shared" si="21"/>
        <v>1428.5714285714287</v>
      </c>
      <c r="F19">
        <v>1429</v>
      </c>
      <c r="H19">
        <f t="shared" si="22"/>
        <v>71</v>
      </c>
      <c r="I19">
        <v>17</v>
      </c>
      <c r="J19">
        <v>17</v>
      </c>
      <c r="K19">
        <v>17</v>
      </c>
      <c r="L19">
        <v>20</v>
      </c>
      <c r="T19">
        <v>1</v>
      </c>
      <c r="U19">
        <v>3</v>
      </c>
      <c r="AA19">
        <v>320</v>
      </c>
      <c r="AE19">
        <f t="shared" ref="AE19:AK19" si="26">$AA$19*R19</f>
        <v>0</v>
      </c>
      <c r="AF19">
        <f t="shared" si="26"/>
        <v>0</v>
      </c>
      <c r="AG19">
        <f t="shared" si="26"/>
        <v>320</v>
      </c>
      <c r="AH19">
        <f t="shared" si="26"/>
        <v>960</v>
      </c>
      <c r="AI19">
        <f t="shared" si="26"/>
        <v>0</v>
      </c>
      <c r="AJ19">
        <f t="shared" si="26"/>
        <v>0</v>
      </c>
      <c r="AK19">
        <f t="shared" si="26"/>
        <v>0</v>
      </c>
    </row>
    <row r="20" spans="1:37" x14ac:dyDescent="0.25">
      <c r="B20">
        <v>20</v>
      </c>
      <c r="C20">
        <f t="shared" si="20"/>
        <v>12</v>
      </c>
      <c r="D20">
        <v>12</v>
      </c>
      <c r="E20">
        <f t="shared" si="21"/>
        <v>416.66666666666669</v>
      </c>
      <c r="F20">
        <v>417</v>
      </c>
      <c r="H20">
        <f t="shared" si="22"/>
        <v>72</v>
      </c>
      <c r="I20">
        <v>20</v>
      </c>
      <c r="J20">
        <v>20</v>
      </c>
      <c r="K20">
        <v>17</v>
      </c>
      <c r="L20">
        <v>15</v>
      </c>
      <c r="T20">
        <v>2</v>
      </c>
      <c r="U20">
        <v>1</v>
      </c>
      <c r="V20">
        <v>1</v>
      </c>
      <c r="AA20">
        <v>0</v>
      </c>
      <c r="AE20">
        <f t="shared" ref="AE20:AK20" si="27">$AA$20*R20</f>
        <v>0</v>
      </c>
      <c r="AF20">
        <f t="shared" si="27"/>
        <v>0</v>
      </c>
      <c r="AG20">
        <f t="shared" si="27"/>
        <v>0</v>
      </c>
      <c r="AH20">
        <f t="shared" si="27"/>
        <v>0</v>
      </c>
      <c r="AI20">
        <f t="shared" si="27"/>
        <v>0</v>
      </c>
      <c r="AJ20">
        <f t="shared" si="27"/>
        <v>0</v>
      </c>
      <c r="AK20">
        <f t="shared" si="27"/>
        <v>0</v>
      </c>
    </row>
    <row r="21" spans="1:37" x14ac:dyDescent="0.25">
      <c r="B21">
        <v>22</v>
      </c>
      <c r="C21">
        <f t="shared" si="20"/>
        <v>12</v>
      </c>
      <c r="D21">
        <v>12</v>
      </c>
      <c r="E21">
        <f t="shared" si="21"/>
        <v>500</v>
      </c>
      <c r="F21">
        <v>500</v>
      </c>
      <c r="H21">
        <f t="shared" si="22"/>
        <v>72</v>
      </c>
      <c r="I21">
        <v>22</v>
      </c>
      <c r="J21">
        <v>22</v>
      </c>
      <c r="K21">
        <v>14</v>
      </c>
      <c r="L21">
        <v>14</v>
      </c>
      <c r="S21">
        <v>2</v>
      </c>
      <c r="W21">
        <v>2</v>
      </c>
      <c r="AA21">
        <v>250</v>
      </c>
      <c r="AE21">
        <f t="shared" ref="AE21:AK21" si="28">$AA$21*R21</f>
        <v>0</v>
      </c>
      <c r="AF21">
        <f t="shared" si="28"/>
        <v>500</v>
      </c>
      <c r="AG21">
        <f t="shared" si="28"/>
        <v>0</v>
      </c>
      <c r="AH21">
        <f t="shared" si="28"/>
        <v>0</v>
      </c>
      <c r="AI21">
        <f t="shared" si="28"/>
        <v>0</v>
      </c>
      <c r="AJ21">
        <f t="shared" si="28"/>
        <v>500</v>
      </c>
      <c r="AK21">
        <f t="shared" si="28"/>
        <v>0</v>
      </c>
    </row>
    <row r="22" spans="1:37" x14ac:dyDescent="0.25">
      <c r="B22">
        <v>24</v>
      </c>
      <c r="C22">
        <f t="shared" si="20"/>
        <v>12</v>
      </c>
      <c r="D22">
        <v>12</v>
      </c>
      <c r="E22">
        <f t="shared" si="21"/>
        <v>416.66666666666669</v>
      </c>
      <c r="F22">
        <v>417</v>
      </c>
      <c r="H22">
        <f t="shared" si="22"/>
        <v>72</v>
      </c>
      <c r="I22">
        <v>24</v>
      </c>
      <c r="J22">
        <v>24</v>
      </c>
      <c r="K22">
        <v>24</v>
      </c>
      <c r="R22">
        <v>3</v>
      </c>
      <c r="AA22">
        <v>139</v>
      </c>
      <c r="AE22">
        <f t="shared" ref="AE22:AK22" si="29">$AA$22*R22</f>
        <v>417</v>
      </c>
      <c r="AF22">
        <f t="shared" si="29"/>
        <v>0</v>
      </c>
      <c r="AG22">
        <f t="shared" si="29"/>
        <v>0</v>
      </c>
      <c r="AH22">
        <f t="shared" si="29"/>
        <v>0</v>
      </c>
      <c r="AI22">
        <f t="shared" si="29"/>
        <v>0</v>
      </c>
      <c r="AJ22">
        <f t="shared" si="29"/>
        <v>0</v>
      </c>
      <c r="AK22">
        <f t="shared" si="29"/>
        <v>0</v>
      </c>
    </row>
    <row r="24" spans="1:37" x14ac:dyDescent="0.25">
      <c r="AA24">
        <f>SUM(AA16:AA23)</f>
        <v>2490</v>
      </c>
    </row>
    <row r="25" spans="1:37" x14ac:dyDescent="0.25">
      <c r="Y25" t="s">
        <v>15</v>
      </c>
      <c r="AA25">
        <f>AA24*H2</f>
        <v>1494</v>
      </c>
    </row>
    <row r="26" spans="1:37" x14ac:dyDescent="0.25">
      <c r="A26">
        <v>20000</v>
      </c>
      <c r="B26">
        <v>13</v>
      </c>
      <c r="C26">
        <v>17</v>
      </c>
      <c r="D26">
        <v>27.958144030932814</v>
      </c>
      <c r="E26">
        <v>25.5</v>
      </c>
      <c r="F26">
        <f t="shared" ref="F26:F32" si="30">E26-0.1</f>
        <v>25.4</v>
      </c>
    </row>
    <row r="27" spans="1:37" x14ac:dyDescent="0.25">
      <c r="A27">
        <v>20000</v>
      </c>
      <c r="B27">
        <v>14</v>
      </c>
      <c r="C27">
        <v>17</v>
      </c>
      <c r="D27">
        <v>29.185693571773804</v>
      </c>
      <c r="E27">
        <v>28.5</v>
      </c>
      <c r="F27">
        <f t="shared" si="30"/>
        <v>28.4</v>
      </c>
    </row>
    <row r="28" spans="1:37" x14ac:dyDescent="0.25">
      <c r="A28">
        <v>20000</v>
      </c>
      <c r="B28">
        <v>15</v>
      </c>
      <c r="C28">
        <v>17</v>
      </c>
      <c r="D28">
        <v>30.413243112614794</v>
      </c>
      <c r="E28">
        <v>30.25</v>
      </c>
      <c r="F28">
        <f t="shared" si="30"/>
        <v>30.15</v>
      </c>
    </row>
    <row r="29" spans="1:37" x14ac:dyDescent="0.25">
      <c r="A29">
        <v>10000</v>
      </c>
      <c r="B29">
        <v>17</v>
      </c>
      <c r="C29">
        <v>17</v>
      </c>
      <c r="D29">
        <v>32.868342194296766</v>
      </c>
      <c r="E29">
        <v>34.25</v>
      </c>
      <c r="F29">
        <f t="shared" si="30"/>
        <v>34.15</v>
      </c>
    </row>
    <row r="30" spans="1:37" x14ac:dyDescent="0.25">
      <c r="A30">
        <v>5000</v>
      </c>
      <c r="B30">
        <v>20</v>
      </c>
      <c r="C30">
        <v>10</v>
      </c>
      <c r="D30">
        <v>26.441759304011601</v>
      </c>
      <c r="E30">
        <v>24.8</v>
      </c>
      <c r="F30">
        <f t="shared" si="30"/>
        <v>24.7</v>
      </c>
    </row>
    <row r="31" spans="1:37" x14ac:dyDescent="0.25">
      <c r="A31">
        <v>6000</v>
      </c>
      <c r="B31">
        <v>22</v>
      </c>
      <c r="C31">
        <v>10</v>
      </c>
      <c r="D31">
        <v>27.885935234412756</v>
      </c>
      <c r="E31">
        <v>24.45</v>
      </c>
      <c r="F31">
        <f t="shared" si="30"/>
        <v>24.349999999999998</v>
      </c>
    </row>
    <row r="32" spans="1:37" x14ac:dyDescent="0.25">
      <c r="A32">
        <v>5000</v>
      </c>
      <c r="B32">
        <v>24</v>
      </c>
      <c r="C32">
        <v>10</v>
      </c>
      <c r="D32">
        <v>29.330111164813918</v>
      </c>
      <c r="E32">
        <v>30.5</v>
      </c>
      <c r="F32">
        <f t="shared" si="30"/>
        <v>30.4</v>
      </c>
    </row>
    <row r="33" spans="1:10" x14ac:dyDescent="0.25">
      <c r="A33">
        <f>SUM(A26:A32)</f>
        <v>86000</v>
      </c>
    </row>
    <row r="35" spans="1:10" x14ac:dyDescent="0.25">
      <c r="B35">
        <v>13</v>
      </c>
      <c r="C35">
        <v>17</v>
      </c>
      <c r="D35">
        <v>20000</v>
      </c>
      <c r="E35">
        <v>25.4</v>
      </c>
      <c r="F35">
        <f t="shared" ref="F35:F41" si="31">E35*D35/1000</f>
        <v>508</v>
      </c>
    </row>
    <row r="36" spans="1:10" x14ac:dyDescent="0.25">
      <c r="B36">
        <v>14</v>
      </c>
      <c r="C36">
        <v>17</v>
      </c>
      <c r="D36">
        <v>20000</v>
      </c>
      <c r="E36">
        <v>28.4</v>
      </c>
      <c r="F36">
        <f t="shared" si="31"/>
        <v>568</v>
      </c>
    </row>
    <row r="37" spans="1:10" x14ac:dyDescent="0.25">
      <c r="B37">
        <v>15</v>
      </c>
      <c r="C37">
        <v>17</v>
      </c>
      <c r="D37">
        <v>20000</v>
      </c>
      <c r="E37">
        <v>30.15</v>
      </c>
      <c r="F37">
        <f t="shared" si="31"/>
        <v>603</v>
      </c>
    </row>
    <row r="38" spans="1:10" x14ac:dyDescent="0.25">
      <c r="B38">
        <v>17</v>
      </c>
      <c r="C38">
        <v>17</v>
      </c>
      <c r="D38">
        <v>10000</v>
      </c>
      <c r="E38">
        <v>34.15</v>
      </c>
      <c r="F38">
        <f t="shared" si="31"/>
        <v>341.5</v>
      </c>
    </row>
    <row r="39" spans="1:10" x14ac:dyDescent="0.25">
      <c r="B39">
        <v>20</v>
      </c>
      <c r="C39">
        <v>10</v>
      </c>
      <c r="D39">
        <v>5000</v>
      </c>
      <c r="E39">
        <v>24.7</v>
      </c>
      <c r="F39">
        <f t="shared" si="31"/>
        <v>123.5</v>
      </c>
    </row>
    <row r="40" spans="1:10" x14ac:dyDescent="0.25">
      <c r="B40">
        <v>22</v>
      </c>
      <c r="C40">
        <v>10</v>
      </c>
      <c r="D40">
        <v>6000</v>
      </c>
      <c r="E40">
        <v>24.349999999999998</v>
      </c>
      <c r="F40">
        <f t="shared" si="31"/>
        <v>146.1</v>
      </c>
    </row>
    <row r="41" spans="1:10" x14ac:dyDescent="0.25">
      <c r="B41">
        <v>24</v>
      </c>
      <c r="C41">
        <v>10</v>
      </c>
      <c r="D41">
        <v>5000</v>
      </c>
      <c r="E41">
        <v>30.4</v>
      </c>
      <c r="F41">
        <f t="shared" si="31"/>
        <v>152</v>
      </c>
    </row>
    <row r="43" spans="1:10" x14ac:dyDescent="0.25">
      <c r="F43">
        <f>SUM(F35:F42)</f>
        <v>2442.1</v>
      </c>
      <c r="G43">
        <f>G13</f>
        <v>1494.0000000000002</v>
      </c>
      <c r="H43">
        <f>A33*2/1000</f>
        <v>172</v>
      </c>
      <c r="I43">
        <f>F43-G43-H43</f>
        <v>776.09999999999968</v>
      </c>
      <c r="J43">
        <f>I43/2</f>
        <v>388.04999999999984</v>
      </c>
    </row>
    <row r="44" spans="1:10" x14ac:dyDescent="0.25">
      <c r="F44" t="s">
        <v>80</v>
      </c>
      <c r="H44" t="s">
        <v>81</v>
      </c>
      <c r="J44" s="14">
        <v>0.5</v>
      </c>
    </row>
    <row r="45" spans="1:10" x14ac:dyDescent="0.25">
      <c r="G45" t="s">
        <v>21</v>
      </c>
      <c r="I45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58"/>
  <sheetViews>
    <sheetView topLeftCell="A35" workbookViewId="0">
      <selection activeCell="J47" sqref="J47"/>
    </sheetView>
  </sheetViews>
  <sheetFormatPr defaultRowHeight="15" x14ac:dyDescent="0.25"/>
  <cols>
    <col min="6" max="20" width="6.7109375" customWidth="1"/>
    <col min="21" max="21" width="14.7109375" bestFit="1" customWidth="1"/>
  </cols>
  <sheetData>
    <row r="2" spans="1:20" x14ac:dyDescent="0.25">
      <c r="C2" t="s">
        <v>7</v>
      </c>
    </row>
    <row r="3" spans="1:20" x14ac:dyDescent="0.25">
      <c r="B3" t="s">
        <v>1</v>
      </c>
      <c r="C3" t="s">
        <v>2</v>
      </c>
    </row>
    <row r="7" spans="1:20" x14ac:dyDescent="0.25">
      <c r="G7" s="5"/>
      <c r="H7" s="5"/>
      <c r="L7" s="7" t="s">
        <v>63</v>
      </c>
    </row>
    <row r="9" spans="1:20" ht="15.75" thickBot="1" x14ac:dyDescent="0.3">
      <c r="B9" s="29" t="s">
        <v>60</v>
      </c>
      <c r="C9" s="29"/>
      <c r="D9" s="29"/>
      <c r="F9" s="27">
        <v>13</v>
      </c>
      <c r="G9" s="27"/>
      <c r="H9" s="2"/>
      <c r="J9" s="27">
        <v>14</v>
      </c>
      <c r="K9" s="27"/>
      <c r="L9" s="2"/>
      <c r="N9" s="27">
        <v>16</v>
      </c>
      <c r="O9" s="27"/>
      <c r="P9" s="2"/>
      <c r="R9" s="27">
        <v>18</v>
      </c>
      <c r="S9" s="27"/>
      <c r="T9" s="2"/>
    </row>
    <row r="10" spans="1:20" ht="16.5" thickTop="1" thickBot="1" x14ac:dyDescent="0.3">
      <c r="B10" t="s">
        <v>1</v>
      </c>
      <c r="C10" t="s">
        <v>2</v>
      </c>
      <c r="D10" t="s">
        <v>3</v>
      </c>
      <c r="F10" s="6"/>
      <c r="G10" s="6"/>
      <c r="H10" s="28">
        <v>16</v>
      </c>
      <c r="J10" s="6"/>
      <c r="K10" s="6"/>
      <c r="L10" s="28">
        <v>16</v>
      </c>
      <c r="N10" s="6"/>
      <c r="O10" s="6"/>
      <c r="P10" s="28">
        <v>16</v>
      </c>
      <c r="R10" s="6"/>
      <c r="S10" s="6"/>
      <c r="T10" s="28">
        <v>16</v>
      </c>
    </row>
    <row r="11" spans="1:20" ht="16.5" thickTop="1" thickBot="1" x14ac:dyDescent="0.3">
      <c r="A11" s="26" t="s">
        <v>61</v>
      </c>
      <c r="B11">
        <v>13</v>
      </c>
      <c r="C11">
        <v>16</v>
      </c>
      <c r="D11">
        <v>3600</v>
      </c>
      <c r="F11" s="6"/>
      <c r="G11" s="6"/>
      <c r="H11" s="28"/>
      <c r="J11" s="6"/>
      <c r="K11" s="6"/>
      <c r="L11" s="28"/>
      <c r="N11" s="6"/>
      <c r="O11" s="6"/>
      <c r="P11" s="28"/>
      <c r="R11" s="6"/>
      <c r="S11" s="6"/>
      <c r="T11" s="28"/>
    </row>
    <row r="12" spans="1:20" ht="16.5" thickTop="1" thickBot="1" x14ac:dyDescent="0.3">
      <c r="A12" s="26"/>
      <c r="B12">
        <v>14</v>
      </c>
      <c r="C12">
        <v>16</v>
      </c>
      <c r="D12">
        <v>12000</v>
      </c>
      <c r="F12" s="6"/>
      <c r="G12" s="6"/>
      <c r="H12" s="28"/>
      <c r="J12" s="6"/>
      <c r="K12" s="6"/>
      <c r="L12" s="28"/>
      <c r="N12" s="6"/>
      <c r="O12" s="6"/>
      <c r="P12" s="28"/>
      <c r="R12" s="6"/>
      <c r="S12" s="6"/>
      <c r="T12" s="28"/>
    </row>
    <row r="13" spans="1:20" ht="16.5" thickTop="1" thickBot="1" x14ac:dyDescent="0.3">
      <c r="A13" s="26"/>
      <c r="B13">
        <v>16</v>
      </c>
      <c r="C13">
        <v>16</v>
      </c>
      <c r="D13">
        <v>6000</v>
      </c>
      <c r="F13" s="6"/>
      <c r="G13" s="6"/>
      <c r="H13" s="28"/>
      <c r="J13" s="6"/>
      <c r="K13" s="6"/>
      <c r="L13" s="28"/>
      <c r="N13" s="6"/>
      <c r="O13" s="6"/>
      <c r="P13" s="28"/>
      <c r="R13" s="6"/>
      <c r="S13" s="6"/>
      <c r="T13" s="28"/>
    </row>
    <row r="14" spans="1:20" ht="16.5" thickTop="1" thickBot="1" x14ac:dyDescent="0.3">
      <c r="A14" s="26"/>
      <c r="B14">
        <v>18</v>
      </c>
      <c r="C14">
        <v>16</v>
      </c>
      <c r="D14">
        <v>2400</v>
      </c>
      <c r="F14" s="6"/>
      <c r="G14" s="6"/>
      <c r="H14" s="28"/>
      <c r="J14" s="6"/>
      <c r="K14" s="6"/>
      <c r="L14" s="28"/>
      <c r="N14" s="6"/>
      <c r="O14" s="6"/>
      <c r="P14" s="28"/>
      <c r="R14" s="6"/>
      <c r="S14" s="6"/>
      <c r="T14" s="28"/>
    </row>
    <row r="15" spans="1:20" ht="15.75" thickTop="1" x14ac:dyDescent="0.25">
      <c r="A15" s="9"/>
      <c r="F15" s="2"/>
      <c r="G15" s="2"/>
      <c r="H15" s="8"/>
      <c r="J15" s="2"/>
      <c r="K15" s="2"/>
      <c r="L15" s="8"/>
      <c r="N15" s="2"/>
      <c r="O15" s="2"/>
      <c r="P15" s="8"/>
      <c r="R15" s="2"/>
      <c r="S15" s="2"/>
      <c r="T15" s="8"/>
    </row>
    <row r="16" spans="1:20" x14ac:dyDescent="0.25">
      <c r="A16" s="9"/>
      <c r="F16" s="2"/>
      <c r="G16" s="2"/>
      <c r="H16" s="8"/>
      <c r="J16" s="2"/>
      <c r="K16" s="2"/>
      <c r="L16" s="7" t="s">
        <v>63</v>
      </c>
      <c r="N16" s="2"/>
      <c r="O16" s="2"/>
      <c r="P16" s="8"/>
      <c r="R16" s="2"/>
      <c r="S16" s="2"/>
      <c r="T16" s="8"/>
    </row>
    <row r="17" spans="1:26" ht="15.75" thickBot="1" x14ac:dyDescent="0.3">
      <c r="F17" s="27">
        <v>14</v>
      </c>
      <c r="G17" s="27"/>
      <c r="H17" s="2"/>
      <c r="J17" s="27">
        <v>16</v>
      </c>
      <c r="K17" s="27"/>
      <c r="L17" s="2"/>
      <c r="N17" s="27">
        <v>18</v>
      </c>
      <c r="O17" s="27"/>
      <c r="P17" s="2"/>
      <c r="R17" s="27">
        <v>20</v>
      </c>
      <c r="S17" s="27"/>
      <c r="T17" s="2"/>
    </row>
    <row r="18" spans="1:26" ht="16.5" thickTop="1" thickBot="1" x14ac:dyDescent="0.3">
      <c r="A18" s="26" t="s">
        <v>62</v>
      </c>
      <c r="B18">
        <v>14</v>
      </c>
      <c r="C18">
        <v>16</v>
      </c>
      <c r="D18">
        <v>20000</v>
      </c>
      <c r="F18" s="6"/>
      <c r="G18" s="6"/>
      <c r="H18" s="28">
        <v>16</v>
      </c>
      <c r="J18" s="6"/>
      <c r="K18" s="6"/>
      <c r="L18" s="28">
        <v>16</v>
      </c>
      <c r="N18" s="6"/>
      <c r="O18" s="6"/>
      <c r="P18" s="28">
        <v>16</v>
      </c>
      <c r="R18" s="6"/>
      <c r="S18" s="6"/>
      <c r="T18" s="28">
        <v>18</v>
      </c>
    </row>
    <row r="19" spans="1:26" ht="16.5" thickTop="1" thickBot="1" x14ac:dyDescent="0.3">
      <c r="A19" s="26"/>
      <c r="B19">
        <v>16</v>
      </c>
      <c r="C19">
        <v>16</v>
      </c>
      <c r="D19">
        <v>45600</v>
      </c>
      <c r="F19" s="6"/>
      <c r="G19" s="6"/>
      <c r="H19" s="28"/>
      <c r="J19" s="6"/>
      <c r="K19" s="6"/>
      <c r="L19" s="28"/>
      <c r="N19" s="6"/>
      <c r="O19" s="6"/>
      <c r="P19" s="28"/>
      <c r="R19" s="6"/>
      <c r="S19" s="6"/>
      <c r="T19" s="28"/>
    </row>
    <row r="20" spans="1:26" ht="16.5" thickTop="1" thickBot="1" x14ac:dyDescent="0.3">
      <c r="A20" s="26"/>
      <c r="B20">
        <v>18</v>
      </c>
      <c r="C20">
        <v>16</v>
      </c>
      <c r="D20">
        <v>14400</v>
      </c>
      <c r="F20" s="6"/>
      <c r="G20" s="6"/>
      <c r="H20" s="28"/>
      <c r="J20" s="6"/>
      <c r="K20" s="6"/>
      <c r="L20" s="28"/>
      <c r="N20" s="6"/>
      <c r="O20" s="6"/>
      <c r="P20" s="28"/>
      <c r="R20" s="6"/>
      <c r="S20" s="6"/>
      <c r="T20" s="28"/>
    </row>
    <row r="21" spans="1:26" ht="16.5" thickTop="1" thickBot="1" x14ac:dyDescent="0.3">
      <c r="A21" s="26"/>
      <c r="B21">
        <v>20</v>
      </c>
      <c r="C21">
        <v>18</v>
      </c>
      <c r="D21">
        <v>5600</v>
      </c>
      <c r="F21" s="6"/>
      <c r="G21" s="6"/>
      <c r="H21" s="28"/>
      <c r="J21" s="6"/>
      <c r="K21" s="6"/>
      <c r="L21" s="28"/>
      <c r="N21" s="6"/>
      <c r="O21" s="6"/>
      <c r="P21" s="28"/>
      <c r="R21" s="6"/>
      <c r="S21" s="6"/>
      <c r="T21" s="28"/>
    </row>
    <row r="22" spans="1:26" ht="16.5" thickTop="1" thickBot="1" x14ac:dyDescent="0.3">
      <c r="F22" s="6"/>
      <c r="G22" s="6"/>
      <c r="H22" s="28"/>
      <c r="J22" s="6"/>
      <c r="K22" s="6"/>
      <c r="L22" s="28"/>
      <c r="N22" s="6"/>
      <c r="O22" s="6"/>
      <c r="P22" s="28"/>
      <c r="R22" s="6"/>
      <c r="S22" s="6"/>
      <c r="T22" s="28"/>
    </row>
    <row r="23" spans="1:26" ht="15.75" thickTop="1" x14ac:dyDescent="0.25">
      <c r="A23" t="s">
        <v>82</v>
      </c>
    </row>
    <row r="25" spans="1:26" x14ac:dyDescent="0.25">
      <c r="B25" s="29" t="s">
        <v>60</v>
      </c>
      <c r="C25" s="29"/>
      <c r="D25" s="29"/>
      <c r="F25" t="s">
        <v>83</v>
      </c>
    </row>
    <row r="26" spans="1:26" x14ac:dyDescent="0.25">
      <c r="B26" t="s">
        <v>1</v>
      </c>
      <c r="C26" t="s">
        <v>2</v>
      </c>
      <c r="D26" t="s">
        <v>3</v>
      </c>
      <c r="M26">
        <v>13</v>
      </c>
      <c r="N26">
        <v>14</v>
      </c>
      <c r="O26">
        <v>16</v>
      </c>
      <c r="P26">
        <v>18</v>
      </c>
      <c r="Q26">
        <v>20</v>
      </c>
      <c r="S26" t="s">
        <v>7</v>
      </c>
    </row>
    <row r="27" spans="1:26" x14ac:dyDescent="0.25">
      <c r="B27">
        <v>13</v>
      </c>
      <c r="C27">
        <v>16</v>
      </c>
      <c r="D27">
        <f>D11</f>
        <v>3600</v>
      </c>
      <c r="F27">
        <f>SUM(G27:L27)</f>
        <v>72</v>
      </c>
      <c r="G27">
        <v>13</v>
      </c>
      <c r="H27">
        <v>13</v>
      </c>
      <c r="I27">
        <v>14</v>
      </c>
      <c r="J27">
        <v>16</v>
      </c>
      <c r="K27">
        <v>16</v>
      </c>
      <c r="M27">
        <v>2</v>
      </c>
      <c r="N27">
        <v>1</v>
      </c>
      <c r="O27">
        <v>2</v>
      </c>
      <c r="S27">
        <v>225</v>
      </c>
      <c r="U27" t="s">
        <v>88</v>
      </c>
      <c r="V27">
        <f>$S$27*M27</f>
        <v>450</v>
      </c>
      <c r="W27">
        <f>$S$27*N27</f>
        <v>225</v>
      </c>
      <c r="X27">
        <f>$S$27*O27</f>
        <v>450</v>
      </c>
      <c r="Y27">
        <f>$S$27*P27</f>
        <v>0</v>
      </c>
      <c r="Z27">
        <f>$S$27*Q27</f>
        <v>0</v>
      </c>
    </row>
    <row r="28" spans="1:26" x14ac:dyDescent="0.25">
      <c r="B28">
        <v>14</v>
      </c>
      <c r="C28">
        <v>16</v>
      </c>
      <c r="D28">
        <f>D12+D18</f>
        <v>32000</v>
      </c>
      <c r="F28">
        <f>SUM(G28:L28)</f>
        <v>72</v>
      </c>
      <c r="G28">
        <v>14</v>
      </c>
      <c r="H28">
        <v>14</v>
      </c>
      <c r="I28">
        <v>14</v>
      </c>
      <c r="J28">
        <v>14</v>
      </c>
      <c r="K28">
        <v>16</v>
      </c>
      <c r="N28">
        <v>4</v>
      </c>
      <c r="O28">
        <v>1</v>
      </c>
      <c r="S28">
        <v>375</v>
      </c>
      <c r="U28" t="s">
        <v>88</v>
      </c>
      <c r="V28">
        <f>$S$28*M28</f>
        <v>0</v>
      </c>
      <c r="W28">
        <f>$S$28*N28</f>
        <v>1500</v>
      </c>
      <c r="X28">
        <f>$S$28*O28</f>
        <v>375</v>
      </c>
      <c r="Y28">
        <f>$S$28*P28</f>
        <v>0</v>
      </c>
      <c r="Z28">
        <f>$S$28*Q28</f>
        <v>0</v>
      </c>
    </row>
    <row r="29" spans="1:26" x14ac:dyDescent="0.25">
      <c r="B29">
        <v>16</v>
      </c>
      <c r="C29">
        <v>16</v>
      </c>
      <c r="D29">
        <f>D13+D19</f>
        <v>51600</v>
      </c>
      <c r="F29">
        <f>SUM(G29:L29)</f>
        <v>62</v>
      </c>
      <c r="G29">
        <v>16</v>
      </c>
      <c r="H29">
        <v>16</v>
      </c>
      <c r="I29">
        <v>16</v>
      </c>
      <c r="J29">
        <v>14</v>
      </c>
      <c r="N29">
        <v>1</v>
      </c>
      <c r="O29">
        <v>3</v>
      </c>
      <c r="S29">
        <v>1875</v>
      </c>
      <c r="U29" t="s">
        <v>89</v>
      </c>
      <c r="V29">
        <f>$S$29*M29</f>
        <v>0</v>
      </c>
      <c r="W29">
        <f>$S$29*N29</f>
        <v>1875</v>
      </c>
      <c r="X29">
        <f>$S$29*O29</f>
        <v>5625</v>
      </c>
      <c r="Y29">
        <f>$S$29*P29</f>
        <v>0</v>
      </c>
      <c r="Z29">
        <f>$S$29*Q29</f>
        <v>0</v>
      </c>
    </row>
    <row r="30" spans="1:26" x14ac:dyDescent="0.25">
      <c r="B30">
        <v>18</v>
      </c>
      <c r="C30">
        <v>16</v>
      </c>
      <c r="D30">
        <f>D14+D20</f>
        <v>16800</v>
      </c>
      <c r="F30">
        <f>SUM(G30:L30)</f>
        <v>72</v>
      </c>
      <c r="G30">
        <v>18</v>
      </c>
      <c r="H30">
        <v>18</v>
      </c>
      <c r="I30">
        <v>18</v>
      </c>
      <c r="J30">
        <v>18</v>
      </c>
      <c r="P30">
        <v>4</v>
      </c>
      <c r="S30">
        <v>425</v>
      </c>
      <c r="U30" t="s">
        <v>88</v>
      </c>
      <c r="V30">
        <f>$S$30*M30</f>
        <v>0</v>
      </c>
      <c r="W30">
        <f>$S$30*N30</f>
        <v>0</v>
      </c>
      <c r="X30">
        <f>$S$30*O30</f>
        <v>0</v>
      </c>
      <c r="Y30">
        <f>$S$30*P30</f>
        <v>1700</v>
      </c>
      <c r="Z30">
        <f>$S$30*Q30</f>
        <v>0</v>
      </c>
    </row>
    <row r="31" spans="1:26" x14ac:dyDescent="0.25">
      <c r="B31">
        <v>20</v>
      </c>
      <c r="C31">
        <v>18</v>
      </c>
      <c r="D31">
        <f>D21</f>
        <v>5600</v>
      </c>
      <c r="F31">
        <f>SUM(G31:L31)</f>
        <v>72</v>
      </c>
      <c r="G31">
        <v>20</v>
      </c>
      <c r="H31">
        <v>20</v>
      </c>
      <c r="I31">
        <v>14</v>
      </c>
      <c r="J31">
        <v>18</v>
      </c>
      <c r="N31">
        <v>1</v>
      </c>
      <c r="P31">
        <v>1</v>
      </c>
      <c r="Q31">
        <v>2</v>
      </c>
      <c r="S31">
        <v>400</v>
      </c>
      <c r="U31" t="s">
        <v>88</v>
      </c>
      <c r="V31">
        <f>$S$31*M31</f>
        <v>0</v>
      </c>
      <c r="W31">
        <f>$S$31*N31</f>
        <v>400</v>
      </c>
      <c r="X31">
        <f>$S$31*O31</f>
        <v>0</v>
      </c>
      <c r="Y31">
        <f>$S$31*P31</f>
        <v>400</v>
      </c>
      <c r="Z31">
        <f>$S$31*Q31</f>
        <v>800</v>
      </c>
    </row>
    <row r="32" spans="1:26" x14ac:dyDescent="0.25">
      <c r="D32" t="s">
        <v>85</v>
      </c>
      <c r="F32">
        <v>20</v>
      </c>
      <c r="G32">
        <v>120</v>
      </c>
      <c r="H32">
        <v>262</v>
      </c>
      <c r="I32">
        <v>6</v>
      </c>
      <c r="J32">
        <f>H32*I32</f>
        <v>1572</v>
      </c>
      <c r="K32" t="s">
        <v>0</v>
      </c>
    </row>
    <row r="33" spans="2:26" x14ac:dyDescent="0.25">
      <c r="V33">
        <v>13</v>
      </c>
      <c r="W33">
        <v>14</v>
      </c>
      <c r="X33">
        <v>16</v>
      </c>
      <c r="Y33">
        <v>18</v>
      </c>
      <c r="Z33">
        <v>20</v>
      </c>
    </row>
    <row r="34" spans="2:26" x14ac:dyDescent="0.25">
      <c r="B34" t="s">
        <v>84</v>
      </c>
      <c r="H34" t="s">
        <v>87</v>
      </c>
      <c r="K34" t="s">
        <v>70</v>
      </c>
      <c r="U34" t="s">
        <v>11</v>
      </c>
      <c r="V34">
        <f>D27/F38</f>
        <v>450</v>
      </c>
      <c r="W34">
        <f>D28/F39</f>
        <v>4000</v>
      </c>
      <c r="X34">
        <f>D29/F38</f>
        <v>6450</v>
      </c>
      <c r="Y34">
        <f>D30/F38</f>
        <v>2100</v>
      </c>
      <c r="Z34">
        <f>D31/H37</f>
        <v>800</v>
      </c>
    </row>
    <row r="35" spans="2:26" x14ac:dyDescent="0.25">
      <c r="B35" t="s">
        <v>1</v>
      </c>
      <c r="C35" t="s">
        <v>2</v>
      </c>
      <c r="D35" t="s">
        <v>15</v>
      </c>
      <c r="F35" t="s">
        <v>86</v>
      </c>
      <c r="J35" t="s">
        <v>90</v>
      </c>
      <c r="V35">
        <f>SUM(V27:V31)</f>
        <v>450</v>
      </c>
      <c r="W35">
        <f>SUM(W27:W31)</f>
        <v>4000</v>
      </c>
      <c r="X35">
        <f>SUM(X27:X31)</f>
        <v>6450</v>
      </c>
      <c r="Y35">
        <f>SUM(Y27:Y31)</f>
        <v>2100</v>
      </c>
      <c r="Z35">
        <f>SUM(Z27:Z31)</f>
        <v>800</v>
      </c>
    </row>
    <row r="36" spans="2:26" x14ac:dyDescent="0.25">
      <c r="B36">
        <v>72</v>
      </c>
      <c r="C36">
        <v>126</v>
      </c>
      <c r="D36">
        <v>0.63</v>
      </c>
      <c r="F36">
        <f>C36/16</f>
        <v>7.875</v>
      </c>
      <c r="H36">
        <f>C36/18</f>
        <v>7</v>
      </c>
    </row>
    <row r="37" spans="2:26" x14ac:dyDescent="0.25">
      <c r="B37">
        <v>62</v>
      </c>
      <c r="C37">
        <v>126</v>
      </c>
      <c r="D37">
        <v>0.56999999999999995</v>
      </c>
      <c r="F37">
        <f>C37/16</f>
        <v>7.875</v>
      </c>
      <c r="H37">
        <f>C37/18</f>
        <v>7</v>
      </c>
    </row>
    <row r="38" spans="2:26" x14ac:dyDescent="0.25">
      <c r="B38">
        <v>72</v>
      </c>
      <c r="C38">
        <v>128</v>
      </c>
      <c r="D38">
        <v>0.64</v>
      </c>
      <c r="F38">
        <f>C38/16</f>
        <v>8</v>
      </c>
      <c r="H38">
        <f>C38/18</f>
        <v>7.1111111111111107</v>
      </c>
      <c r="J38">
        <f>S27+S28+S30+S31</f>
        <v>1425</v>
      </c>
      <c r="K38">
        <f>J38*D38</f>
        <v>912</v>
      </c>
    </row>
    <row r="39" spans="2:26" x14ac:dyDescent="0.25">
      <c r="B39">
        <v>62</v>
      </c>
      <c r="C39">
        <v>128</v>
      </c>
      <c r="D39">
        <v>0.57999999999999996</v>
      </c>
      <c r="F39">
        <f>C39/16</f>
        <v>8</v>
      </c>
      <c r="H39">
        <f>C39/18</f>
        <v>7.1111111111111107</v>
      </c>
      <c r="J39">
        <f>S29</f>
        <v>1875</v>
      </c>
      <c r="K39">
        <f>J39*D39</f>
        <v>1087.5</v>
      </c>
    </row>
    <row r="41" spans="2:26" x14ac:dyDescent="0.25">
      <c r="K41">
        <f>SUM(K38:K40)</f>
        <v>1999.5</v>
      </c>
    </row>
    <row r="43" spans="2:26" x14ac:dyDescent="0.25">
      <c r="B43" t="s">
        <v>60</v>
      </c>
      <c r="H43" t="s">
        <v>21</v>
      </c>
      <c r="J43" t="s">
        <v>127</v>
      </c>
      <c r="L43" s="2" t="s">
        <v>129</v>
      </c>
    </row>
    <row r="44" spans="2:26" x14ac:dyDescent="0.25">
      <c r="B44" t="s">
        <v>1</v>
      </c>
      <c r="C44" t="s">
        <v>2</v>
      </c>
      <c r="D44" t="s">
        <v>3</v>
      </c>
      <c r="E44" t="s">
        <v>16</v>
      </c>
      <c r="F44" t="s">
        <v>17</v>
      </c>
      <c r="G44" t="s">
        <v>70</v>
      </c>
      <c r="I44" t="s">
        <v>126</v>
      </c>
      <c r="K44" s="2" t="s">
        <v>128</v>
      </c>
    </row>
    <row r="45" spans="2:26" x14ac:dyDescent="0.25">
      <c r="B45">
        <v>13</v>
      </c>
      <c r="C45">
        <v>16</v>
      </c>
      <c r="D45">
        <v>3600</v>
      </c>
      <c r="E45">
        <f>B45*C45*D45</f>
        <v>748800</v>
      </c>
      <c r="F45">
        <f>E45/$E$50</f>
        <v>2.6761207685269899E-2</v>
      </c>
      <c r="G45">
        <f>$K$41*F45</f>
        <v>53.509034766697162</v>
      </c>
      <c r="H45">
        <f>G45/D45*1000</f>
        <v>14.863620768526989</v>
      </c>
      <c r="I45">
        <f>H45+3</f>
        <v>17.863620768526989</v>
      </c>
      <c r="J45">
        <f>I45+8</f>
        <v>25.863620768526989</v>
      </c>
      <c r="K45" s="2">
        <v>21.33</v>
      </c>
      <c r="L45" s="2">
        <v>23.7</v>
      </c>
    </row>
    <row r="46" spans="2:26" x14ac:dyDescent="0.25">
      <c r="B46">
        <v>14</v>
      </c>
      <c r="C46">
        <v>16</v>
      </c>
      <c r="D46">
        <v>32000</v>
      </c>
      <c r="E46">
        <f>B46*C46*D46</f>
        <v>7168000</v>
      </c>
      <c r="F46">
        <f>E46/$E$50</f>
        <v>0.25617566331198538</v>
      </c>
      <c r="G46">
        <f>$K$41*F46</f>
        <v>512.22323879231476</v>
      </c>
      <c r="H46">
        <f>G46/D46*1000</f>
        <v>16.006976212259836</v>
      </c>
      <c r="I46">
        <f>H46+3</f>
        <v>19.006976212259836</v>
      </c>
      <c r="J46">
        <f>I46+8</f>
        <v>27.006976212259836</v>
      </c>
      <c r="K46" s="2">
        <v>25.6</v>
      </c>
      <c r="L46" s="2">
        <v>25.6</v>
      </c>
    </row>
    <row r="47" spans="2:26" x14ac:dyDescent="0.25">
      <c r="B47">
        <v>16</v>
      </c>
      <c r="C47">
        <v>16</v>
      </c>
      <c r="D47">
        <v>51600</v>
      </c>
      <c r="E47">
        <f>B47*C47*D47</f>
        <v>13209600</v>
      </c>
      <c r="F47">
        <f>E47/$E$50</f>
        <v>0.47209515096065874</v>
      </c>
      <c r="G47">
        <f>$K$41*F47</f>
        <v>943.95425434583717</v>
      </c>
      <c r="H47">
        <f>G47/D47*1000</f>
        <v>18.293687099725528</v>
      </c>
      <c r="I47">
        <f>H47+3</f>
        <v>21.293687099725528</v>
      </c>
      <c r="J47">
        <f>I47+8</f>
        <v>29.293687099725528</v>
      </c>
      <c r="K47" s="2">
        <v>29.2</v>
      </c>
      <c r="L47" s="2">
        <v>29.2</v>
      </c>
    </row>
    <row r="48" spans="2:26" x14ac:dyDescent="0.25">
      <c r="B48">
        <v>18</v>
      </c>
      <c r="C48">
        <v>16</v>
      </c>
      <c r="D48">
        <v>16800</v>
      </c>
      <c r="E48">
        <f>B48*C48*D48</f>
        <v>4838400</v>
      </c>
      <c r="F48">
        <f>E48/$E$50</f>
        <v>0.17291857273559011</v>
      </c>
      <c r="G48">
        <f>$K$41*F48</f>
        <v>345.75068618481242</v>
      </c>
      <c r="H48">
        <f>G48/D48*1000</f>
        <v>20.580397987191215</v>
      </c>
      <c r="I48">
        <f>H48+3</f>
        <v>23.580397987191215</v>
      </c>
      <c r="J48">
        <f>I48+8</f>
        <v>31.580397987191215</v>
      </c>
      <c r="K48" s="2">
        <v>39.9</v>
      </c>
    </row>
    <row r="49" spans="2:11" x14ac:dyDescent="0.25">
      <c r="B49">
        <v>20</v>
      </c>
      <c r="C49">
        <v>18</v>
      </c>
      <c r="D49">
        <v>5600</v>
      </c>
      <c r="E49">
        <f>B49*C49*D49</f>
        <v>2016000</v>
      </c>
      <c r="F49">
        <f>E49/$E$50</f>
        <v>7.2049405306495881E-2</v>
      </c>
      <c r="G49">
        <f>$K$41*F49</f>
        <v>144.0627859103385</v>
      </c>
      <c r="H49">
        <f>G49/D49*1000</f>
        <v>25.72549748398902</v>
      </c>
      <c r="I49">
        <f>H49+3</f>
        <v>28.72549748398902</v>
      </c>
      <c r="J49">
        <f>I49+8</f>
        <v>36.725497483989017</v>
      </c>
      <c r="K49" s="2">
        <v>41.1</v>
      </c>
    </row>
    <row r="50" spans="2:11" x14ac:dyDescent="0.25">
      <c r="E50">
        <f>SUM(E45:E49)</f>
        <v>27980800</v>
      </c>
      <c r="F50">
        <f>SUM(F45:F49)</f>
        <v>1</v>
      </c>
      <c r="G50">
        <f>SUM(G45:G49)</f>
        <v>1999.5</v>
      </c>
    </row>
    <row r="53" spans="2:11" x14ac:dyDescent="0.25">
      <c r="B53" t="s">
        <v>1</v>
      </c>
      <c r="C53" t="s">
        <v>2</v>
      </c>
      <c r="D53" t="s">
        <v>3</v>
      </c>
      <c r="E53" t="s">
        <v>6</v>
      </c>
      <c r="F53" t="s">
        <v>122</v>
      </c>
    </row>
    <row r="54" spans="2:11" x14ac:dyDescent="0.25">
      <c r="B54">
        <v>13</v>
      </c>
      <c r="C54">
        <v>16</v>
      </c>
      <c r="D54">
        <v>3600</v>
      </c>
      <c r="E54">
        <v>17.863620768526989</v>
      </c>
      <c r="F54">
        <f>E54+8</f>
        <v>25.863620768526989</v>
      </c>
    </row>
    <row r="55" spans="2:11" x14ac:dyDescent="0.25">
      <c r="B55">
        <v>14</v>
      </c>
      <c r="C55">
        <v>16</v>
      </c>
      <c r="D55">
        <v>32000</v>
      </c>
      <c r="E55">
        <v>19.006976212259836</v>
      </c>
      <c r="F55">
        <f>E55+8</f>
        <v>27.006976212259836</v>
      </c>
    </row>
    <row r="56" spans="2:11" x14ac:dyDescent="0.25">
      <c r="B56">
        <v>16</v>
      </c>
      <c r="C56">
        <v>16</v>
      </c>
      <c r="D56">
        <v>51600</v>
      </c>
      <c r="E56">
        <v>21.293687099725528</v>
      </c>
      <c r="F56">
        <f>E56+8</f>
        <v>29.293687099725528</v>
      </c>
    </row>
    <row r="57" spans="2:11" x14ac:dyDescent="0.25">
      <c r="B57">
        <v>18</v>
      </c>
      <c r="C57">
        <v>16</v>
      </c>
      <c r="D57">
        <v>16800</v>
      </c>
      <c r="E57">
        <v>23.580397987191215</v>
      </c>
      <c r="F57">
        <f>E57+8</f>
        <v>31.580397987191215</v>
      </c>
    </row>
    <row r="58" spans="2:11" x14ac:dyDescent="0.25">
      <c r="B58">
        <v>20</v>
      </c>
      <c r="C58">
        <v>18</v>
      </c>
      <c r="D58">
        <v>5600</v>
      </c>
      <c r="E58">
        <v>28.72549748398902</v>
      </c>
      <c r="F58">
        <f>E58+8</f>
        <v>36.725497483989017</v>
      </c>
    </row>
  </sheetData>
  <mergeCells count="20">
    <mergeCell ref="B25:D25"/>
    <mergeCell ref="L10:L14"/>
    <mergeCell ref="N9:O9"/>
    <mergeCell ref="L18:L22"/>
    <mergeCell ref="P18:P22"/>
    <mergeCell ref="B9:D9"/>
    <mergeCell ref="F9:G9"/>
    <mergeCell ref="J9:K9"/>
    <mergeCell ref="T18:T22"/>
    <mergeCell ref="R9:S9"/>
    <mergeCell ref="T10:T14"/>
    <mergeCell ref="N17:O17"/>
    <mergeCell ref="R17:S17"/>
    <mergeCell ref="P10:P14"/>
    <mergeCell ref="A11:A14"/>
    <mergeCell ref="A18:A21"/>
    <mergeCell ref="F17:G17"/>
    <mergeCell ref="J17:K17"/>
    <mergeCell ref="H18:H22"/>
    <mergeCell ref="H10:H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20"/>
  <sheetViews>
    <sheetView workbookViewId="0">
      <selection activeCell="M5" sqref="M5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25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55.579121225983535</v>
      </c>
      <c r="K3">
        <f>J3/D3</f>
        <v>1.5438644784995426E-2</v>
      </c>
      <c r="L3">
        <f>K3+0.003</f>
        <v>1.8438644784995427E-2</v>
      </c>
      <c r="M3">
        <f>L3+0.008</f>
        <v>2.6438644784995427E-2</v>
      </c>
      <c r="N3" s="2">
        <v>21.33</v>
      </c>
      <c r="O3" s="2">
        <v>23.7</v>
      </c>
    </row>
    <row r="4" spans="2:25" x14ac:dyDescent="0.25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532.03945105215018</v>
      </c>
      <c r="K4">
        <f>J4/D4</f>
        <v>1.6626232845379695E-2</v>
      </c>
      <c r="L4">
        <f>K4+0.003</f>
        <v>1.9626232845379694E-2</v>
      </c>
      <c r="M4">
        <f>L4+0.008</f>
        <v>2.7626232845379694E-2</v>
      </c>
      <c r="N4" s="2">
        <v>25.6</v>
      </c>
      <c r="O4" s="2">
        <v>25.6</v>
      </c>
    </row>
    <row r="5" spans="2:25" x14ac:dyDescent="0.25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980.47270265324812</v>
      </c>
      <c r="K5">
        <f>J5/D5</f>
        <v>1.9001408966148218E-2</v>
      </c>
      <c r="L5">
        <f>K5+0.003</f>
        <v>2.2001408966148217E-2</v>
      </c>
      <c r="M5">
        <f>L5+0.008</f>
        <v>3.0001408966148217E-2</v>
      </c>
      <c r="N5" s="2">
        <v>29.2</v>
      </c>
      <c r="O5" s="2">
        <v>29.2</v>
      </c>
    </row>
    <row r="6" spans="2:25" x14ac:dyDescent="0.25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359.12662946020129</v>
      </c>
      <c r="K6">
        <f>J6/D6</f>
        <v>2.1376585086916745E-2</v>
      </c>
      <c r="L6">
        <f>K6+0.003</f>
        <v>2.4376585086916744E-2</v>
      </c>
      <c r="M6">
        <f>L6+0.008</f>
        <v>3.2376585086916744E-2</v>
      </c>
      <c r="N6" s="2">
        <v>39.9</v>
      </c>
    </row>
    <row r="7" spans="2:25" x14ac:dyDescent="0.25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149.63609560841721</v>
      </c>
      <c r="K7">
        <f>J7/D7</f>
        <v>2.672073135864593E-2</v>
      </c>
      <c r="L7">
        <f>K7+0.003</f>
        <v>2.9720731358645929E-2</v>
      </c>
      <c r="M7">
        <f>L7+0.008</f>
        <v>3.7720731358645926E-2</v>
      </c>
      <c r="N7" s="2">
        <v>41.1</v>
      </c>
    </row>
    <row r="8" spans="2:25" x14ac:dyDescent="0.25">
      <c r="H8">
        <f>SUM(H3:H7)</f>
        <v>27980800</v>
      </c>
      <c r="I8">
        <f>SUM(I3:I7)</f>
        <v>1</v>
      </c>
      <c r="J8">
        <f>SUM(J3:J7)</f>
        <v>2076.8540000000003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1963</v>
      </c>
      <c r="F11">
        <f>E11*D11</f>
        <v>2076.8540000000003</v>
      </c>
    </row>
    <row r="12" spans="2:25" x14ac:dyDescent="0.25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25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25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25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25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25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25">
      <c r="S20">
        <f>SUM(S15:S19)</f>
        <v>1963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Y20"/>
  <sheetViews>
    <sheetView workbookViewId="0">
      <selection activeCell="M9" sqref="M9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25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60.832346294602011</v>
      </c>
      <c r="K3">
        <f>J3/D3</f>
        <v>1.6897873970722781E-2</v>
      </c>
      <c r="L3">
        <f>K3+0.003</f>
        <v>1.989787397072278E-2</v>
      </c>
      <c r="M3">
        <f>L3+0.008</f>
        <v>2.789787397072278E-2</v>
      </c>
      <c r="N3" s="2">
        <v>21.33</v>
      </c>
      <c r="O3" s="2">
        <v>23.7</v>
      </c>
    </row>
    <row r="4" spans="2:25" x14ac:dyDescent="0.25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582.32673376029277</v>
      </c>
      <c r="K4">
        <f>J4/D4</f>
        <v>1.8197710430009149E-2</v>
      </c>
      <c r="L4">
        <f>K4+0.003</f>
        <v>2.1197710430009148E-2</v>
      </c>
      <c r="M4">
        <f>L4+0.008</f>
        <v>2.9197710430009148E-2</v>
      </c>
      <c r="N4" s="2">
        <v>25.6</v>
      </c>
      <c r="O4" s="2">
        <v>25.6</v>
      </c>
    </row>
    <row r="5" spans="2:25" x14ac:dyDescent="0.25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1073.1449807868253</v>
      </c>
      <c r="K5">
        <f>J5/D5</f>
        <v>2.0797383348581885E-2</v>
      </c>
      <c r="L5">
        <f>K5+0.003</f>
        <v>2.3797383348581884E-2</v>
      </c>
      <c r="M5">
        <f>L5+0.008</f>
        <v>3.1797383348581884E-2</v>
      </c>
      <c r="N5" s="2">
        <v>29.2</v>
      </c>
      <c r="O5" s="2">
        <v>29.2</v>
      </c>
    </row>
    <row r="6" spans="2:25" x14ac:dyDescent="0.25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393.07054528819759</v>
      </c>
      <c r="K6">
        <f>J6/D6</f>
        <v>2.3397056267154617E-2</v>
      </c>
      <c r="L6">
        <f>K6+0.003</f>
        <v>2.6397056267154616E-2</v>
      </c>
      <c r="M6">
        <f>L6+0.008</f>
        <v>3.4397056267154613E-2</v>
      </c>
      <c r="N6" s="2">
        <v>39.9</v>
      </c>
    </row>
    <row r="7" spans="2:25" x14ac:dyDescent="0.25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163.77939387008234</v>
      </c>
      <c r="K7">
        <f>J7/D7</f>
        <v>2.9246320333943275E-2</v>
      </c>
      <c r="L7">
        <f>K7+0.003</f>
        <v>3.2246320333943278E-2</v>
      </c>
      <c r="M7">
        <f>L7+0.008</f>
        <v>4.0246320333943278E-2</v>
      </c>
      <c r="N7" s="2">
        <v>41.1</v>
      </c>
    </row>
    <row r="8" spans="2:25" x14ac:dyDescent="0.25">
      <c r="H8">
        <f>SUM(H3:H7)</f>
        <v>27980800</v>
      </c>
      <c r="I8">
        <f>SUM(I3:I7)</f>
        <v>1</v>
      </c>
      <c r="J8">
        <f>SUM(J3:J7)</f>
        <v>2273.154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1.1579999999999999</v>
      </c>
      <c r="E11">
        <f>S20</f>
        <v>1963</v>
      </c>
      <c r="F11">
        <f>E11*D11</f>
        <v>2273.154</v>
      </c>
    </row>
    <row r="12" spans="2:25" x14ac:dyDescent="0.25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25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25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25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25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25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25">
      <c r="S20">
        <f>SUM(S15:S19)</f>
        <v>1963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Z20"/>
  <sheetViews>
    <sheetView topLeftCell="C1" workbookViewId="0">
      <selection activeCell="J11" sqref="J11:L21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6" x14ac:dyDescent="0.25">
      <c r="B1" t="s">
        <v>108</v>
      </c>
      <c r="E1" t="s">
        <v>24</v>
      </c>
      <c r="H1" t="s">
        <v>16</v>
      </c>
      <c r="L1" t="s">
        <v>124</v>
      </c>
      <c r="N1" s="2" t="s">
        <v>133</v>
      </c>
      <c r="O1" s="2"/>
      <c r="P1" t="s">
        <v>30</v>
      </c>
    </row>
    <row r="2" spans="2:26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16" t="s">
        <v>134</v>
      </c>
      <c r="Q2" t="s">
        <v>135</v>
      </c>
    </row>
    <row r="3" spans="2:26" x14ac:dyDescent="0.25">
      <c r="B3">
        <v>13</v>
      </c>
      <c r="C3">
        <v>16</v>
      </c>
      <c r="D3">
        <v>4000</v>
      </c>
      <c r="E3">
        <f>$C$11/C3</f>
        <v>7.375</v>
      </c>
      <c r="F3">
        <v>7</v>
      </c>
      <c r="G3">
        <f>D3/F3</f>
        <v>571.42857142857144</v>
      </c>
      <c r="H3">
        <f>B3*C3*D3</f>
        <v>832000</v>
      </c>
      <c r="I3">
        <f>H3/$H$8</f>
        <v>8.9347079037800689E-2</v>
      </c>
      <c r="J3">
        <f>$F$11*I3</f>
        <v>46.424742268041243</v>
      </c>
      <c r="K3">
        <f>J3/D3</f>
        <v>1.160618556701031E-2</v>
      </c>
      <c r="L3">
        <f>K3+0.003</f>
        <v>1.4606185567010311E-2</v>
      </c>
      <c r="M3">
        <f>L3+0.008</f>
        <v>2.2606185567010311E-2</v>
      </c>
      <c r="N3" s="2">
        <v>2.1329999999999998E-2</v>
      </c>
      <c r="O3">
        <f>N3*D3</f>
        <v>85.32</v>
      </c>
    </row>
    <row r="4" spans="2:26" x14ac:dyDescent="0.25">
      <c r="B4">
        <v>14</v>
      </c>
      <c r="C4">
        <v>16</v>
      </c>
      <c r="D4">
        <v>17000</v>
      </c>
      <c r="E4">
        <f>$C$11/C4</f>
        <v>7.375</v>
      </c>
      <c r="F4">
        <v>7</v>
      </c>
      <c r="G4">
        <f>D4/F4</f>
        <v>2428.5714285714284</v>
      </c>
      <c r="H4">
        <f>B4*C4*D4</f>
        <v>3808000</v>
      </c>
      <c r="I4">
        <f>H4/$H$8</f>
        <v>0.40893470790378006</v>
      </c>
      <c r="J4">
        <f>$F$11*I4</f>
        <v>212.48247422680413</v>
      </c>
      <c r="K4">
        <f>J4/D4</f>
        <v>1.2498969072164948E-2</v>
      </c>
      <c r="L4">
        <f>K4+0.003</f>
        <v>1.5498969072164949E-2</v>
      </c>
      <c r="M4">
        <f>L4+0.008</f>
        <v>2.3498969072164949E-2</v>
      </c>
      <c r="N4" s="2">
        <v>2.3519999999999999E-2</v>
      </c>
      <c r="O4">
        <f>N4*D4</f>
        <v>399.84</v>
      </c>
    </row>
    <row r="5" spans="2:26" x14ac:dyDescent="0.25">
      <c r="B5">
        <v>16</v>
      </c>
      <c r="C5">
        <v>16</v>
      </c>
      <c r="D5">
        <v>16000</v>
      </c>
      <c r="E5">
        <f>$C$11/C5</f>
        <v>7.375</v>
      </c>
      <c r="F5">
        <v>7</v>
      </c>
      <c r="G5">
        <f>D5/F5</f>
        <v>2285.7142857142858</v>
      </c>
      <c r="H5">
        <f>B5*C5*D5</f>
        <v>4096000</v>
      </c>
      <c r="I5">
        <f>H5/$H$8</f>
        <v>0.43986254295532645</v>
      </c>
      <c r="J5">
        <f>$F$11*I5</f>
        <v>228.55257731958764</v>
      </c>
      <c r="K5">
        <f>J5/D5</f>
        <v>1.4284536082474228E-2</v>
      </c>
      <c r="L5">
        <f>K5+0.003</f>
        <v>1.7284536082474228E-2</v>
      </c>
      <c r="M5">
        <f>L5+0.008</f>
        <v>2.5284536082474229E-2</v>
      </c>
      <c r="N5" s="2">
        <v>2.5309999999999999E-2</v>
      </c>
      <c r="O5">
        <f>N5*D5</f>
        <v>404.96</v>
      </c>
    </row>
    <row r="6" spans="2:26" x14ac:dyDescent="0.25">
      <c r="B6">
        <v>18</v>
      </c>
      <c r="C6">
        <v>16</v>
      </c>
      <c r="D6">
        <v>2000</v>
      </c>
      <c r="E6">
        <f>$C$11/C6</f>
        <v>7.375</v>
      </c>
      <c r="F6">
        <v>7</v>
      </c>
      <c r="G6">
        <f>D6/F6</f>
        <v>285.71428571428572</v>
      </c>
      <c r="H6">
        <f>B6*C6*D6</f>
        <v>576000</v>
      </c>
      <c r="I6">
        <f>H6/$H$8</f>
        <v>6.1855670103092786E-2</v>
      </c>
      <c r="J6">
        <f>$F$11*I6</f>
        <v>32.14020618556701</v>
      </c>
      <c r="K6">
        <f>J6/D6</f>
        <v>1.6070103092783505E-2</v>
      </c>
      <c r="L6">
        <f>K6+0.003</f>
        <v>1.9070103092783505E-2</v>
      </c>
      <c r="M6">
        <f>L6+0.008</f>
        <v>2.7070103092783505E-2</v>
      </c>
      <c r="N6" s="2">
        <v>2.7099999999999999E-2</v>
      </c>
      <c r="O6">
        <f>N6*D6</f>
        <v>54.199999999999996</v>
      </c>
    </row>
    <row r="7" spans="2:26" x14ac:dyDescent="0.25">
      <c r="B7">
        <v>20</v>
      </c>
      <c r="C7">
        <v>18</v>
      </c>
      <c r="E7">
        <f>$C$11/C7</f>
        <v>6.5555555555555554</v>
      </c>
      <c r="F7">
        <v>6</v>
      </c>
      <c r="G7">
        <f>D7/F7</f>
        <v>0</v>
      </c>
      <c r="H7">
        <f>B7*C7*D7</f>
        <v>0</v>
      </c>
      <c r="I7">
        <f>H7/$H$8</f>
        <v>0</v>
      </c>
      <c r="J7">
        <f>$F$11*I7</f>
        <v>0</v>
      </c>
      <c r="K7" t="e">
        <f>J7/D7</f>
        <v>#DIV/0!</v>
      </c>
      <c r="L7" t="e">
        <f>K7+0.003</f>
        <v>#DIV/0!</v>
      </c>
      <c r="M7" t="e">
        <f>L7+0.008</f>
        <v>#DIV/0!</v>
      </c>
      <c r="N7" s="2">
        <v>0</v>
      </c>
      <c r="O7">
        <f>N7*D7</f>
        <v>0</v>
      </c>
    </row>
    <row r="8" spans="2:26" s="2" customFormat="1" x14ac:dyDescent="0.25">
      <c r="D8" s="2">
        <f>SUM(D3:D7)</f>
        <v>39000</v>
      </c>
      <c r="H8" s="2">
        <f>SUM(H3:H7)</f>
        <v>9312000</v>
      </c>
      <c r="I8" s="2">
        <f>SUM(I3:I7)</f>
        <v>1</v>
      </c>
      <c r="J8" s="2">
        <f>SUM(J3:J7)</f>
        <v>519.6</v>
      </c>
      <c r="L8" s="2">
        <f>D8*0.003</f>
        <v>117</v>
      </c>
      <c r="O8" s="2">
        <f>SUM(O3:O7)</f>
        <v>944.31999999999994</v>
      </c>
      <c r="P8" s="2">
        <f>O8-L8-J8</f>
        <v>307.71999999999991</v>
      </c>
      <c r="Q8" s="2">
        <f>P8/2</f>
        <v>153.85999999999996</v>
      </c>
    </row>
    <row r="9" spans="2:26" x14ac:dyDescent="0.25">
      <c r="B9" t="s">
        <v>119</v>
      </c>
    </row>
    <row r="10" spans="2:26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6" x14ac:dyDescent="0.25">
      <c r="B11">
        <v>98</v>
      </c>
      <c r="C11">
        <v>118</v>
      </c>
      <c r="D11">
        <v>0.6</v>
      </c>
      <c r="E11">
        <f>S20</f>
        <v>866</v>
      </c>
      <c r="F11">
        <f>E11*D11</f>
        <v>519.6</v>
      </c>
    </row>
    <row r="12" spans="2:26" x14ac:dyDescent="0.25">
      <c r="T12" t="s">
        <v>47</v>
      </c>
      <c r="U12">
        <f>SUM(U15:U19)</f>
        <v>597</v>
      </c>
      <c r="V12">
        <f>SUM(V15:V19)</f>
        <v>2430</v>
      </c>
      <c r="W12">
        <f>SUM(W15:W19)</f>
        <v>2286</v>
      </c>
      <c r="X12">
        <f>SUM(X15:X19)</f>
        <v>288</v>
      </c>
      <c r="Y12">
        <f>SUM(Y15:Y19)</f>
        <v>0</v>
      </c>
    </row>
    <row r="13" spans="2:26" x14ac:dyDescent="0.25">
      <c r="T13" t="s">
        <v>11</v>
      </c>
      <c r="U13">
        <f>G3</f>
        <v>571.42857142857144</v>
      </c>
      <c r="V13">
        <f>G4</f>
        <v>2428.5714285714284</v>
      </c>
      <c r="W13">
        <f>G5</f>
        <v>2285.7142857142858</v>
      </c>
      <c r="X13">
        <f>G6</f>
        <v>285.71428571428572</v>
      </c>
      <c r="Y13">
        <f>G7</f>
        <v>0</v>
      </c>
    </row>
    <row r="14" spans="2:26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R14" s="2">
        <v>24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  <c r="Z14" s="2">
        <v>24</v>
      </c>
    </row>
    <row r="15" spans="2:26" x14ac:dyDescent="0.25">
      <c r="B15">
        <f>SUM(C15:K15)</f>
        <v>96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M15">
        <v>6</v>
      </c>
      <c r="P15">
        <v>1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6" x14ac:dyDescent="0.25">
      <c r="B16">
        <f>SUM(C16:K16)</f>
        <v>97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13</v>
      </c>
      <c r="M16">
        <v>1</v>
      </c>
      <c r="N16">
        <v>6</v>
      </c>
      <c r="S16">
        <v>405</v>
      </c>
      <c r="U16">
        <f>$S$16*M16</f>
        <v>405</v>
      </c>
      <c r="V16">
        <f>$S$16*N16</f>
        <v>2430</v>
      </c>
      <c r="W16">
        <f>$S$16*O16</f>
        <v>0</v>
      </c>
      <c r="X16">
        <f>$S$16*P16</f>
        <v>0</v>
      </c>
      <c r="Y16">
        <f>$S$16*Q16</f>
        <v>0</v>
      </c>
    </row>
    <row r="17" spans="2:26" x14ac:dyDescent="0.25">
      <c r="B17">
        <f>SUM(C17:K17)</f>
        <v>96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O17">
        <v>6</v>
      </c>
      <c r="S17">
        <v>365</v>
      </c>
      <c r="U17">
        <f>$S$17*M17</f>
        <v>0</v>
      </c>
      <c r="V17">
        <f>$S$17*N17</f>
        <v>0</v>
      </c>
      <c r="W17">
        <f>$S$17*O17</f>
        <v>2190</v>
      </c>
      <c r="X17">
        <f>$S$17*P17</f>
        <v>0</v>
      </c>
      <c r="Y17">
        <f>$S$17*Q17</f>
        <v>0</v>
      </c>
    </row>
    <row r="18" spans="2:26" x14ac:dyDescent="0.25">
      <c r="B18">
        <f>SUM(C18:K18)</f>
        <v>96</v>
      </c>
      <c r="C18">
        <v>18</v>
      </c>
      <c r="D18">
        <v>18</v>
      </c>
      <c r="E18">
        <v>18</v>
      </c>
      <c r="F18">
        <v>16</v>
      </c>
      <c r="G18">
        <v>13</v>
      </c>
      <c r="H18">
        <v>13</v>
      </c>
      <c r="M18">
        <v>2</v>
      </c>
      <c r="O18">
        <v>1</v>
      </c>
      <c r="P18">
        <v>3</v>
      </c>
      <c r="S18">
        <v>96</v>
      </c>
      <c r="U18">
        <f t="shared" ref="U18:Z18" si="0">$S$18*M18</f>
        <v>192</v>
      </c>
      <c r="V18">
        <f t="shared" si="0"/>
        <v>0</v>
      </c>
      <c r="W18">
        <f t="shared" si="0"/>
        <v>96</v>
      </c>
      <c r="X18">
        <f t="shared" si="0"/>
        <v>288</v>
      </c>
      <c r="Y18">
        <f t="shared" si="0"/>
        <v>0</v>
      </c>
      <c r="Z18">
        <f t="shared" si="0"/>
        <v>0</v>
      </c>
    </row>
    <row r="19" spans="2:26" x14ac:dyDescent="0.25">
      <c r="B19">
        <f>SUM(C19:K19)</f>
        <v>0</v>
      </c>
      <c r="S19"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6" x14ac:dyDescent="0.25">
      <c r="S20">
        <f>SUM(S15:S19)</f>
        <v>866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T25"/>
  <sheetViews>
    <sheetView topLeftCell="A2" workbookViewId="0">
      <selection activeCell="C23" sqref="C23"/>
    </sheetView>
  </sheetViews>
  <sheetFormatPr defaultRowHeight="15" x14ac:dyDescent="0.25"/>
  <cols>
    <col min="15" max="15" width="16.42578125" bestFit="1" customWidth="1"/>
    <col min="16" max="17" width="11.7109375" bestFit="1" customWidth="1"/>
  </cols>
  <sheetData>
    <row r="2" spans="2:20" x14ac:dyDescent="0.25">
      <c r="C2" t="s">
        <v>38</v>
      </c>
      <c r="G2" t="s">
        <v>64</v>
      </c>
    </row>
    <row r="3" spans="2:20" x14ac:dyDescent="0.25">
      <c r="F3" t="s">
        <v>24</v>
      </c>
      <c r="I3" t="s">
        <v>65</v>
      </c>
      <c r="K3" t="s">
        <v>66</v>
      </c>
      <c r="P3" t="s">
        <v>21</v>
      </c>
      <c r="Q3" t="s">
        <v>21</v>
      </c>
    </row>
    <row r="4" spans="2:20" x14ac:dyDescent="0.25">
      <c r="B4" t="s">
        <v>1</v>
      </c>
      <c r="C4" t="s">
        <v>2</v>
      </c>
      <c r="D4" t="s">
        <v>3</v>
      </c>
      <c r="M4" s="2" t="s">
        <v>67</v>
      </c>
      <c r="Q4" t="s">
        <v>68</v>
      </c>
      <c r="R4" t="s">
        <v>6</v>
      </c>
      <c r="S4" t="s">
        <v>69</v>
      </c>
      <c r="T4" t="s">
        <v>45</v>
      </c>
    </row>
    <row r="5" spans="2:20" x14ac:dyDescent="0.25">
      <c r="B5">
        <v>16.2</v>
      </c>
      <c r="C5">
        <v>19.100000000000001</v>
      </c>
      <c r="D5">
        <v>10000</v>
      </c>
      <c r="F5">
        <v>6</v>
      </c>
      <c r="G5">
        <f>D5/F5</f>
        <v>1666.6666666666667</v>
      </c>
      <c r="I5">
        <v>7</v>
      </c>
      <c r="K5">
        <f>I5*F5</f>
        <v>42</v>
      </c>
      <c r="M5" s="10">
        <f>D5/K5</f>
        <v>238.0952380952381</v>
      </c>
      <c r="N5" s="2">
        <v>239</v>
      </c>
      <c r="O5" t="s">
        <v>71</v>
      </c>
      <c r="P5">
        <f>N5*1.06</f>
        <v>253.34</v>
      </c>
      <c r="Q5">
        <f>P5/D5*1000</f>
        <v>25.334</v>
      </c>
      <c r="R5">
        <f>Q5+2</f>
        <v>27.334</v>
      </c>
      <c r="S5">
        <f>R5+3</f>
        <v>30.334</v>
      </c>
      <c r="T5">
        <f>S5+3</f>
        <v>33.334000000000003</v>
      </c>
    </row>
    <row r="6" spans="2:20" x14ac:dyDescent="0.25">
      <c r="B6">
        <v>13.75</v>
      </c>
      <c r="C6">
        <v>15.75</v>
      </c>
      <c r="D6">
        <v>4000</v>
      </c>
      <c r="F6">
        <v>8</v>
      </c>
      <c r="G6">
        <f>D6/F6</f>
        <v>500</v>
      </c>
      <c r="I6">
        <v>9</v>
      </c>
      <c r="K6">
        <f>I6*F6</f>
        <v>72</v>
      </c>
      <c r="M6" s="10">
        <f>D6/K6</f>
        <v>55.555555555555557</v>
      </c>
      <c r="N6" s="2">
        <v>56</v>
      </c>
      <c r="O6" t="s">
        <v>72</v>
      </c>
      <c r="P6">
        <f>N6*1.03</f>
        <v>57.68</v>
      </c>
      <c r="Q6">
        <f>P6/D6*1000</f>
        <v>14.42</v>
      </c>
      <c r="R6">
        <f>Q6+2</f>
        <v>16.420000000000002</v>
      </c>
      <c r="S6">
        <f>R6+5</f>
        <v>21.42</v>
      </c>
      <c r="T6">
        <f>S6+5</f>
        <v>26.42</v>
      </c>
    </row>
    <row r="7" spans="2:20" x14ac:dyDescent="0.25">
      <c r="N7" s="2"/>
    </row>
    <row r="8" spans="2:20" x14ac:dyDescent="0.25">
      <c r="C8" t="s">
        <v>37</v>
      </c>
    </row>
    <row r="9" spans="2:20" x14ac:dyDescent="0.25">
      <c r="B9">
        <v>124</v>
      </c>
      <c r="C9">
        <v>126</v>
      </c>
      <c r="D9">
        <v>1.03</v>
      </c>
    </row>
    <row r="10" spans="2:20" x14ac:dyDescent="0.25">
      <c r="B10">
        <v>72</v>
      </c>
      <c r="C10">
        <v>120</v>
      </c>
      <c r="D10">
        <v>0.6</v>
      </c>
    </row>
    <row r="11" spans="2:20" x14ac:dyDescent="0.25">
      <c r="B11">
        <v>62</v>
      </c>
      <c r="C11">
        <v>126</v>
      </c>
      <c r="D11">
        <v>0.56999999999999995</v>
      </c>
    </row>
    <row r="12" spans="2:20" x14ac:dyDescent="0.25">
      <c r="B12">
        <v>115</v>
      </c>
      <c r="C12">
        <v>115</v>
      </c>
      <c r="D12">
        <v>1.06</v>
      </c>
    </row>
    <row r="14" spans="2:20" x14ac:dyDescent="0.25">
      <c r="C14" t="s">
        <v>39</v>
      </c>
    </row>
    <row r="15" spans="2:20" x14ac:dyDescent="0.25">
      <c r="B15" s="2">
        <f>SUM(C15:K15)</f>
        <v>123.75</v>
      </c>
      <c r="C15">
        <v>13.75</v>
      </c>
      <c r="D15">
        <v>13.75</v>
      </c>
      <c r="E15">
        <v>13.75</v>
      </c>
      <c r="F15">
        <v>13.75</v>
      </c>
      <c r="G15">
        <v>13.75</v>
      </c>
      <c r="H15">
        <v>13.75</v>
      </c>
      <c r="I15">
        <v>13.75</v>
      </c>
      <c r="J15">
        <v>13.75</v>
      </c>
      <c r="K15">
        <v>13.75</v>
      </c>
    </row>
    <row r="16" spans="2:20" x14ac:dyDescent="0.25">
      <c r="B16" s="2">
        <f>SUM(C16:K16)</f>
        <v>113.4</v>
      </c>
      <c r="C16">
        <v>16.2</v>
      </c>
      <c r="D16">
        <v>16.2</v>
      </c>
      <c r="E16">
        <v>16.2</v>
      </c>
      <c r="F16">
        <v>16.2</v>
      </c>
      <c r="G16">
        <v>16.2</v>
      </c>
      <c r="H16">
        <v>16.2</v>
      </c>
      <c r="I16">
        <v>16.2</v>
      </c>
    </row>
    <row r="19" spans="2:11" x14ac:dyDescent="0.25">
      <c r="B19" t="s">
        <v>1</v>
      </c>
      <c r="C19" t="s">
        <v>2</v>
      </c>
      <c r="D19" t="s">
        <v>3</v>
      </c>
      <c r="E19" t="s">
        <v>15</v>
      </c>
      <c r="F19" t="s">
        <v>70</v>
      </c>
    </row>
    <row r="20" spans="2:11" x14ac:dyDescent="0.25">
      <c r="B20">
        <v>16.2</v>
      </c>
      <c r="C20">
        <v>19.100000000000001</v>
      </c>
      <c r="D20">
        <v>10000</v>
      </c>
      <c r="E20">
        <f>T5</f>
        <v>33.334000000000003</v>
      </c>
      <c r="F20">
        <f>D20*E20/1000</f>
        <v>333.34000000000003</v>
      </c>
    </row>
    <row r="21" spans="2:11" x14ac:dyDescent="0.25">
      <c r="B21">
        <v>13.75</v>
      </c>
      <c r="C21">
        <v>15.75</v>
      </c>
      <c r="D21">
        <v>4000</v>
      </c>
      <c r="E21">
        <f>T6</f>
        <v>26.42</v>
      </c>
      <c r="F21">
        <f>D21*E21/1000</f>
        <v>105.68</v>
      </c>
    </row>
    <row r="23" spans="2:11" x14ac:dyDescent="0.25">
      <c r="F23" s="2">
        <f>SUM(F20:F22)</f>
        <v>439.02000000000004</v>
      </c>
      <c r="K23" t="s">
        <v>93</v>
      </c>
    </row>
    <row r="24" spans="2:11" x14ac:dyDescent="0.25">
      <c r="I24" t="s">
        <v>6</v>
      </c>
      <c r="J24" t="s">
        <v>92</v>
      </c>
    </row>
    <row r="25" spans="2:11" x14ac:dyDescent="0.25">
      <c r="B25">
        <v>239</v>
      </c>
      <c r="C25">
        <v>1.06</v>
      </c>
      <c r="D25">
        <v>10000</v>
      </c>
      <c r="E25">
        <v>16</v>
      </c>
      <c r="F25">
        <v>18</v>
      </c>
      <c r="G25">
        <f>C25*B25</f>
        <v>253.34</v>
      </c>
      <c r="H25">
        <f>G25/D25*1000</f>
        <v>25.334</v>
      </c>
      <c r="I25">
        <f>H25+2</f>
        <v>27.334</v>
      </c>
      <c r="J25">
        <f>I25+3</f>
        <v>30.334</v>
      </c>
      <c r="K25">
        <f>J25+3</f>
        <v>33.334000000000003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2"/>
  <sheetViews>
    <sheetView workbookViewId="0">
      <selection activeCell="J23" sqref="J23"/>
    </sheetView>
  </sheetViews>
  <sheetFormatPr defaultRowHeight="15" x14ac:dyDescent="0.25"/>
  <cols>
    <col min="2" max="2" width="8.140625" bestFit="1" customWidth="1"/>
    <col min="7" max="7" width="11.7109375" bestFit="1" customWidth="1"/>
    <col min="8" max="8" width="10" bestFit="1" customWidth="1"/>
    <col min="9" max="9" width="13.85546875" bestFit="1" customWidth="1"/>
    <col min="11" max="11" width="10.28515625" bestFit="1" customWidth="1"/>
    <col min="12" max="12" width="15.42578125" bestFit="1" customWidth="1"/>
    <col min="13" max="13" width="14.7109375" bestFit="1" customWidth="1"/>
  </cols>
  <sheetData>
    <row r="2" spans="2:15" x14ac:dyDescent="0.25">
      <c r="B2" t="s">
        <v>7</v>
      </c>
    </row>
    <row r="3" spans="2:15" x14ac:dyDescent="0.25">
      <c r="D3" t="s">
        <v>15</v>
      </c>
      <c r="F3" t="s">
        <v>3</v>
      </c>
      <c r="G3" t="s">
        <v>70</v>
      </c>
    </row>
    <row r="4" spans="2:15" x14ac:dyDescent="0.25">
      <c r="B4">
        <v>62</v>
      </c>
      <c r="C4">
        <v>126</v>
      </c>
      <c r="D4">
        <v>0.56999999999999995</v>
      </c>
      <c r="F4">
        <v>477</v>
      </c>
      <c r="G4">
        <f>F4*D4</f>
        <v>271.89</v>
      </c>
    </row>
    <row r="6" spans="2:15" x14ac:dyDescent="0.25">
      <c r="B6" t="s">
        <v>94</v>
      </c>
    </row>
    <row r="7" spans="2:15" x14ac:dyDescent="0.25">
      <c r="E7" t="s">
        <v>47</v>
      </c>
      <c r="F7" t="s">
        <v>24</v>
      </c>
      <c r="I7" t="s">
        <v>101</v>
      </c>
    </row>
    <row r="8" spans="2:15" x14ac:dyDescent="0.25">
      <c r="B8">
        <v>16</v>
      </c>
      <c r="C8">
        <v>18</v>
      </c>
      <c r="D8">
        <v>10000</v>
      </c>
      <c r="E8">
        <v>10017</v>
      </c>
      <c r="F8">
        <f>$C$4/C8</f>
        <v>7</v>
      </c>
      <c r="G8">
        <v>7</v>
      </c>
      <c r="I8">
        <f>D8/G8</f>
        <v>1428.5714285714287</v>
      </c>
      <c r="J8">
        <v>1429</v>
      </c>
    </row>
    <row r="9" spans="2:15" x14ac:dyDescent="0.25">
      <c r="B9">
        <v>14</v>
      </c>
      <c r="C9">
        <v>16</v>
      </c>
      <c r="E9">
        <f>O9*G9</f>
        <v>3339</v>
      </c>
      <c r="F9">
        <f>$C$4/C9</f>
        <v>7.875</v>
      </c>
      <c r="G9">
        <v>7</v>
      </c>
      <c r="M9" t="s">
        <v>47</v>
      </c>
      <c r="N9">
        <f>N13</f>
        <v>1431</v>
      </c>
      <c r="O9">
        <f>O13</f>
        <v>477</v>
      </c>
    </row>
    <row r="10" spans="2:15" x14ac:dyDescent="0.25">
      <c r="M10" t="s">
        <v>11</v>
      </c>
      <c r="N10">
        <f>J8</f>
        <v>1429</v>
      </c>
    </row>
    <row r="11" spans="2:15" x14ac:dyDescent="0.25">
      <c r="B11" s="2" t="s">
        <v>99</v>
      </c>
      <c r="L11" s="2" t="s">
        <v>100</v>
      </c>
    </row>
    <row r="12" spans="2:15" x14ac:dyDescent="0.25">
      <c r="I12">
        <v>16</v>
      </c>
      <c r="J12">
        <v>14</v>
      </c>
      <c r="N12">
        <v>16</v>
      </c>
      <c r="O12">
        <v>14</v>
      </c>
    </row>
    <row r="13" spans="2:15" x14ac:dyDescent="0.25">
      <c r="B13">
        <f>SUM(C13:G13)</f>
        <v>62</v>
      </c>
      <c r="C13" s="2">
        <v>16</v>
      </c>
      <c r="D13" s="2">
        <v>16</v>
      </c>
      <c r="E13" s="2">
        <v>16</v>
      </c>
      <c r="F13" s="2">
        <v>14</v>
      </c>
      <c r="I13">
        <v>3</v>
      </c>
      <c r="J13">
        <v>1</v>
      </c>
      <c r="L13" s="2">
        <v>477</v>
      </c>
      <c r="N13">
        <f>$L$13*I13</f>
        <v>1431</v>
      </c>
      <c r="O13">
        <f>$L$13*J13</f>
        <v>477</v>
      </c>
    </row>
    <row r="16" spans="2:15" x14ac:dyDescent="0.25">
      <c r="B16" t="s">
        <v>102</v>
      </c>
    </row>
    <row r="17" spans="2:15" x14ac:dyDescent="0.25">
      <c r="E17" t="s">
        <v>16</v>
      </c>
      <c r="F17" t="s">
        <v>17</v>
      </c>
      <c r="G17" t="s">
        <v>21</v>
      </c>
      <c r="H17" t="s">
        <v>103</v>
      </c>
      <c r="I17" t="s">
        <v>104</v>
      </c>
      <c r="J17" t="s">
        <v>30</v>
      </c>
      <c r="K17" t="s">
        <v>93</v>
      </c>
      <c r="L17" t="s">
        <v>58</v>
      </c>
      <c r="M17" t="s">
        <v>105</v>
      </c>
      <c r="N17" s="14">
        <v>0.5</v>
      </c>
      <c r="O17" t="s">
        <v>107</v>
      </c>
    </row>
    <row r="18" spans="2:15" x14ac:dyDescent="0.25">
      <c r="B18">
        <v>16</v>
      </c>
      <c r="C18">
        <v>18</v>
      </c>
      <c r="D18">
        <v>10017</v>
      </c>
      <c r="E18">
        <f>B18*C18*D18</f>
        <v>2884896</v>
      </c>
      <c r="F18">
        <f>E18/E20</f>
        <v>0.79411764705882348</v>
      </c>
      <c r="G18">
        <f>F18*$G$4</f>
        <v>215.9126470588235</v>
      </c>
      <c r="H18">
        <f>G18/D18</f>
        <v>2.1554621848739491E-2</v>
      </c>
      <c r="I18">
        <v>2E-3</v>
      </c>
      <c r="J18">
        <v>0.01</v>
      </c>
      <c r="K18">
        <f>J18+I18+H18</f>
        <v>3.3554621848739488E-2</v>
      </c>
      <c r="L18">
        <f>K18*D18</f>
        <v>336.11664705882345</v>
      </c>
    </row>
    <row r="19" spans="2:15" x14ac:dyDescent="0.25">
      <c r="B19">
        <v>14</v>
      </c>
      <c r="C19">
        <v>16</v>
      </c>
      <c r="D19">
        <v>3339</v>
      </c>
      <c r="E19">
        <f>B19*C19*D19</f>
        <v>747936</v>
      </c>
      <c r="F19">
        <f>E19/E20</f>
        <v>0.20588235294117646</v>
      </c>
      <c r="G19">
        <f>F19*$G$4</f>
        <v>55.977352941176463</v>
      </c>
      <c r="H19">
        <f>G19/D19</f>
        <v>1.6764705882352939E-2</v>
      </c>
      <c r="I19">
        <v>2E-3</v>
      </c>
      <c r="J19">
        <v>0.01</v>
      </c>
      <c r="K19">
        <f>J19+I19+H19</f>
        <v>2.8764705882352939E-2</v>
      </c>
      <c r="L19">
        <f>K19*D19</f>
        <v>96.045352941176461</v>
      </c>
    </row>
    <row r="20" spans="2:15" x14ac:dyDescent="0.25">
      <c r="D20">
        <f>SUM(D18:D19)</f>
        <v>13356</v>
      </c>
      <c r="E20">
        <f>SUM(E18:E19)</f>
        <v>3632832</v>
      </c>
      <c r="F20">
        <f>SUM(F18:F19)</f>
        <v>1</v>
      </c>
      <c r="G20">
        <f>SUM(G18:G19)</f>
        <v>271.89</v>
      </c>
      <c r="L20">
        <f>SUM(L18:L19)</f>
        <v>432.16199999999992</v>
      </c>
      <c r="M20">
        <f>D20*0.01</f>
        <v>133.56</v>
      </c>
      <c r="N20">
        <f>M20/2</f>
        <v>66.78</v>
      </c>
      <c r="O20">
        <f>D20*I19</f>
        <v>26.712</v>
      </c>
    </row>
    <row r="22" spans="2:15" x14ac:dyDescent="0.25">
      <c r="C22" t="s">
        <v>106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22"/>
  <sheetViews>
    <sheetView workbookViewId="0">
      <selection activeCell="H15" sqref="H15"/>
    </sheetView>
  </sheetViews>
  <sheetFormatPr defaultRowHeight="15" x14ac:dyDescent="0.25"/>
  <cols>
    <col min="1" max="1" width="14.28515625" customWidth="1"/>
  </cols>
  <sheetData>
    <row r="2" spans="2:10" x14ac:dyDescent="0.25">
      <c r="B2" t="s">
        <v>38</v>
      </c>
      <c r="H2" t="s">
        <v>74</v>
      </c>
    </row>
    <row r="3" spans="2:10" x14ac:dyDescent="0.25">
      <c r="B3" t="s">
        <v>1</v>
      </c>
      <c r="C3" t="s">
        <v>2</v>
      </c>
    </row>
    <row r="4" spans="2:10" ht="15.75" thickBot="1" x14ac:dyDescent="0.3">
      <c r="B4">
        <v>18</v>
      </c>
      <c r="C4">
        <v>24</v>
      </c>
      <c r="D4">
        <v>1000</v>
      </c>
      <c r="H4" s="30">
        <v>18</v>
      </c>
      <c r="I4" s="30"/>
      <c r="J4" s="11"/>
    </row>
    <row r="5" spans="2:10" ht="16.5" thickTop="1" thickBot="1" x14ac:dyDescent="0.3">
      <c r="H5" s="12"/>
      <c r="I5" s="12"/>
      <c r="J5" s="28">
        <v>24</v>
      </c>
    </row>
    <row r="6" spans="2:10" ht="16.5" thickTop="1" thickBot="1" x14ac:dyDescent="0.3">
      <c r="B6">
        <f>SUM(C6:H6)</f>
        <v>72</v>
      </c>
      <c r="C6">
        <v>18</v>
      </c>
      <c r="D6">
        <v>18</v>
      </c>
      <c r="E6">
        <v>18</v>
      </c>
      <c r="F6">
        <v>18</v>
      </c>
      <c r="H6" s="12"/>
      <c r="I6" s="12"/>
      <c r="J6" s="28"/>
    </row>
    <row r="7" spans="2:10" ht="16.5" thickTop="1" thickBot="1" x14ac:dyDescent="0.3">
      <c r="B7">
        <f>SUM(C7:H7)</f>
        <v>72</v>
      </c>
      <c r="C7">
        <v>18</v>
      </c>
      <c r="D7">
        <v>18</v>
      </c>
      <c r="E7">
        <v>18</v>
      </c>
      <c r="F7">
        <v>18</v>
      </c>
      <c r="H7" s="12"/>
      <c r="I7" s="12"/>
      <c r="J7" s="28"/>
    </row>
    <row r="8" spans="2:10" ht="16.5" thickTop="1" thickBot="1" x14ac:dyDescent="0.3">
      <c r="B8" t="s">
        <v>73</v>
      </c>
      <c r="H8" s="12"/>
      <c r="I8" s="12"/>
      <c r="J8" s="28"/>
    </row>
    <row r="9" spans="2:10" ht="16.5" thickTop="1" thickBot="1" x14ac:dyDescent="0.3">
      <c r="B9">
        <v>72</v>
      </c>
      <c r="C9">
        <v>120</v>
      </c>
      <c r="D9">
        <v>0.6</v>
      </c>
      <c r="H9" s="12"/>
      <c r="I9" s="12"/>
      <c r="J9" s="28"/>
    </row>
    <row r="10" spans="2:10" ht="16.5" thickTop="1" thickBot="1" x14ac:dyDescent="0.3">
      <c r="H10" s="12"/>
      <c r="I10" s="12"/>
      <c r="J10" s="28"/>
    </row>
    <row r="11" spans="2:10" ht="16.5" thickTop="1" thickBot="1" x14ac:dyDescent="0.3">
      <c r="B11" s="13" t="s">
        <v>75</v>
      </c>
      <c r="C11">
        <v>4</v>
      </c>
      <c r="H11" s="12"/>
      <c r="I11" s="12"/>
      <c r="J11" s="28"/>
    </row>
    <row r="12" spans="2:10" ht="15.75" thickTop="1" x14ac:dyDescent="0.25">
      <c r="B12" s="13" t="s">
        <v>24</v>
      </c>
      <c r="C12">
        <v>5</v>
      </c>
    </row>
    <row r="13" spans="2:10" x14ac:dyDescent="0.25">
      <c r="B13" s="13" t="s">
        <v>76</v>
      </c>
      <c r="C13">
        <f>C11*C12</f>
        <v>20</v>
      </c>
    </row>
    <row r="14" spans="2:10" x14ac:dyDescent="0.25">
      <c r="B14" s="13" t="s">
        <v>77</v>
      </c>
      <c r="C14">
        <f>D4/C13</f>
        <v>50</v>
      </c>
    </row>
    <row r="15" spans="2:10" x14ac:dyDescent="0.25">
      <c r="B15" s="13" t="s">
        <v>21</v>
      </c>
      <c r="C15">
        <f>C14*D9</f>
        <v>30</v>
      </c>
    </row>
    <row r="16" spans="2:10" x14ac:dyDescent="0.25">
      <c r="B16" s="13" t="s">
        <v>78</v>
      </c>
      <c r="C16">
        <f>C15+2</f>
        <v>32</v>
      </c>
    </row>
    <row r="17" spans="2:11" x14ac:dyDescent="0.25">
      <c r="B17" s="13" t="s">
        <v>44</v>
      </c>
      <c r="C17">
        <f>C16+4</f>
        <v>36</v>
      </c>
    </row>
    <row r="18" spans="2:11" x14ac:dyDescent="0.25">
      <c r="B18" s="13" t="s">
        <v>79</v>
      </c>
      <c r="C18">
        <f>C17+4</f>
        <v>40</v>
      </c>
    </row>
    <row r="22" spans="2:11" x14ac:dyDescent="0.25">
      <c r="D22">
        <f>SUM(E22:N22)</f>
        <v>114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18</v>
      </c>
    </row>
  </sheetData>
  <mergeCells count="2">
    <mergeCell ref="H4:I4"/>
    <mergeCell ref="J5:J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4"/>
  <sheetViews>
    <sheetView workbookViewId="0">
      <selection activeCell="G11" sqref="G11"/>
    </sheetView>
  </sheetViews>
  <sheetFormatPr defaultRowHeight="15" x14ac:dyDescent="0.25"/>
  <cols>
    <col min="2" max="2" width="11.140625" bestFit="1" customWidth="1"/>
    <col min="9" max="9" width="10.140625" bestFit="1" customWidth="1"/>
  </cols>
  <sheetData>
    <row r="1" spans="2:9" x14ac:dyDescent="0.25">
      <c r="G1" t="s">
        <v>5</v>
      </c>
      <c r="I1" t="s">
        <v>91</v>
      </c>
    </row>
    <row r="2" spans="2:9" x14ac:dyDescent="0.25">
      <c r="B2">
        <v>34</v>
      </c>
      <c r="C2">
        <v>1.06</v>
      </c>
      <c r="D2">
        <f>B2*C2</f>
        <v>36.04</v>
      </c>
      <c r="E2">
        <v>2</v>
      </c>
      <c r="F2">
        <v>3</v>
      </c>
      <c r="G2">
        <f>F2+E2+D2</f>
        <v>41.04</v>
      </c>
      <c r="H2">
        <v>3</v>
      </c>
      <c r="I2">
        <f>F2+E2+D2+H2</f>
        <v>44.04</v>
      </c>
    </row>
    <row r="4" spans="2:9" x14ac:dyDescent="0.25">
      <c r="B4" t="s">
        <v>0</v>
      </c>
      <c r="C4">
        <v>18</v>
      </c>
      <c r="D4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Y20"/>
  <sheetViews>
    <sheetView workbookViewId="0">
      <selection activeCell="J23" sqref="J23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2000</v>
      </c>
      <c r="E3">
        <f>$C$11/C3</f>
        <v>7.1111111111111107</v>
      </c>
      <c r="F3">
        <v>7</v>
      </c>
      <c r="G3">
        <f>D3/F3</f>
        <v>285.71428571428572</v>
      </c>
      <c r="H3">
        <f>B3*C3*D3</f>
        <v>504000</v>
      </c>
      <c r="I3">
        <f>H3/$H$8</f>
        <v>0.11170212765957446</v>
      </c>
      <c r="J3">
        <f>$F$11*I3</f>
        <v>38.52695744680851</v>
      </c>
      <c r="K3">
        <f>J3/D3</f>
        <v>1.9263478723404254E-2</v>
      </c>
      <c r="L3">
        <f>K3+0.003</f>
        <v>2.2263478723404253E-2</v>
      </c>
      <c r="M3">
        <f>L3+0.009</f>
        <v>3.126347872340425E-2</v>
      </c>
      <c r="N3" s="2">
        <v>2.232E-2</v>
      </c>
      <c r="O3" s="2">
        <v>23.7</v>
      </c>
    </row>
    <row r="4" spans="2:25" x14ac:dyDescent="0.25">
      <c r="B4">
        <v>16</v>
      </c>
      <c r="C4">
        <v>18</v>
      </c>
      <c r="D4">
        <v>5000</v>
      </c>
      <c r="E4">
        <f>$C$11/C4</f>
        <v>7.1111111111111107</v>
      </c>
      <c r="F4">
        <v>7</v>
      </c>
      <c r="G4">
        <f>D4/F4</f>
        <v>714.28571428571433</v>
      </c>
      <c r="H4">
        <f>B4*C4*D4</f>
        <v>1440000</v>
      </c>
      <c r="I4">
        <f>H4/$H$8</f>
        <v>0.31914893617021278</v>
      </c>
      <c r="J4">
        <f>$F$11*I4</f>
        <v>110.07702127659576</v>
      </c>
      <c r="K4">
        <f>J4/D4</f>
        <v>2.201540425531915E-2</v>
      </c>
      <c r="L4">
        <f>K4+0.003</f>
        <v>2.5015404255319149E-2</v>
      </c>
      <c r="M4">
        <f>L4+0.009</f>
        <v>3.4015404255319147E-2</v>
      </c>
      <c r="N4" s="2">
        <v>2.5000000000000001E-2</v>
      </c>
      <c r="O4" s="2">
        <v>25.6</v>
      </c>
    </row>
    <row r="5" spans="2:25" x14ac:dyDescent="0.25">
      <c r="B5">
        <v>18</v>
      </c>
      <c r="C5">
        <v>18</v>
      </c>
      <c r="D5">
        <v>2000</v>
      </c>
      <c r="E5">
        <f>$C$11/C5</f>
        <v>7.1111111111111107</v>
      </c>
      <c r="F5">
        <v>7</v>
      </c>
      <c r="G5">
        <f>D5/F5</f>
        <v>285.71428571428572</v>
      </c>
      <c r="H5">
        <f>B5*C5*D5</f>
        <v>648000</v>
      </c>
      <c r="I5">
        <f>H5/$H$8</f>
        <v>0.14361702127659576</v>
      </c>
      <c r="J5">
        <f>$F$11*I5</f>
        <v>49.534659574468094</v>
      </c>
      <c r="K5">
        <f>J5/D5</f>
        <v>2.4767329787234046E-2</v>
      </c>
      <c r="L5">
        <f>K5+0.003</f>
        <v>2.7767329787234046E-2</v>
      </c>
      <c r="M5">
        <f>L5+0.009</f>
        <v>3.6767329787234043E-2</v>
      </c>
      <c r="N5" s="2">
        <v>2.7678000000000001E-2</v>
      </c>
      <c r="O5" s="2">
        <v>29.2</v>
      </c>
    </row>
    <row r="6" spans="2:25" x14ac:dyDescent="0.25">
      <c r="B6">
        <v>18</v>
      </c>
      <c r="C6">
        <v>24</v>
      </c>
      <c r="D6">
        <v>2000</v>
      </c>
      <c r="E6">
        <f>$C$11/C6</f>
        <v>5.333333333333333</v>
      </c>
      <c r="F6">
        <v>5</v>
      </c>
      <c r="G6">
        <f>D6/F6</f>
        <v>400</v>
      </c>
      <c r="H6">
        <f>B6*C6*D6</f>
        <v>864000</v>
      </c>
      <c r="I6">
        <f>H6/$H$8</f>
        <v>0.19148936170212766</v>
      </c>
      <c r="J6">
        <f>$F$11*I6</f>
        <v>66.046212765957449</v>
      </c>
      <c r="K6">
        <f>J6/D6</f>
        <v>3.3023106382978722E-2</v>
      </c>
      <c r="L6">
        <f>K6+0.003</f>
        <v>3.6023106382978724E-2</v>
      </c>
      <c r="M6">
        <f>L6+0.009</f>
        <v>4.5023106382978725E-2</v>
      </c>
      <c r="N6" s="2">
        <v>3.5714000000000003E-2</v>
      </c>
    </row>
    <row r="7" spans="2:25" x14ac:dyDescent="0.25">
      <c r="B7">
        <v>22</v>
      </c>
      <c r="C7">
        <v>24</v>
      </c>
      <c r="D7">
        <v>2000</v>
      </c>
      <c r="E7">
        <f>$C$11/C7</f>
        <v>5.333333333333333</v>
      </c>
      <c r="F7">
        <v>5</v>
      </c>
      <c r="G7">
        <f>D7/F7</f>
        <v>400</v>
      </c>
      <c r="H7">
        <f>B7*C7*D7</f>
        <v>1056000</v>
      </c>
      <c r="I7">
        <f>H7/$H$8</f>
        <v>0.23404255319148937</v>
      </c>
      <c r="J7">
        <f>$F$11*I7</f>
        <v>80.723148936170219</v>
      </c>
      <c r="K7">
        <f>J7/D7</f>
        <v>4.036157446808511E-2</v>
      </c>
      <c r="L7">
        <f>K7+0.003</f>
        <v>4.3361574468085112E-2</v>
      </c>
      <c r="M7">
        <f>L7+0.009</f>
        <v>5.2361574468085113E-2</v>
      </c>
      <c r="N7" s="2">
        <v>4.0177999999999998E-2</v>
      </c>
    </row>
    <row r="8" spans="2:25" x14ac:dyDescent="0.25">
      <c r="H8">
        <f>SUM(H3:H7)</f>
        <v>4512000</v>
      </c>
      <c r="I8">
        <f>SUM(I3:I7)</f>
        <v>1</v>
      </c>
      <c r="J8">
        <f>SUM(J3:J7)</f>
        <v>344.90800000000002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326</v>
      </c>
      <c r="F11">
        <f>E11*D11</f>
        <v>344.90800000000002</v>
      </c>
    </row>
    <row r="12" spans="2:25" x14ac:dyDescent="0.25">
      <c r="T12" t="s">
        <v>47</v>
      </c>
      <c r="U12">
        <f>SUM(U15:U19)</f>
        <v>287</v>
      </c>
      <c r="V12">
        <f>SUM(V15:V19)</f>
        <v>719</v>
      </c>
      <c r="W12">
        <f>SUM(W15:W19)</f>
        <v>688</v>
      </c>
      <c r="X12">
        <f>SUM(X15:X19)</f>
        <v>400</v>
      </c>
      <c r="Y12">
        <f>SUM(Y15:Y19)</f>
        <v>0</v>
      </c>
    </row>
    <row r="13" spans="2:25" x14ac:dyDescent="0.25">
      <c r="T13" t="s">
        <v>11</v>
      </c>
      <c r="U13">
        <f>G3</f>
        <v>285.71428571428572</v>
      </c>
      <c r="V13">
        <f>G4</f>
        <v>714.28571428571433</v>
      </c>
      <c r="W13">
        <f>G5+G6</f>
        <v>685.71428571428578</v>
      </c>
      <c r="X13">
        <f>G7</f>
        <v>400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>
        <v>20</v>
      </c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>
        <v>22</v>
      </c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41</v>
      </c>
      <c r="U15">
        <f>$S$15*M15</f>
        <v>287</v>
      </c>
      <c r="V15">
        <f>$S$15*N15</f>
        <v>41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113</v>
      </c>
      <c r="U16">
        <f>$S$16*M16</f>
        <v>0</v>
      </c>
      <c r="V16">
        <f>$S$16*N16</f>
        <v>678</v>
      </c>
      <c r="W16">
        <f>$S$16*O16</f>
        <v>113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112</v>
      </c>
      <c r="C17">
        <v>18</v>
      </c>
      <c r="D17">
        <v>18</v>
      </c>
      <c r="E17">
        <v>18</v>
      </c>
      <c r="F17">
        <v>18</v>
      </c>
      <c r="G17">
        <v>18</v>
      </c>
      <c r="H17">
        <v>22</v>
      </c>
      <c r="O17">
        <v>5</v>
      </c>
      <c r="P17">
        <v>1</v>
      </c>
      <c r="S17">
        <v>115</v>
      </c>
      <c r="U17">
        <f>$S$17*M17</f>
        <v>0</v>
      </c>
      <c r="V17">
        <f>$S$17*N17</f>
        <v>0</v>
      </c>
      <c r="W17">
        <f>$S$17*O17</f>
        <v>575</v>
      </c>
      <c r="X17">
        <f>$S$17*P17</f>
        <v>115</v>
      </c>
      <c r="Y17">
        <f>$S$17*Q17</f>
        <v>0</v>
      </c>
    </row>
    <row r="18" spans="2:25" x14ac:dyDescent="0.25">
      <c r="B18">
        <f>SUM(C18:K18)</f>
        <v>110</v>
      </c>
      <c r="C18">
        <v>22</v>
      </c>
      <c r="D18">
        <v>22</v>
      </c>
      <c r="E18">
        <v>22</v>
      </c>
      <c r="F18">
        <v>22</v>
      </c>
      <c r="G18">
        <v>22</v>
      </c>
      <c r="P18">
        <v>5</v>
      </c>
      <c r="S18">
        <v>57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285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Y20"/>
  <sheetViews>
    <sheetView workbookViewId="0">
      <selection activeCell="R8" sqref="R8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  <c r="P2" t="s">
        <v>70</v>
      </c>
      <c r="Q2" t="s">
        <v>30</v>
      </c>
      <c r="R2" s="14">
        <v>0.5</v>
      </c>
    </row>
    <row r="3" spans="2:25" x14ac:dyDescent="0.25">
      <c r="B3">
        <v>14</v>
      </c>
      <c r="C3">
        <v>18</v>
      </c>
      <c r="D3">
        <v>2000</v>
      </c>
      <c r="E3">
        <f>$C$11/C3</f>
        <v>6.5555555555555554</v>
      </c>
      <c r="F3">
        <v>6</v>
      </c>
      <c r="G3">
        <f>D3/F3</f>
        <v>333.33333333333331</v>
      </c>
      <c r="H3">
        <f>B3*C3*D3</f>
        <v>504000</v>
      </c>
      <c r="I3">
        <f>H3/$H$8</f>
        <v>0.15979708306911858</v>
      </c>
      <c r="J3">
        <f>$F$11*I3</f>
        <v>16.107545973367152</v>
      </c>
      <c r="K3">
        <f>J3/D3</f>
        <v>8.0537729866835758E-3</v>
      </c>
      <c r="L3">
        <f>K3+0.003</f>
        <v>1.1053772986683575E-2</v>
      </c>
      <c r="M3">
        <f t="shared" ref="M3:M8" si="0">L3+0.008</f>
        <v>1.9053772986683575E-2</v>
      </c>
      <c r="N3" s="2">
        <v>2.232E-2</v>
      </c>
      <c r="O3" s="2">
        <v>2.2200000000000001E-2</v>
      </c>
      <c r="P3">
        <f>O3*D3</f>
        <v>44.4</v>
      </c>
    </row>
    <row r="4" spans="2:25" x14ac:dyDescent="0.25">
      <c r="B4">
        <v>16</v>
      </c>
      <c r="C4">
        <v>18</v>
      </c>
      <c r="D4">
        <v>2000</v>
      </c>
      <c r="E4">
        <f>$C$11/C4</f>
        <v>6.5555555555555554</v>
      </c>
      <c r="F4">
        <v>6</v>
      </c>
      <c r="G4">
        <f>D4/F4</f>
        <v>333.33333333333331</v>
      </c>
      <c r="H4">
        <f>B4*C4*D4</f>
        <v>576000</v>
      </c>
      <c r="I4">
        <f>H4/$H$8</f>
        <v>0.18262523779327838</v>
      </c>
      <c r="J4">
        <f>$F$11*I4</f>
        <v>18.408623969562459</v>
      </c>
      <c r="K4">
        <f>J4/D4</f>
        <v>9.2043119847812303E-3</v>
      </c>
      <c r="L4">
        <f>K4+0.003</f>
        <v>1.2204311984781231E-2</v>
      </c>
      <c r="M4">
        <f t="shared" si="0"/>
        <v>2.0204311984781231E-2</v>
      </c>
      <c r="N4" s="2">
        <v>2.5000000000000001E-2</v>
      </c>
      <c r="O4" s="2">
        <v>2.4899999999999999E-2</v>
      </c>
      <c r="P4">
        <f>O4*D4</f>
        <v>49.8</v>
      </c>
    </row>
    <row r="5" spans="2:25" x14ac:dyDescent="0.25">
      <c r="B5">
        <v>18</v>
      </c>
      <c r="C5">
        <v>18</v>
      </c>
      <c r="D5">
        <v>2000</v>
      </c>
      <c r="E5">
        <f>$C$11/C5</f>
        <v>6.5555555555555554</v>
      </c>
      <c r="F5">
        <v>6</v>
      </c>
      <c r="G5">
        <f>D5/F5</f>
        <v>333.33333333333331</v>
      </c>
      <c r="H5">
        <f>B5*C5*D5</f>
        <v>648000</v>
      </c>
      <c r="I5">
        <f>H5/$H$8</f>
        <v>0.20545339251743816</v>
      </c>
      <c r="J5">
        <f>$F$11*I5</f>
        <v>20.709701965757766</v>
      </c>
      <c r="K5">
        <f>J5/D5</f>
        <v>1.0354850982878883E-2</v>
      </c>
      <c r="L5">
        <f>K5+0.003</f>
        <v>1.3354850982878884E-2</v>
      </c>
      <c r="M5">
        <f t="shared" si="0"/>
        <v>2.1354850982878884E-2</v>
      </c>
      <c r="N5" s="2">
        <v>2.7678000000000001E-2</v>
      </c>
      <c r="O5" s="2">
        <v>2.75E-2</v>
      </c>
      <c r="P5">
        <f>O5*D5</f>
        <v>55</v>
      </c>
    </row>
    <row r="6" spans="2:25" x14ac:dyDescent="0.25">
      <c r="B6">
        <v>18</v>
      </c>
      <c r="C6">
        <v>23</v>
      </c>
      <c r="D6">
        <v>1000</v>
      </c>
      <c r="E6">
        <f>$C$11/C6</f>
        <v>5.1304347826086953</v>
      </c>
      <c r="F6">
        <v>5</v>
      </c>
      <c r="G6">
        <f>D6/F6</f>
        <v>200</v>
      </c>
      <c r="H6">
        <f>B6*C6*D6</f>
        <v>414000</v>
      </c>
      <c r="I6">
        <f>H6/$H$8</f>
        <v>0.13126188966391883</v>
      </c>
      <c r="J6">
        <f>$F$11*I6</f>
        <v>13.231198478123018</v>
      </c>
      <c r="K6">
        <f>J6/D6</f>
        <v>1.3231198478123018E-2</v>
      </c>
      <c r="L6">
        <f>K6+0.003</f>
        <v>1.6231198478123019E-2</v>
      </c>
      <c r="M6">
        <f t="shared" si="0"/>
        <v>2.4231198478123019E-2</v>
      </c>
      <c r="N6" s="2">
        <v>3.5714000000000003E-2</v>
      </c>
      <c r="O6" s="2">
        <v>3.44E-2</v>
      </c>
      <c r="P6">
        <f>O6*D6</f>
        <v>34.4</v>
      </c>
    </row>
    <row r="7" spans="2:25" x14ac:dyDescent="0.25">
      <c r="B7">
        <v>22</v>
      </c>
      <c r="C7">
        <v>23</v>
      </c>
      <c r="D7">
        <v>2000</v>
      </c>
      <c r="E7">
        <f>$C$11/C7</f>
        <v>5.1304347826086953</v>
      </c>
      <c r="F7">
        <v>5</v>
      </c>
      <c r="G7">
        <f>D7/F7</f>
        <v>400</v>
      </c>
      <c r="H7">
        <f>B7*C7*D7</f>
        <v>1012000</v>
      </c>
      <c r="I7">
        <f>H7/$H$8</f>
        <v>0.32086239695624602</v>
      </c>
      <c r="J7">
        <f>$F$11*I7</f>
        <v>32.342929613189597</v>
      </c>
      <c r="K7">
        <f>J7/D7</f>
        <v>1.6171464806594798E-2</v>
      </c>
      <c r="L7">
        <f>K7+0.003</f>
        <v>1.9171464806594797E-2</v>
      </c>
      <c r="M7">
        <f t="shared" si="0"/>
        <v>2.7171464806594797E-2</v>
      </c>
      <c r="N7" s="2">
        <v>4.0177999999999998E-2</v>
      </c>
      <c r="O7" s="2">
        <v>3.95E-2</v>
      </c>
      <c r="P7">
        <f>O7*D7</f>
        <v>79</v>
      </c>
    </row>
    <row r="8" spans="2:25" s="2" customFormat="1" x14ac:dyDescent="0.25">
      <c r="D8" s="2">
        <f>SUM(D3:D7)</f>
        <v>9000</v>
      </c>
      <c r="H8" s="2">
        <f>SUM(H3:H7)</f>
        <v>3154000</v>
      </c>
      <c r="I8" s="2">
        <f>SUM(I3:I7)</f>
        <v>1</v>
      </c>
      <c r="J8" s="2">
        <f>SUM(J3:J7)</f>
        <v>100.79999999999998</v>
      </c>
      <c r="L8" s="2">
        <f>0.003*D8</f>
        <v>27</v>
      </c>
      <c r="M8" s="2">
        <f t="shared" si="0"/>
        <v>27.007999999999999</v>
      </c>
      <c r="P8" s="2">
        <f>SUM(P3:P7)</f>
        <v>262.60000000000002</v>
      </c>
      <c r="Q8" s="2">
        <f>P8-L8-J8</f>
        <v>134.80000000000004</v>
      </c>
      <c r="R8" s="2">
        <f>Q8/2</f>
        <v>67.40000000000002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168</v>
      </c>
      <c r="F11">
        <f>E11*D11</f>
        <v>100.8</v>
      </c>
    </row>
    <row r="12" spans="2:25" x14ac:dyDescent="0.25">
      <c r="T12" t="s">
        <v>47</v>
      </c>
      <c r="U12">
        <f>SUM(U15:U19)</f>
        <v>168</v>
      </c>
      <c r="V12">
        <f>SUM(V15:V19)</f>
        <v>171</v>
      </c>
      <c r="W12">
        <f>SUM(W15:W19)</f>
        <v>367</v>
      </c>
      <c r="X12">
        <f>SUM(X15:X19)</f>
        <v>201</v>
      </c>
      <c r="Y12">
        <f>SUM(Y15:Y19)</f>
        <v>0</v>
      </c>
    </row>
    <row r="13" spans="2:25" x14ac:dyDescent="0.25">
      <c r="T13" t="s">
        <v>11</v>
      </c>
      <c r="U13">
        <f>G3</f>
        <v>333.33333333333331</v>
      </c>
      <c r="V13">
        <f>G4</f>
        <v>333.33333333333331</v>
      </c>
      <c r="W13">
        <f>G5+G6</f>
        <v>533.33333333333326</v>
      </c>
      <c r="X13">
        <f>G7</f>
        <v>400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/>
    </row>
    <row r="15" spans="2:25" x14ac:dyDescent="0.25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24</v>
      </c>
      <c r="U15">
        <f>$S$15*M15</f>
        <v>168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98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18</v>
      </c>
      <c r="N16">
        <v>5</v>
      </c>
      <c r="O16">
        <v>1</v>
      </c>
      <c r="S16">
        <v>19</v>
      </c>
      <c r="U16">
        <f>$S$16*M16</f>
        <v>0</v>
      </c>
      <c r="V16">
        <f>$S$16*N16</f>
        <v>95</v>
      </c>
      <c r="W16">
        <f>$S$16*O16</f>
        <v>19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94</v>
      </c>
      <c r="C17">
        <v>18</v>
      </c>
      <c r="D17">
        <v>18</v>
      </c>
      <c r="E17">
        <v>18</v>
      </c>
      <c r="F17">
        <v>18</v>
      </c>
      <c r="G17">
        <v>22</v>
      </c>
      <c r="O17">
        <v>4</v>
      </c>
      <c r="P17">
        <v>1</v>
      </c>
      <c r="S17">
        <v>87</v>
      </c>
      <c r="U17">
        <f>$S$17*M17</f>
        <v>0</v>
      </c>
      <c r="V17">
        <f>$S$17*N17</f>
        <v>0</v>
      </c>
      <c r="W17">
        <f>$S$17*O17</f>
        <v>348</v>
      </c>
      <c r="X17">
        <f>$S$17*P17</f>
        <v>87</v>
      </c>
      <c r="Y17">
        <f>$S$17*Q17</f>
        <v>0</v>
      </c>
    </row>
    <row r="18" spans="2:25" x14ac:dyDescent="0.25">
      <c r="B18">
        <f>SUM(C18:K18)</f>
        <v>98</v>
      </c>
      <c r="C18">
        <v>22</v>
      </c>
      <c r="D18">
        <v>22</v>
      </c>
      <c r="E18">
        <v>22</v>
      </c>
      <c r="F18">
        <v>16</v>
      </c>
      <c r="G18">
        <v>16</v>
      </c>
      <c r="N18">
        <v>2</v>
      </c>
      <c r="P18">
        <v>3</v>
      </c>
      <c r="S18">
        <v>38</v>
      </c>
      <c r="U18">
        <f>$S$18*M18</f>
        <v>0</v>
      </c>
      <c r="V18">
        <f>$S$18*N18</f>
        <v>76</v>
      </c>
      <c r="W18">
        <f>$S$18*O18</f>
        <v>0</v>
      </c>
      <c r="X18">
        <f>$S$18*P18</f>
        <v>114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8"/>
  <sheetViews>
    <sheetView workbookViewId="0">
      <selection sqref="A1:XFD1048576"/>
    </sheetView>
  </sheetViews>
  <sheetFormatPr defaultRowHeight="15" x14ac:dyDescent="0.25"/>
  <cols>
    <col min="2" max="2" width="9.28515625" bestFit="1" customWidth="1"/>
    <col min="3" max="3" width="9.85546875" customWidth="1"/>
    <col min="4" max="18" width="7.7109375" customWidth="1"/>
    <col min="19" max="19" width="9.28515625" bestFit="1" customWidth="1"/>
    <col min="20" max="24" width="7.7109375" customWidth="1"/>
  </cols>
  <sheetData>
    <row r="1" spans="2:24" x14ac:dyDescent="0.25">
      <c r="B1" t="s">
        <v>94</v>
      </c>
      <c r="I1" t="s">
        <v>7</v>
      </c>
      <c r="K1" t="s">
        <v>15</v>
      </c>
      <c r="L1" t="s">
        <v>3</v>
      </c>
      <c r="M1" t="s">
        <v>70</v>
      </c>
      <c r="P1" t="s">
        <v>24</v>
      </c>
    </row>
    <row r="2" spans="2:24" x14ac:dyDescent="0.25">
      <c r="C2" t="s">
        <v>1</v>
      </c>
      <c r="D2" t="s">
        <v>2</v>
      </c>
      <c r="F2" t="s">
        <v>15</v>
      </c>
      <c r="G2" t="s">
        <v>70</v>
      </c>
      <c r="I2">
        <v>62</v>
      </c>
      <c r="J2">
        <v>120</v>
      </c>
      <c r="K2">
        <v>0.6</v>
      </c>
      <c r="L2">
        <f>S10+S13+S14</f>
        <v>1056</v>
      </c>
      <c r="M2">
        <f>L2*K2</f>
        <v>633.6</v>
      </c>
      <c r="Q2" t="s">
        <v>64</v>
      </c>
    </row>
    <row r="3" spans="2:24" x14ac:dyDescent="0.25">
      <c r="B3" t="s">
        <v>95</v>
      </c>
      <c r="C3">
        <v>13</v>
      </c>
      <c r="D3">
        <v>17</v>
      </c>
      <c r="E3">
        <v>14000</v>
      </c>
      <c r="F3">
        <v>25.4</v>
      </c>
      <c r="G3">
        <f>F3*E3/1000</f>
        <v>355.6</v>
      </c>
      <c r="I3">
        <v>72</v>
      </c>
      <c r="J3">
        <v>120</v>
      </c>
      <c r="K3">
        <v>0.55000000000000004</v>
      </c>
      <c r="L3">
        <f>S11+S12</f>
        <v>389</v>
      </c>
      <c r="M3">
        <f>L3*K3</f>
        <v>213.95000000000002</v>
      </c>
      <c r="P3">
        <v>7</v>
      </c>
      <c r="Q3">
        <f>E3/P3</f>
        <v>2000</v>
      </c>
      <c r="R3">
        <v>2000</v>
      </c>
    </row>
    <row r="4" spans="2:24" x14ac:dyDescent="0.25">
      <c r="B4" t="s">
        <v>95</v>
      </c>
      <c r="C4">
        <v>14</v>
      </c>
      <c r="D4">
        <v>17</v>
      </c>
      <c r="E4">
        <v>14000</v>
      </c>
      <c r="F4">
        <v>28.4</v>
      </c>
      <c r="G4">
        <f>F4*E4/1000</f>
        <v>397.6</v>
      </c>
      <c r="K4" s="2"/>
      <c r="M4" s="2">
        <f>SUM(M2:M3)</f>
        <v>847.55000000000007</v>
      </c>
      <c r="P4">
        <v>7</v>
      </c>
      <c r="Q4">
        <f>E4/P4</f>
        <v>2000</v>
      </c>
      <c r="R4">
        <v>2000</v>
      </c>
    </row>
    <row r="5" spans="2:24" x14ac:dyDescent="0.25">
      <c r="B5" t="s">
        <v>95</v>
      </c>
      <c r="C5">
        <v>20</v>
      </c>
      <c r="D5">
        <v>10</v>
      </c>
      <c r="E5">
        <v>8000</v>
      </c>
      <c r="F5">
        <v>24.7</v>
      </c>
      <c r="G5">
        <f>F5*E5/1000</f>
        <v>197.6</v>
      </c>
      <c r="P5">
        <v>12</v>
      </c>
      <c r="Q5">
        <f>E5/P5</f>
        <v>666.66666666666663</v>
      </c>
      <c r="R5">
        <v>667</v>
      </c>
    </row>
    <row r="6" spans="2:24" x14ac:dyDescent="0.25">
      <c r="B6" t="s">
        <v>95</v>
      </c>
      <c r="C6">
        <v>22</v>
      </c>
      <c r="D6">
        <v>10</v>
      </c>
      <c r="E6">
        <v>10000</v>
      </c>
      <c r="F6">
        <v>24.349999999999998</v>
      </c>
      <c r="G6">
        <f>F6*E6/1000</f>
        <v>243.49999999999997</v>
      </c>
      <c r="P6">
        <v>12</v>
      </c>
      <c r="Q6">
        <f>E6/P6</f>
        <v>833.33333333333337</v>
      </c>
      <c r="R6">
        <v>834</v>
      </c>
      <c r="S6" s="2" t="s">
        <v>41</v>
      </c>
      <c r="T6" s="2"/>
      <c r="U6" s="2"/>
      <c r="V6" s="2">
        <f>V7-V8</f>
        <v>222</v>
      </c>
    </row>
    <row r="7" spans="2:24" x14ac:dyDescent="0.25">
      <c r="B7" t="s">
        <v>95</v>
      </c>
      <c r="C7">
        <v>24</v>
      </c>
      <c r="D7">
        <v>10</v>
      </c>
      <c r="E7">
        <v>5000</v>
      </c>
      <c r="F7">
        <v>30.4</v>
      </c>
      <c r="G7">
        <f>F7*E7/1000</f>
        <v>152</v>
      </c>
      <c r="P7">
        <v>12</v>
      </c>
      <c r="Q7">
        <f>E7/P7</f>
        <v>416.66666666666669</v>
      </c>
      <c r="R7">
        <v>417</v>
      </c>
      <c r="S7" t="s">
        <v>47</v>
      </c>
      <c r="T7">
        <f>SUM(T10:T14)</f>
        <v>2000</v>
      </c>
      <c r="U7">
        <f>SUM(U10:U14)</f>
        <v>2001</v>
      </c>
      <c r="V7">
        <f>SUM(V10:V14)</f>
        <v>889</v>
      </c>
      <c r="W7">
        <f>SUM(W10:W14)</f>
        <v>834</v>
      </c>
      <c r="X7">
        <f>SUM(X10:X14)</f>
        <v>417</v>
      </c>
    </row>
    <row r="8" spans="2:24" x14ac:dyDescent="0.25">
      <c r="E8" s="2">
        <f>SUM(E3:E7)</f>
        <v>51000</v>
      </c>
      <c r="G8" s="2">
        <f>SUM(G3:G7)</f>
        <v>1346.3</v>
      </c>
      <c r="S8" t="s">
        <v>11</v>
      </c>
      <c r="T8">
        <f>R3</f>
        <v>2000</v>
      </c>
      <c r="U8">
        <f>R4</f>
        <v>2000</v>
      </c>
      <c r="V8">
        <f>R5</f>
        <v>667</v>
      </c>
      <c r="W8">
        <f>R6</f>
        <v>834</v>
      </c>
      <c r="X8">
        <f>R7</f>
        <v>417</v>
      </c>
    </row>
    <row r="9" spans="2:24" x14ac:dyDescent="0.25">
      <c r="B9" t="s">
        <v>96</v>
      </c>
      <c r="M9">
        <v>13</v>
      </c>
      <c r="N9">
        <v>14</v>
      </c>
      <c r="O9">
        <v>20</v>
      </c>
      <c r="P9">
        <v>22</v>
      </c>
      <c r="Q9">
        <v>24</v>
      </c>
      <c r="S9" s="2" t="s">
        <v>7</v>
      </c>
      <c r="T9" s="2">
        <v>13</v>
      </c>
      <c r="U9" s="2">
        <v>14</v>
      </c>
      <c r="V9" s="2">
        <v>20</v>
      </c>
      <c r="W9" s="2">
        <v>22</v>
      </c>
      <c r="X9" s="2">
        <v>24</v>
      </c>
    </row>
    <row r="10" spans="2:24" x14ac:dyDescent="0.25">
      <c r="B10" s="2">
        <f>SUM(C10:K10)</f>
        <v>72</v>
      </c>
      <c r="C10">
        <v>13</v>
      </c>
      <c r="D10">
        <v>13</v>
      </c>
      <c r="E10">
        <v>13</v>
      </c>
      <c r="F10">
        <v>13</v>
      </c>
      <c r="G10">
        <v>20</v>
      </c>
      <c r="M10">
        <v>4</v>
      </c>
      <c r="O10">
        <v>1</v>
      </c>
      <c r="S10" s="2">
        <v>500</v>
      </c>
      <c r="T10">
        <f>$S$10*M10</f>
        <v>2000</v>
      </c>
      <c r="U10">
        <f>$S$10*N10</f>
        <v>0</v>
      </c>
      <c r="V10">
        <f>$S$10*O10</f>
        <v>500</v>
      </c>
      <c r="W10">
        <f>$S$10*P10</f>
        <v>0</v>
      </c>
      <c r="X10">
        <f>$S$10*Q10</f>
        <v>0</v>
      </c>
    </row>
    <row r="11" spans="2:24" x14ac:dyDescent="0.25">
      <c r="B11" s="2">
        <f>SUM(C11:K11)</f>
        <v>62</v>
      </c>
      <c r="C11">
        <v>14</v>
      </c>
      <c r="D11">
        <v>14</v>
      </c>
      <c r="E11">
        <v>14</v>
      </c>
      <c r="F11">
        <v>20</v>
      </c>
      <c r="N11">
        <v>3</v>
      </c>
      <c r="O11">
        <v>1</v>
      </c>
      <c r="S11" s="2">
        <v>389</v>
      </c>
      <c r="T11">
        <f>$S$11*M11</f>
        <v>0</v>
      </c>
      <c r="U11">
        <f>$S$11*N11</f>
        <v>1167</v>
      </c>
      <c r="V11">
        <f>$S$11*O11</f>
        <v>389</v>
      </c>
      <c r="W11">
        <f>$S$11*P11</f>
        <v>0</v>
      </c>
      <c r="X11">
        <f>$S$11*Q11</f>
        <v>0</v>
      </c>
    </row>
    <row r="12" spans="2:24" x14ac:dyDescent="0.25">
      <c r="B12" s="2">
        <f>SUM(C12:K12)</f>
        <v>62</v>
      </c>
      <c r="C12">
        <v>20</v>
      </c>
      <c r="D12">
        <v>20</v>
      </c>
      <c r="E12">
        <v>22</v>
      </c>
      <c r="O12">
        <v>2</v>
      </c>
      <c r="P12">
        <v>1</v>
      </c>
      <c r="S12" s="2">
        <v>0</v>
      </c>
      <c r="T12">
        <f>$S$12*M12</f>
        <v>0</v>
      </c>
      <c r="U12">
        <f>$S$12*N12</f>
        <v>0</v>
      </c>
      <c r="V12">
        <f>$S$12*O12</f>
        <v>0</v>
      </c>
      <c r="W12">
        <f>$S$12*P12</f>
        <v>0</v>
      </c>
      <c r="X12">
        <f>$S$12*Q12</f>
        <v>0</v>
      </c>
    </row>
    <row r="13" spans="2:24" x14ac:dyDescent="0.25">
      <c r="B13" s="2">
        <f>SUM(C13:K13)</f>
        <v>72</v>
      </c>
      <c r="C13">
        <v>22</v>
      </c>
      <c r="D13">
        <v>22</v>
      </c>
      <c r="E13">
        <v>14</v>
      </c>
      <c r="F13">
        <v>14</v>
      </c>
      <c r="N13">
        <v>2</v>
      </c>
      <c r="P13">
        <v>2</v>
      </c>
      <c r="S13" s="2">
        <v>417</v>
      </c>
      <c r="T13">
        <f>$S$13*M13</f>
        <v>0</v>
      </c>
      <c r="U13">
        <f>$S$13*N13</f>
        <v>834</v>
      </c>
      <c r="V13">
        <f>$S$13*O13</f>
        <v>0</v>
      </c>
      <c r="W13">
        <f>$S$13*P13</f>
        <v>834</v>
      </c>
      <c r="X13">
        <f>$S$13*Q13</f>
        <v>0</v>
      </c>
    </row>
    <row r="14" spans="2:24" x14ac:dyDescent="0.25">
      <c r="B14" s="2">
        <f>SUM(C14:K14)</f>
        <v>72</v>
      </c>
      <c r="C14">
        <v>24</v>
      </c>
      <c r="D14">
        <v>24</v>
      </c>
      <c r="E14">
        <v>24</v>
      </c>
      <c r="Q14">
        <v>3</v>
      </c>
      <c r="S14" s="2">
        <v>139</v>
      </c>
      <c r="T14">
        <f>$S$14*M14</f>
        <v>0</v>
      </c>
      <c r="U14">
        <f>$S$14*N14</f>
        <v>0</v>
      </c>
      <c r="V14">
        <f>$S$14*O14</f>
        <v>0</v>
      </c>
      <c r="W14">
        <f>$S$14*P14</f>
        <v>0</v>
      </c>
      <c r="X14">
        <f>$S$14*Q14</f>
        <v>417</v>
      </c>
    </row>
    <row r="15" spans="2:24" x14ac:dyDescent="0.25">
      <c r="S15" s="2" t="s">
        <v>7</v>
      </c>
    </row>
    <row r="16" spans="2:24" x14ac:dyDescent="0.25">
      <c r="C16" s="2" t="s">
        <v>30</v>
      </c>
    </row>
    <row r="17" spans="2:4" x14ac:dyDescent="0.25">
      <c r="B17" s="2" t="s">
        <v>97</v>
      </c>
      <c r="D17" s="2" t="s">
        <v>98</v>
      </c>
    </row>
    <row r="18" spans="2:4" x14ac:dyDescent="0.25">
      <c r="B18" s="2">
        <f>E8*2/1000</f>
        <v>102</v>
      </c>
      <c r="C18">
        <f>G8-M4-B18</f>
        <v>396.74999999999989</v>
      </c>
      <c r="D18" s="2">
        <f>C18/2</f>
        <v>198.37499999999994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Y24"/>
  <sheetViews>
    <sheetView topLeftCell="A8" workbookViewId="0">
      <selection activeCell="E26" sqref="E26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12</v>
      </c>
      <c r="C3">
        <v>15</v>
      </c>
      <c r="D3">
        <v>4000</v>
      </c>
      <c r="E3">
        <f>$C$11/C3</f>
        <v>7.8666666666666663</v>
      </c>
      <c r="F3">
        <v>8</v>
      </c>
      <c r="G3">
        <f>D3/F3</f>
        <v>500</v>
      </c>
      <c r="H3">
        <f>B3*C3*D3</f>
        <v>720000</v>
      </c>
      <c r="I3">
        <f>H3/$H$8</f>
        <v>0.13729977116704806</v>
      </c>
      <c r="J3">
        <f>$F$11*I3</f>
        <v>37.729977116704809</v>
      </c>
      <c r="K3">
        <f>J3/D3</f>
        <v>9.4324942791762026E-3</v>
      </c>
      <c r="L3">
        <f>K3+0.003</f>
        <v>1.2432494279176202E-2</v>
      </c>
      <c r="M3">
        <f>L3+0.008</f>
        <v>2.0432494279176202E-2</v>
      </c>
      <c r="N3" s="2">
        <v>1.9E-2</v>
      </c>
      <c r="O3" s="2"/>
    </row>
    <row r="4" spans="2:25" x14ac:dyDescent="0.25">
      <c r="B4">
        <v>14</v>
      </c>
      <c r="C4">
        <v>14</v>
      </c>
      <c r="D4">
        <v>8000</v>
      </c>
      <c r="E4">
        <f>$C$11/C4</f>
        <v>8.4285714285714288</v>
      </c>
      <c r="F4">
        <v>8</v>
      </c>
      <c r="G4">
        <f>D4/F4</f>
        <v>1000</v>
      </c>
      <c r="H4">
        <f>B4*C4*D4</f>
        <v>1568000</v>
      </c>
      <c r="I4">
        <f>H4/$H$8</f>
        <v>0.2990083905415713</v>
      </c>
      <c r="J4">
        <f>$F$11*I4</f>
        <v>82.167505720823797</v>
      </c>
      <c r="K4">
        <f>J4/D4</f>
        <v>1.0270938215102974E-2</v>
      </c>
      <c r="L4">
        <f>K4+0.003</f>
        <v>1.3270938215102973E-2</v>
      </c>
      <c r="M4">
        <f>L4+0.008</f>
        <v>2.1270938215102973E-2</v>
      </c>
      <c r="N4" s="2">
        <v>0.02</v>
      </c>
      <c r="O4" s="2"/>
    </row>
    <row r="5" spans="2:25" x14ac:dyDescent="0.25">
      <c r="B5">
        <v>15</v>
      </c>
      <c r="C5">
        <v>15</v>
      </c>
      <c r="D5">
        <v>8000</v>
      </c>
      <c r="E5">
        <f>$C$11/C5</f>
        <v>7.8666666666666663</v>
      </c>
      <c r="F5">
        <v>8</v>
      </c>
      <c r="G5">
        <f>D5/F5</f>
        <v>1000</v>
      </c>
      <c r="H5">
        <f>B5*C5*D5</f>
        <v>1800000</v>
      </c>
      <c r="I5">
        <f>H5/$H$8</f>
        <v>0.34324942791762014</v>
      </c>
      <c r="J5">
        <f>$F$11*I5</f>
        <v>94.324942791762012</v>
      </c>
      <c r="K5">
        <f>J5/D5</f>
        <v>1.1790617848970252E-2</v>
      </c>
      <c r="L5">
        <f>K5+0.003</f>
        <v>1.4790617848970251E-2</v>
      </c>
      <c r="M5">
        <f>L5+0.008</f>
        <v>2.2790617848970251E-2</v>
      </c>
      <c r="N5" s="2">
        <v>2.2499999999999999E-2</v>
      </c>
      <c r="O5" s="2"/>
    </row>
    <row r="6" spans="2:25" x14ac:dyDescent="0.25">
      <c r="B6">
        <v>17</v>
      </c>
      <c r="C6">
        <v>17</v>
      </c>
      <c r="D6">
        <v>4000</v>
      </c>
      <c r="E6">
        <f>$C$11/C6</f>
        <v>6.9411764705882355</v>
      </c>
      <c r="F6">
        <v>7</v>
      </c>
      <c r="G6">
        <f>D6/F6</f>
        <v>571.42857142857144</v>
      </c>
      <c r="H6">
        <f>B6*C6*D6</f>
        <v>1156000</v>
      </c>
      <c r="I6">
        <f>H6/$H$8</f>
        <v>0.2204424103737605</v>
      </c>
      <c r="J6">
        <f>$F$11*I6</f>
        <v>60.577574370709385</v>
      </c>
      <c r="K6">
        <f>J6/D6</f>
        <v>1.5144393592677345E-2</v>
      </c>
      <c r="L6">
        <f>K6+0.003</f>
        <v>1.8144393592677346E-2</v>
      </c>
      <c r="M6">
        <f>L6+0.008</f>
        <v>2.6144393592677347E-2</v>
      </c>
      <c r="N6" s="2">
        <v>2.6100000000000002E-2</v>
      </c>
    </row>
    <row r="7" spans="2:25" x14ac:dyDescent="0.25">
      <c r="N7" s="2"/>
    </row>
    <row r="8" spans="2:25" x14ac:dyDescent="0.25">
      <c r="H8">
        <f>SUM(H3:H7)</f>
        <v>5244000</v>
      </c>
      <c r="I8">
        <f>SUM(I3:I7)</f>
        <v>1</v>
      </c>
      <c r="J8">
        <f>SUM(J3:J7)</f>
        <v>274.8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458</v>
      </c>
      <c r="F11">
        <f>E11*D11</f>
        <v>274.8</v>
      </c>
    </row>
    <row r="12" spans="2:25" x14ac:dyDescent="0.25">
      <c r="T12" t="s">
        <v>47</v>
      </c>
      <c r="U12">
        <f>SUM(U15:U19)</f>
        <v>515</v>
      </c>
      <c r="V12">
        <f>SUM(V15:V19)</f>
        <v>1001</v>
      </c>
      <c r="W12">
        <f>SUM(W15:W19)</f>
        <v>1000</v>
      </c>
      <c r="X12">
        <f>SUM(X15:X19)</f>
        <v>575</v>
      </c>
      <c r="Y12">
        <f>SUM(Y15:Y19)</f>
        <v>0</v>
      </c>
    </row>
    <row r="13" spans="2:25" x14ac:dyDescent="0.25">
      <c r="T13" t="s">
        <v>11</v>
      </c>
      <c r="U13">
        <f>G3</f>
        <v>500</v>
      </c>
      <c r="V13">
        <f>G4</f>
        <v>1000</v>
      </c>
      <c r="W13">
        <f>G5</f>
        <v>1000</v>
      </c>
      <c r="X13">
        <f>G6</f>
        <v>571.42857142857144</v>
      </c>
    </row>
    <row r="14" spans="2:25" x14ac:dyDescent="0.25">
      <c r="B14" t="s">
        <v>121</v>
      </c>
      <c r="M14" s="2">
        <v>12</v>
      </c>
      <c r="N14" s="2">
        <v>14</v>
      </c>
      <c r="O14" s="2">
        <v>15</v>
      </c>
      <c r="P14" s="2">
        <v>17</v>
      </c>
      <c r="Q14" s="2"/>
      <c r="R14" s="2"/>
      <c r="S14" s="2" t="s">
        <v>7</v>
      </c>
      <c r="U14" s="2">
        <v>13</v>
      </c>
      <c r="V14" s="2">
        <v>14</v>
      </c>
      <c r="W14" s="2">
        <v>15</v>
      </c>
      <c r="X14" s="2">
        <v>17</v>
      </c>
      <c r="Y14" s="2">
        <v>23</v>
      </c>
    </row>
    <row r="15" spans="2:25" x14ac:dyDescent="0.25">
      <c r="B15">
        <f>SUM(C15:K15)</f>
        <v>96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M15">
        <v>8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98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N16">
        <v>7</v>
      </c>
      <c r="S16">
        <v>143</v>
      </c>
      <c r="U16">
        <f>$S$16*M16</f>
        <v>0</v>
      </c>
      <c r="V16">
        <f>$S$16*N16</f>
        <v>1001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99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12</v>
      </c>
      <c r="I17">
        <v>12</v>
      </c>
      <c r="M17">
        <v>2</v>
      </c>
      <c r="O17">
        <v>5</v>
      </c>
      <c r="S17">
        <v>200</v>
      </c>
      <c r="U17">
        <f>$S$17*M17</f>
        <v>400</v>
      </c>
      <c r="V17">
        <f>$S$17*N17</f>
        <v>0</v>
      </c>
      <c r="W17">
        <f>$S$17*O17</f>
        <v>1000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97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12</v>
      </c>
      <c r="M18">
        <v>1</v>
      </c>
      <c r="P18">
        <v>5</v>
      </c>
      <c r="S18">
        <v>115</v>
      </c>
      <c r="U18">
        <f>$S$18*M18</f>
        <v>115</v>
      </c>
      <c r="V18">
        <f>$S$18*N18</f>
        <v>0</v>
      </c>
      <c r="W18">
        <f>$S$18*O18</f>
        <v>0</v>
      </c>
      <c r="X18">
        <f>$S$18*P18</f>
        <v>575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C20" t="s">
        <v>1</v>
      </c>
      <c r="D20" t="s">
        <v>2</v>
      </c>
      <c r="E20" t="s">
        <v>15</v>
      </c>
      <c r="S20">
        <f>SUM(S15:S19)</f>
        <v>458</v>
      </c>
    </row>
    <row r="21" spans="2:25" x14ac:dyDescent="0.25">
      <c r="C21">
        <v>12</v>
      </c>
      <c r="D21">
        <v>15</v>
      </c>
      <c r="E21" s="2">
        <v>1.9E-2</v>
      </c>
    </row>
    <row r="22" spans="2:25" x14ac:dyDescent="0.25">
      <c r="C22">
        <v>14</v>
      </c>
      <c r="D22">
        <v>14</v>
      </c>
      <c r="E22" s="2">
        <v>0.02</v>
      </c>
    </row>
    <row r="23" spans="2:25" x14ac:dyDescent="0.25">
      <c r="C23">
        <v>15</v>
      </c>
      <c r="D23">
        <v>15</v>
      </c>
      <c r="E23" s="2">
        <v>2.2499999999999999E-2</v>
      </c>
    </row>
    <row r="24" spans="2:25" x14ac:dyDescent="0.25">
      <c r="C24">
        <v>17</v>
      </c>
      <c r="D24">
        <v>17</v>
      </c>
      <c r="E24" s="2">
        <v>2.6100000000000002E-2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Y20"/>
  <sheetViews>
    <sheetView workbookViewId="0">
      <selection activeCell="H12" sqref="H12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M3" s="2"/>
      <c r="N3" s="2"/>
      <c r="O3" s="2"/>
    </row>
    <row r="4" spans="2:25" x14ac:dyDescent="0.25">
      <c r="M4" s="2"/>
      <c r="N4" s="2"/>
      <c r="O4" s="2"/>
    </row>
    <row r="5" spans="2:25" x14ac:dyDescent="0.25">
      <c r="B5">
        <v>18</v>
      </c>
      <c r="C5">
        <v>19</v>
      </c>
      <c r="D5">
        <v>5000</v>
      </c>
      <c r="E5">
        <f>$C$11/C5</f>
        <v>6.2105263157894735</v>
      </c>
      <c r="F5">
        <v>6</v>
      </c>
      <c r="G5">
        <f>D5/F5</f>
        <v>833.33333333333337</v>
      </c>
      <c r="H5">
        <f>B5*C5*D5</f>
        <v>1710000</v>
      </c>
      <c r="I5">
        <f>H5/$H$8</f>
        <v>1</v>
      </c>
      <c r="J5">
        <f>$F$11*I5</f>
        <v>100.2</v>
      </c>
      <c r="K5">
        <f>J5/D5</f>
        <v>2.0040000000000002E-2</v>
      </c>
      <c r="L5">
        <f>K5+0.003</f>
        <v>2.3040000000000001E-2</v>
      </c>
      <c r="M5" s="2">
        <f>L5+0.008</f>
        <v>3.1040000000000002E-2</v>
      </c>
      <c r="N5" s="2">
        <f>L5+0.005</f>
        <v>2.8040000000000002E-2</v>
      </c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1710000</v>
      </c>
      <c r="I8">
        <f>SUM(I3:I7)</f>
        <v>1</v>
      </c>
      <c r="J8">
        <f>SUM(J3:J7)</f>
        <v>100.2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167</v>
      </c>
      <c r="F11">
        <f>E11*D11</f>
        <v>100.2</v>
      </c>
    </row>
    <row r="12" spans="2:25" x14ac:dyDescent="0.25">
      <c r="T12" t="s">
        <v>47</v>
      </c>
      <c r="U12">
        <f>SUM(U15:U19)</f>
        <v>0</v>
      </c>
      <c r="V12">
        <f>SUM(V15:V19)</f>
        <v>0</v>
      </c>
      <c r="W12">
        <f>SUM(W15:W19)</f>
        <v>835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0</v>
      </c>
      <c r="V13">
        <f>G4</f>
        <v>0</v>
      </c>
      <c r="W13">
        <f>G5</f>
        <v>833.33333333333337</v>
      </c>
      <c r="X13">
        <f>G6</f>
        <v>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25">
      <c r="B15">
        <f>SUM(C15:K15)</f>
        <v>90</v>
      </c>
      <c r="C15">
        <v>18</v>
      </c>
      <c r="D15">
        <v>18</v>
      </c>
      <c r="E15">
        <v>18</v>
      </c>
      <c r="F15">
        <v>18</v>
      </c>
      <c r="G15">
        <v>18</v>
      </c>
      <c r="O15">
        <v>5</v>
      </c>
      <c r="S15">
        <v>167</v>
      </c>
      <c r="U15">
        <f>$S$15*M15</f>
        <v>0</v>
      </c>
      <c r="V15">
        <f>$S$15*N15</f>
        <v>0</v>
      </c>
      <c r="W15">
        <f>$S$15*O15</f>
        <v>835</v>
      </c>
      <c r="X15">
        <f>$S$15*P15</f>
        <v>0</v>
      </c>
      <c r="Y15">
        <f>$S$15*Q15</f>
        <v>0</v>
      </c>
    </row>
    <row r="16" spans="2:25" x14ac:dyDescent="0.25">
      <c r="B16">
        <f>SUM(C16:K16)</f>
        <v>0</v>
      </c>
      <c r="S16">
        <v>0</v>
      </c>
      <c r="U16">
        <f>$S$16*M16</f>
        <v>0</v>
      </c>
      <c r="V16">
        <f>$S$16*N16</f>
        <v>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167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Y20"/>
  <sheetViews>
    <sheetView workbookViewId="0">
      <selection activeCell="K4" sqref="K4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16</v>
      </c>
      <c r="D3">
        <v>5000</v>
      </c>
      <c r="E3">
        <f>$C$11/C3</f>
        <v>8</v>
      </c>
      <c r="F3">
        <v>8</v>
      </c>
      <c r="G3">
        <f>D3/F3</f>
        <v>625</v>
      </c>
      <c r="H3">
        <f>B3*C3*D3</f>
        <v>1120000</v>
      </c>
      <c r="I3">
        <f>H3/$H$8</f>
        <v>0.20588235294117646</v>
      </c>
      <c r="J3">
        <f>$F$11*I3</f>
        <v>83.644235294117649</v>
      </c>
      <c r="K3">
        <f>J3/D3</f>
        <v>1.6728847058823531E-2</v>
      </c>
      <c r="L3">
        <f>K3+0.003</f>
        <v>1.972884705882353E-2</v>
      </c>
      <c r="M3" s="2">
        <f>L3+0.008</f>
        <v>2.772884705882353E-2</v>
      </c>
      <c r="N3" s="2">
        <f>L3+0.005</f>
        <v>2.4728847058823531E-2</v>
      </c>
      <c r="O3" s="2"/>
    </row>
    <row r="4" spans="2:25" x14ac:dyDescent="0.25">
      <c r="B4">
        <v>16</v>
      </c>
      <c r="C4">
        <v>18</v>
      </c>
      <c r="D4">
        <v>15000</v>
      </c>
      <c r="E4">
        <f>$C$11/C4</f>
        <v>7.1111111111111107</v>
      </c>
      <c r="F4">
        <v>7</v>
      </c>
      <c r="G4">
        <f>D4/F4</f>
        <v>2142.8571428571427</v>
      </c>
      <c r="H4">
        <f>B4*C4*D4</f>
        <v>4320000</v>
      </c>
      <c r="I4">
        <f>H4/$H$8</f>
        <v>0.79411764705882348</v>
      </c>
      <c r="J4">
        <f>$F$11*I4</f>
        <v>322.62776470588238</v>
      </c>
      <c r="K4">
        <f>J4/D4</f>
        <v>2.1508517647058824E-2</v>
      </c>
      <c r="L4">
        <f>K4+0.003</f>
        <v>2.4508517647058824E-2</v>
      </c>
      <c r="M4" s="2">
        <f>L4+0.008</f>
        <v>3.2508517647058824E-2</v>
      </c>
      <c r="N4" s="2">
        <f>L4+0.005</f>
        <v>2.9508517647058825E-2</v>
      </c>
      <c r="O4" s="2"/>
    </row>
    <row r="5" spans="2:25" x14ac:dyDescent="0.25">
      <c r="M5" s="2"/>
      <c r="N5" s="2"/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5440000</v>
      </c>
      <c r="I8">
        <f>SUM(I3:I7)</f>
        <v>1</v>
      </c>
      <c r="J8">
        <f>SUM(J3:J7)</f>
        <v>406.27200000000005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384</v>
      </c>
      <c r="F11">
        <f>E11*D11</f>
        <v>406.27200000000005</v>
      </c>
    </row>
    <row r="12" spans="2:25" x14ac:dyDescent="0.25">
      <c r="T12" t="s">
        <v>47</v>
      </c>
      <c r="U12">
        <f>SUM(U15:U19)</f>
        <v>630</v>
      </c>
      <c r="V12">
        <f>SUM(V15:V19)</f>
        <v>2148</v>
      </c>
      <c r="W12">
        <f>SUM(W15:W19)</f>
        <v>0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625</v>
      </c>
      <c r="V13">
        <f>G4</f>
        <v>2142.8571428571427</v>
      </c>
      <c r="W13">
        <f>G5+G6</f>
        <v>0</v>
      </c>
      <c r="X13">
        <f>G7</f>
        <v>0</v>
      </c>
    </row>
    <row r="14" spans="2:25" x14ac:dyDescent="0.25">
      <c r="B14" t="s">
        <v>121</v>
      </c>
      <c r="M14" s="2">
        <v>14</v>
      </c>
      <c r="N14" s="2">
        <v>16</v>
      </c>
      <c r="O14" s="2"/>
      <c r="P14" s="2"/>
      <c r="Q14" s="2"/>
      <c r="R14" s="2"/>
      <c r="S14" s="2" t="s">
        <v>7</v>
      </c>
      <c r="U14" s="2">
        <v>14</v>
      </c>
      <c r="V14" s="2">
        <v>16</v>
      </c>
      <c r="W14" s="2"/>
      <c r="X14" s="2"/>
      <c r="Y14" s="2"/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90</v>
      </c>
      <c r="U15">
        <f>$S$15*M15</f>
        <v>630</v>
      </c>
      <c r="V15">
        <f>$S$15*N15</f>
        <v>90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112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N16">
        <v>7</v>
      </c>
      <c r="S16">
        <v>294</v>
      </c>
      <c r="U16">
        <f>$S$16*M16</f>
        <v>0</v>
      </c>
      <c r="V16">
        <f>$S$16*N16</f>
        <v>2058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Y20"/>
  <sheetViews>
    <sheetView workbookViewId="0">
      <selection activeCell="L4" sqref="L4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16</v>
      </c>
      <c r="D3">
        <v>4000</v>
      </c>
      <c r="E3">
        <f>$C$11/C3</f>
        <v>8</v>
      </c>
      <c r="F3">
        <v>8</v>
      </c>
      <c r="G3">
        <f>D3/F3</f>
        <v>500</v>
      </c>
      <c r="H3">
        <f>B3*C3*D3</f>
        <v>896000</v>
      </c>
      <c r="I3">
        <f>H3/$H$8</f>
        <v>0.17665615141955837</v>
      </c>
      <c r="J3">
        <f>$F$11*I3</f>
        <v>74.667255520504725</v>
      </c>
      <c r="K3">
        <f>J3/D3</f>
        <v>1.8666813880126181E-2</v>
      </c>
      <c r="L3">
        <f>K3+0.003</f>
        <v>2.166681388012618E-2</v>
      </c>
      <c r="M3" s="2">
        <f>L3+0.008</f>
        <v>2.966681388012618E-2</v>
      </c>
      <c r="N3" s="2">
        <f>L3+0.005</f>
        <v>2.6666813880126181E-2</v>
      </c>
      <c r="O3" s="2"/>
    </row>
    <row r="4" spans="2:25" x14ac:dyDescent="0.25">
      <c r="B4">
        <v>16</v>
      </c>
      <c r="C4">
        <v>18</v>
      </c>
      <c r="D4">
        <v>12000</v>
      </c>
      <c r="E4">
        <f>$C$11/C4</f>
        <v>7.1111111111111107</v>
      </c>
      <c r="F4">
        <v>7</v>
      </c>
      <c r="G4">
        <f>D4/F4</f>
        <v>1714.2857142857142</v>
      </c>
      <c r="H4">
        <f>B4*C4*D4</f>
        <v>3456000</v>
      </c>
      <c r="I4">
        <f>H4/$H$8</f>
        <v>0.68138801261829651</v>
      </c>
      <c r="J4">
        <f>$F$11*I4</f>
        <v>288.00227129337537</v>
      </c>
      <c r="K4">
        <f>J4/D4</f>
        <v>2.4000189274447949E-2</v>
      </c>
      <c r="L4">
        <f>K4+0.003</f>
        <v>2.7000189274447948E-2</v>
      </c>
      <c r="M4" s="2">
        <f>L4+0.008</f>
        <v>3.5000189274447951E-2</v>
      </c>
      <c r="N4" s="2">
        <f>L4+0.005</f>
        <v>3.2000189274447949E-2</v>
      </c>
      <c r="O4" s="2"/>
    </row>
    <row r="5" spans="2:25" x14ac:dyDescent="0.25">
      <c r="B5">
        <v>18</v>
      </c>
      <c r="C5">
        <v>20</v>
      </c>
      <c r="D5">
        <v>2000</v>
      </c>
      <c r="E5">
        <f>$C$11/C5</f>
        <v>6.4</v>
      </c>
      <c r="F5">
        <v>6</v>
      </c>
      <c r="G5">
        <f>D5/F5</f>
        <v>333.33333333333331</v>
      </c>
      <c r="H5">
        <f>B5*C5*D5</f>
        <v>720000</v>
      </c>
      <c r="I5">
        <f>H5/$H$8</f>
        <v>0.14195583596214512</v>
      </c>
      <c r="J5">
        <f>$F$11*I5</f>
        <v>60.000473186119869</v>
      </c>
      <c r="K5">
        <f>J5/D5</f>
        <v>3.0000236593059934E-2</v>
      </c>
      <c r="L5">
        <f>K5+0.003</f>
        <v>3.3000236593059937E-2</v>
      </c>
      <c r="M5" s="2">
        <f>L5+0.008</f>
        <v>4.1000236593059937E-2</v>
      </c>
      <c r="N5" s="2">
        <f>L5+0.005</f>
        <v>3.8000236593059934E-2</v>
      </c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5072000</v>
      </c>
      <c r="I8">
        <f>SUM(I3:I7)</f>
        <v>1</v>
      </c>
      <c r="J8">
        <f>SUM(J3:J7)</f>
        <v>422.66999999999996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1.1579999999999999</v>
      </c>
      <c r="E11">
        <f>S20</f>
        <v>365</v>
      </c>
      <c r="F11">
        <f>E11*D11</f>
        <v>422.66999999999996</v>
      </c>
    </row>
    <row r="12" spans="2:25" x14ac:dyDescent="0.25">
      <c r="T12" t="s">
        <v>47</v>
      </c>
      <c r="U12">
        <f>SUM(U15:U19)</f>
        <v>505</v>
      </c>
      <c r="V12">
        <f>SUM(V15:V19)</f>
        <v>1783</v>
      </c>
      <c r="W12">
        <f>SUM(W15:W19)</f>
        <v>334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500</v>
      </c>
      <c r="V13">
        <f>G4</f>
        <v>1714.2857142857142</v>
      </c>
      <c r="W13">
        <f>G5+G6</f>
        <v>333.33333333333331</v>
      </c>
      <c r="X13">
        <f>G7</f>
        <v>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67</v>
      </c>
      <c r="U15">
        <f>$S$15*M15</f>
        <v>469</v>
      </c>
      <c r="V15">
        <f>$S$15*N15</f>
        <v>67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286</v>
      </c>
      <c r="U16">
        <f>$S$16*M16</f>
        <v>0</v>
      </c>
      <c r="V16">
        <f>$S$16*N16</f>
        <v>1716</v>
      </c>
      <c r="W16">
        <f>$S$16*O16</f>
        <v>286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18</v>
      </c>
      <c r="D17">
        <v>18</v>
      </c>
      <c r="E17">
        <v>18</v>
      </c>
      <c r="F17">
        <v>18</v>
      </c>
      <c r="G17">
        <v>14</v>
      </c>
      <c r="H17">
        <v>14</v>
      </c>
      <c r="I17">
        <v>14</v>
      </c>
      <c r="M17">
        <v>3</v>
      </c>
      <c r="O17">
        <v>4</v>
      </c>
      <c r="S17">
        <v>12</v>
      </c>
      <c r="U17">
        <f>$S$17*M17</f>
        <v>36</v>
      </c>
      <c r="V17">
        <f>$S$17*N17</f>
        <v>0</v>
      </c>
      <c r="W17">
        <f>$S$17*O17</f>
        <v>48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Y20"/>
  <sheetViews>
    <sheetView workbookViewId="0">
      <selection activeCell="J10" sqref="J10:M10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6.5555555555555554</v>
      </c>
      <c r="F3">
        <v>6</v>
      </c>
      <c r="G3">
        <f>D3/F3</f>
        <v>833.33333333333337</v>
      </c>
      <c r="H3">
        <f>B3*C3*D3</f>
        <v>1260000</v>
      </c>
      <c r="I3">
        <f>H3/$H$8</f>
        <v>0.109375</v>
      </c>
      <c r="J3">
        <f>$F$11*I3</f>
        <v>72.581249999999997</v>
      </c>
      <c r="K3">
        <f>J3/D3</f>
        <v>1.451625E-2</v>
      </c>
      <c r="L3">
        <f>K3+0.003</f>
        <v>1.7516250000000001E-2</v>
      </c>
      <c r="M3" s="2">
        <f>L3+0.008</f>
        <v>2.5516250000000001E-2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6.5555555555555554</v>
      </c>
      <c r="F4">
        <v>6</v>
      </c>
      <c r="G4">
        <f>D4/F4</f>
        <v>1333.3333333333333</v>
      </c>
      <c r="H4">
        <f>B4*C4*D4</f>
        <v>2160000</v>
      </c>
      <c r="I4">
        <f>H4/$H$8</f>
        <v>0.1875</v>
      </c>
      <c r="J4">
        <f>$F$11*I4</f>
        <v>124.42500000000001</v>
      </c>
      <c r="K4">
        <f>J4/D4</f>
        <v>1.5553125000000001E-2</v>
      </c>
      <c r="L4">
        <f>K4+0.003</f>
        <v>1.8553125E-2</v>
      </c>
      <c r="M4" s="2">
        <f>L4+0.008</f>
        <v>2.6553125E-2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6.5555555555555554</v>
      </c>
      <c r="F5">
        <v>6</v>
      </c>
      <c r="G5">
        <f>D5/F5</f>
        <v>2333.3333333333335</v>
      </c>
      <c r="H5">
        <f>B5*C5*D5</f>
        <v>4032000</v>
      </c>
      <c r="I5">
        <f>H5/$H$8</f>
        <v>0.35</v>
      </c>
      <c r="J5">
        <f>$F$11*I5</f>
        <v>232.26</v>
      </c>
      <c r="K5">
        <f>J5/D5</f>
        <v>1.6590000000000001E-2</v>
      </c>
      <c r="L5">
        <f>K5+0.003</f>
        <v>1.959E-2</v>
      </c>
      <c r="M5" s="2">
        <f>L5+0.008</f>
        <v>2.759E-2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6.5555555555555554</v>
      </c>
      <c r="F6">
        <v>6</v>
      </c>
      <c r="G6">
        <f>D6/F6</f>
        <v>1333.3333333333333</v>
      </c>
      <c r="H6">
        <f>B6*C6*D6</f>
        <v>2448000</v>
      </c>
      <c r="I6">
        <f>H6/$H$8</f>
        <v>0.21249999999999999</v>
      </c>
      <c r="J6">
        <f>$F$11*I6</f>
        <v>141.01500000000001</v>
      </c>
      <c r="K6">
        <f>J6/D6</f>
        <v>1.7626875E-2</v>
      </c>
      <c r="L6">
        <f>K6+0.003</f>
        <v>2.0626874999999999E-2</v>
      </c>
      <c r="M6" s="2">
        <f>L6+0.008</f>
        <v>2.8626875E-2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6.5555555555555554</v>
      </c>
      <c r="F7">
        <v>6</v>
      </c>
      <c r="G7">
        <f>D7/F7</f>
        <v>833.33333333333337</v>
      </c>
      <c r="H7">
        <f>B7*C7*D7</f>
        <v>1620000</v>
      </c>
      <c r="I7">
        <f>H7/$H$8</f>
        <v>0.140625</v>
      </c>
      <c r="J7">
        <f>$F$11*I7</f>
        <v>93.318750000000009</v>
      </c>
      <c r="K7">
        <f>J7/D7</f>
        <v>1.8663750000000003E-2</v>
      </c>
      <c r="L7">
        <f>K7+0.003</f>
        <v>2.1663750000000002E-2</v>
      </c>
      <c r="M7" s="2">
        <f>L7+0.008</f>
        <v>2.9663750000000003E-2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663.6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1.6590000000000001E-2</v>
      </c>
      <c r="L10">
        <f>K10+0.003</f>
        <v>1.959E-2</v>
      </c>
      <c r="M10" s="2">
        <f>L10+0.008</f>
        <v>2.759E-2</v>
      </c>
    </row>
    <row r="11" spans="2:25" x14ac:dyDescent="0.25">
      <c r="B11">
        <v>98</v>
      </c>
      <c r="C11">
        <v>118</v>
      </c>
      <c r="D11">
        <v>0.6</v>
      </c>
      <c r="E11">
        <f>S20</f>
        <v>1106</v>
      </c>
      <c r="F11">
        <f>E11*D11</f>
        <v>663.6</v>
      </c>
    </row>
    <row r="12" spans="2:25" x14ac:dyDescent="0.25">
      <c r="T12" t="s">
        <v>47</v>
      </c>
      <c r="U12">
        <f>SUM(U15:U19)</f>
        <v>837</v>
      </c>
      <c r="V12">
        <f>SUM(V15:V19)</f>
        <v>1338</v>
      </c>
      <c r="W12">
        <f>SUM(W15:W19)</f>
        <v>2336</v>
      </c>
      <c r="X12">
        <f>SUM(X15:X19)</f>
        <v>1335</v>
      </c>
      <c r="Y12">
        <f>SUM(Y15:Y19)</f>
        <v>834</v>
      </c>
    </row>
    <row r="13" spans="2:25" x14ac:dyDescent="0.25">
      <c r="T13" t="s">
        <v>11</v>
      </c>
      <c r="U13">
        <f>G3</f>
        <v>833.33333333333337</v>
      </c>
      <c r="V13">
        <f>G4</f>
        <v>1333.3333333333333</v>
      </c>
      <c r="W13">
        <f>G5</f>
        <v>2333.3333333333335</v>
      </c>
      <c r="X13">
        <f>G6</f>
        <v>1333.3333333333333</v>
      </c>
      <c r="Y13">
        <f>G7</f>
        <v>833.33333333333337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/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44</v>
      </c>
      <c r="U15">
        <f>$S$15*M15</f>
        <v>308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90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N16">
        <v>6</v>
      </c>
      <c r="S16">
        <v>223</v>
      </c>
      <c r="U16">
        <f>$S$16*M16</f>
        <v>0</v>
      </c>
      <c r="V16">
        <f>$S$16*N16</f>
        <v>1338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98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18</v>
      </c>
      <c r="O17">
        <v>5</v>
      </c>
      <c r="Q17">
        <v>1</v>
      </c>
      <c r="S17">
        <v>441</v>
      </c>
      <c r="U17">
        <f>$S$17*M17</f>
        <v>0</v>
      </c>
      <c r="V17">
        <f>$S$17*N17</f>
        <v>0</v>
      </c>
      <c r="W17">
        <f>$S$17*O17</f>
        <v>2205</v>
      </c>
      <c r="X17">
        <f>$S$17*P17</f>
        <v>0</v>
      </c>
      <c r="Y17">
        <f>$S$17*Q17</f>
        <v>441</v>
      </c>
    </row>
    <row r="18" spans="2:25" x14ac:dyDescent="0.25">
      <c r="B18">
        <f>SUM(C18:K18)</f>
        <v>99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M18">
        <v>1</v>
      </c>
      <c r="P18">
        <v>5</v>
      </c>
      <c r="S18">
        <v>267</v>
      </c>
      <c r="U18">
        <f>$S$18*M18</f>
        <v>267</v>
      </c>
      <c r="V18">
        <f>$S$18*N18</f>
        <v>0</v>
      </c>
      <c r="W18">
        <f>$S$18*O18</f>
        <v>0</v>
      </c>
      <c r="X18">
        <f>$S$18*P18</f>
        <v>1335</v>
      </c>
      <c r="Y18">
        <f>$S$18*Q18</f>
        <v>0</v>
      </c>
    </row>
    <row r="19" spans="2:25" x14ac:dyDescent="0.25">
      <c r="B19">
        <f>SUM(C19:K19)</f>
        <v>98</v>
      </c>
      <c r="C19">
        <v>18</v>
      </c>
      <c r="D19">
        <v>18</v>
      </c>
      <c r="E19">
        <v>18</v>
      </c>
      <c r="F19">
        <v>16</v>
      </c>
      <c r="G19">
        <v>14</v>
      </c>
      <c r="H19">
        <v>14</v>
      </c>
      <c r="M19">
        <v>2</v>
      </c>
      <c r="O19">
        <v>1</v>
      </c>
      <c r="Q19">
        <v>3</v>
      </c>
      <c r="S19">
        <v>131</v>
      </c>
      <c r="U19">
        <f>$S$19*M19</f>
        <v>262</v>
      </c>
      <c r="V19">
        <f>$S$19*N19</f>
        <v>0</v>
      </c>
      <c r="W19">
        <f>$S$19*O19</f>
        <v>131</v>
      </c>
      <c r="X19">
        <f>$S$19*P19</f>
        <v>0</v>
      </c>
      <c r="Y19">
        <f>$S$19*Q19</f>
        <v>393</v>
      </c>
    </row>
    <row r="20" spans="2:25" x14ac:dyDescent="0.25">
      <c r="S20">
        <f>SUM(S15:S19)</f>
        <v>1106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Y20"/>
  <sheetViews>
    <sheetView workbookViewId="0">
      <selection activeCell="K18" sqref="K18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97.638691718749996</v>
      </c>
      <c r="K3">
        <f>J3/D3</f>
        <v>1.952773834375E-2</v>
      </c>
      <c r="L3">
        <f>K3+0.003</f>
        <v>2.2527738343749999E-2</v>
      </c>
      <c r="M3" s="2">
        <f>L3+0.008</f>
        <v>3.0527738343749999E-2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167.38061437499999</v>
      </c>
      <c r="K4">
        <f>J4/D4</f>
        <v>2.0922576796874998E-2</v>
      </c>
      <c r="L4">
        <f>K4+0.003</f>
        <v>2.3922576796874997E-2</v>
      </c>
      <c r="M4" s="2">
        <f>L4+0.008</f>
        <v>3.1922576796874998E-2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312.44381349999998</v>
      </c>
      <c r="K5">
        <f>J5/D5</f>
        <v>2.2317415249999997E-2</v>
      </c>
      <c r="L5">
        <f>K5+0.003</f>
        <v>2.5317415249999996E-2</v>
      </c>
      <c r="M5" s="2">
        <f>L5+0.008</f>
        <v>3.3317415249999996E-2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189.69802962499998</v>
      </c>
      <c r="K6">
        <f>J6/D6</f>
        <v>2.3712253703124998E-2</v>
      </c>
      <c r="L6">
        <f>K6+0.003</f>
        <v>2.6712253703124998E-2</v>
      </c>
      <c r="M6" s="2">
        <f>L6+0.008</f>
        <v>3.4712253703125001E-2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125.53546078124999</v>
      </c>
      <c r="K7">
        <f>J7/D7</f>
        <v>2.510709215625E-2</v>
      </c>
      <c r="L7">
        <f>K7+0.003</f>
        <v>2.8107092156249999E-2</v>
      </c>
      <c r="M7" s="2">
        <f>L7+0.008</f>
        <v>3.6107092156249999E-2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892.69660999999996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2.231741525E-2</v>
      </c>
      <c r="L10">
        <f>K10+0.003</f>
        <v>2.5317415249999999E-2</v>
      </c>
      <c r="M10" s="2">
        <f>L10+0.008</f>
        <v>3.3317415249999996E-2</v>
      </c>
    </row>
    <row r="11" spans="2:25" x14ac:dyDescent="0.25">
      <c r="B11">
        <v>115</v>
      </c>
      <c r="C11">
        <v>126</v>
      </c>
      <c r="D11">
        <v>1.02491</v>
      </c>
      <c r="E11">
        <f>S20</f>
        <v>871</v>
      </c>
      <c r="F11">
        <f>E11*D11</f>
        <v>892.69660999999996</v>
      </c>
    </row>
    <row r="12" spans="2:25" x14ac:dyDescent="0.25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25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25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25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25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25">
      <c r="S20">
        <f>SUM(S15:S19)</f>
        <v>871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Y20"/>
  <sheetViews>
    <sheetView workbookViewId="0">
      <selection activeCell="D22" sqref="D22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106.5736546875</v>
      </c>
      <c r="K3">
        <f>J3/D3</f>
        <v>2.1314730937499998E-2</v>
      </c>
      <c r="L3">
        <f>K3+0.003</f>
        <v>2.4314730937499997E-2</v>
      </c>
      <c r="M3" s="2">
        <f>L3+0.008</f>
        <v>3.2314730937499994E-2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182.69769374999998</v>
      </c>
      <c r="K4">
        <f>J4/D4</f>
        <v>2.2837211718749997E-2</v>
      </c>
      <c r="L4">
        <f>K4+0.003</f>
        <v>2.5837211718749996E-2</v>
      </c>
      <c r="M4" s="2">
        <f>L4+0.008</f>
        <v>3.3837211718749996E-2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341.03569499999998</v>
      </c>
      <c r="K5">
        <f>J5/D5</f>
        <v>2.4359692499999998E-2</v>
      </c>
      <c r="L5">
        <f>K5+0.003</f>
        <v>2.7359692499999998E-2</v>
      </c>
      <c r="M5" s="2">
        <f>L5+0.008</f>
        <v>3.5359692499999998E-2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207.05738625000001</v>
      </c>
      <c r="K6">
        <f>J6/D6</f>
        <v>2.588217328125E-2</v>
      </c>
      <c r="L6">
        <f>K6+0.003</f>
        <v>2.888217328125E-2</v>
      </c>
      <c r="M6" s="2">
        <f>L6+0.008</f>
        <v>3.688217328125E-2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137.02327031249999</v>
      </c>
      <c r="K7">
        <f>J7/D7</f>
        <v>2.7404654062499999E-2</v>
      </c>
      <c r="L7">
        <f>K7+0.003</f>
        <v>3.0404654062499998E-2</v>
      </c>
      <c r="M7" s="2">
        <f>L7+0.008</f>
        <v>3.8404654062500002E-2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974.3877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2.4359692499999998E-2</v>
      </c>
      <c r="L10">
        <f>K10+0.003</f>
        <v>2.7359692499999998E-2</v>
      </c>
      <c r="M10" s="2">
        <f>L10+0.008</f>
        <v>3.5359692499999998E-2</v>
      </c>
    </row>
    <row r="11" spans="2:25" x14ac:dyDescent="0.25">
      <c r="B11">
        <v>115</v>
      </c>
      <c r="C11">
        <v>126</v>
      </c>
      <c r="D11">
        <v>1.1187</v>
      </c>
      <c r="E11">
        <f>S20</f>
        <v>871</v>
      </c>
      <c r="F11">
        <f>E11*D11</f>
        <v>974.3877</v>
      </c>
    </row>
    <row r="12" spans="2:25" x14ac:dyDescent="0.25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25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25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25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25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25">
      <c r="S20">
        <f>SUM(S15:S19)</f>
        <v>871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9"/>
  <sheetViews>
    <sheetView workbookViewId="0">
      <selection activeCell="K4" sqref="K4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2" width="6.42578125" bestFit="1" customWidth="1"/>
    <col min="13" max="13" width="6.8554687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31" t="s">
        <v>108</v>
      </c>
      <c r="B1" s="31"/>
      <c r="D1" s="2" t="s">
        <v>24</v>
      </c>
      <c r="H1" s="2" t="s">
        <v>21</v>
      </c>
      <c r="J1" s="2" t="s">
        <v>125</v>
      </c>
      <c r="L1" s="2" t="s">
        <v>142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58.540969162995594</v>
      </c>
      <c r="H3" s="22">
        <f>G3/C3</f>
        <v>1.4635242290748899E-2</v>
      </c>
      <c r="I3" s="22">
        <f>H3+0.003</f>
        <v>1.76352422907489E-2</v>
      </c>
      <c r="J3" s="24">
        <f>I3+0.008</f>
        <v>2.56352422907489E-2</v>
      </c>
      <c r="K3" s="22">
        <v>2.76E-2</v>
      </c>
      <c r="L3" s="22">
        <f>K3-J3</f>
        <v>1.9647577092510998E-3</v>
      </c>
      <c r="M3" s="20">
        <f>L3*C3</f>
        <v>7.8590308370043989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334.51982378854626</v>
      </c>
      <c r="H4" s="22">
        <f>G4/C4</f>
        <v>1.6725991189427313E-2</v>
      </c>
      <c r="I4" s="22">
        <f>H4+0.003</f>
        <v>1.9725991189427312E-2</v>
      </c>
      <c r="J4" s="24">
        <f>I4+0.008</f>
        <v>2.7725991189427313E-2</v>
      </c>
      <c r="K4" s="22">
        <v>3.1300000000000001E-2</v>
      </c>
      <c r="L4" s="22">
        <f>K4-J4</f>
        <v>3.5740088105726889E-3</v>
      </c>
      <c r="M4" s="20">
        <f>L4*C4</f>
        <v>71.480176211453781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338.70132158590303</v>
      </c>
      <c r="H5" s="22">
        <f>G5/C5</f>
        <v>1.8816740088105723E-2</v>
      </c>
      <c r="I5" s="22">
        <f>H5+0.003</f>
        <v>2.1816740088105722E-2</v>
      </c>
      <c r="J5" s="24">
        <f>I5+0.008</f>
        <v>2.9816740088105722E-2</v>
      </c>
      <c r="K5" s="22">
        <v>3.5799999999999998E-2</v>
      </c>
      <c r="L5" s="22">
        <f>K5-J5</f>
        <v>5.9832599118942766E-3</v>
      </c>
      <c r="M5" s="20">
        <f>L5*C5</f>
        <v>107.69867841409697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125.44493392070484</v>
      </c>
      <c r="H6" s="22">
        <f>G6/C6</f>
        <v>2.0907488986784139E-2</v>
      </c>
      <c r="I6" s="22">
        <f>H6+0.003</f>
        <v>2.3907488986784138E-2</v>
      </c>
      <c r="J6" s="24">
        <f>I6+0.008</f>
        <v>3.1907488986784138E-2</v>
      </c>
      <c r="K6" s="22">
        <v>4.1200000000000001E-2</v>
      </c>
      <c r="L6" s="22">
        <f>K6-J6</f>
        <v>9.2925110132158623E-3</v>
      </c>
      <c r="M6" s="20">
        <f>L6*C6</f>
        <v>55.755066079295176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91.992951541850218</v>
      </c>
      <c r="H7" s="22">
        <f>G7/C7</f>
        <v>2.2998237885462555E-2</v>
      </c>
      <c r="I7" s="22">
        <f>H7+0.003</f>
        <v>2.5998237885462554E-2</v>
      </c>
      <c r="J7" s="24">
        <f>I7+0.008</f>
        <v>3.3998237885462551E-2</v>
      </c>
      <c r="K7" s="22">
        <v>4.1200000000000001E-2</v>
      </c>
      <c r="L7" s="22">
        <f>K7-J7</f>
        <v>7.2017621145374494E-3</v>
      </c>
      <c r="M7" s="20">
        <f>L7*C7</f>
        <v>28.807048458149797</v>
      </c>
      <c r="Q7" s="2" t="s">
        <v>41</v>
      </c>
      <c r="V7">
        <f>V8-V9</f>
        <v>91.333333333333371</v>
      </c>
    </row>
    <row r="8" spans="1:22" x14ac:dyDescent="0.25">
      <c r="E8">
        <f>SUM(E3:E7)</f>
        <v>18160000</v>
      </c>
      <c r="F8" s="21">
        <f>SUM(F3:F7)</f>
        <v>1</v>
      </c>
      <c r="M8" s="23">
        <f>SUM(M3:M7)</f>
        <v>271.60000000000014</v>
      </c>
      <c r="Q8" s="2" t="s">
        <v>47</v>
      </c>
      <c r="R8">
        <f>SUM(R11:R15)</f>
        <v>672</v>
      </c>
      <c r="S8">
        <f>SUM(S11:S15)</f>
        <v>3335</v>
      </c>
      <c r="T8">
        <f>SUM(T11:T15)</f>
        <v>3002</v>
      </c>
      <c r="U8">
        <f>SUM(U11:U15)</f>
        <v>1002</v>
      </c>
      <c r="V8">
        <f>SUM(V11:V15)</f>
        <v>758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96</v>
      </c>
      <c r="R11">
        <f>$P$11*J11</f>
        <v>672</v>
      </c>
      <c r="S11">
        <f>$P$11*K11</f>
        <v>0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SUM(B12:H12)</f>
        <v>98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18</v>
      </c>
      <c r="K12">
        <v>5</v>
      </c>
      <c r="L12">
        <v>1</v>
      </c>
      <c r="P12" s="2">
        <v>667</v>
      </c>
      <c r="R12">
        <f>$P$12*J12</f>
        <v>0</v>
      </c>
      <c r="S12">
        <f>$P$12*K12</f>
        <v>3335</v>
      </c>
      <c r="T12">
        <f>$P$12*L12</f>
        <v>667</v>
      </c>
      <c r="U12">
        <f>$P$12*M12</f>
        <v>0</v>
      </c>
      <c r="V12">
        <f>$P$12*N12</f>
        <v>0</v>
      </c>
    </row>
    <row r="13" spans="1:22" x14ac:dyDescent="0.25">
      <c r="A13">
        <f>SUM(B13:H13)</f>
        <v>96</v>
      </c>
      <c r="B13">
        <v>18</v>
      </c>
      <c r="C13">
        <v>18</v>
      </c>
      <c r="D13">
        <v>18</v>
      </c>
      <c r="E13">
        <v>20</v>
      </c>
      <c r="F13">
        <v>22</v>
      </c>
      <c r="L13">
        <v>3</v>
      </c>
      <c r="M13">
        <v>1</v>
      </c>
      <c r="N13">
        <v>1</v>
      </c>
      <c r="P13" s="2">
        <v>758</v>
      </c>
      <c r="R13">
        <f>$P$13*J13</f>
        <v>0</v>
      </c>
      <c r="S13">
        <f>$P$13*K13</f>
        <v>0</v>
      </c>
      <c r="T13">
        <f>$P$13*L13</f>
        <v>2274</v>
      </c>
      <c r="U13">
        <f>$P$13*M13</f>
        <v>758</v>
      </c>
      <c r="V13">
        <f>$P$13*N13</f>
        <v>758</v>
      </c>
    </row>
    <row r="14" spans="1:22" x14ac:dyDescent="0.25">
      <c r="A14">
        <f>SUM(B14:H14)</f>
        <v>98</v>
      </c>
      <c r="B14">
        <v>20</v>
      </c>
      <c r="C14">
        <v>20</v>
      </c>
      <c r="D14">
        <v>20</v>
      </c>
      <c r="E14">
        <v>20</v>
      </c>
      <c r="F14">
        <v>18</v>
      </c>
      <c r="L14">
        <v>1</v>
      </c>
      <c r="M14">
        <v>4</v>
      </c>
      <c r="P14" s="2">
        <v>61</v>
      </c>
      <c r="R14">
        <f>$P$14*J14</f>
        <v>0</v>
      </c>
      <c r="S14">
        <f>$P$14*K14</f>
        <v>0</v>
      </c>
      <c r="T14">
        <f>$P$14*L14</f>
        <v>61</v>
      </c>
      <c r="U14">
        <f>$P$14*M14</f>
        <v>244</v>
      </c>
      <c r="V14">
        <f>$P$14*N14</f>
        <v>0</v>
      </c>
    </row>
    <row r="15" spans="1:22" x14ac:dyDescent="0.25">
      <c r="A15">
        <f>SUM(B15:H15)</f>
        <v>98</v>
      </c>
      <c r="B15">
        <v>22</v>
      </c>
      <c r="C15">
        <v>22</v>
      </c>
      <c r="D15">
        <v>22</v>
      </c>
      <c r="E15">
        <v>16</v>
      </c>
      <c r="F15">
        <v>16</v>
      </c>
      <c r="K15">
        <v>2</v>
      </c>
      <c r="N15">
        <v>3</v>
      </c>
      <c r="P15" s="2">
        <v>0</v>
      </c>
      <c r="R15">
        <f>$P$15*J15</f>
        <v>0</v>
      </c>
      <c r="S15">
        <f>$P$15*K15</f>
        <v>0</v>
      </c>
      <c r="T15">
        <f>$P$15*L15</f>
        <v>0</v>
      </c>
      <c r="U15">
        <f>$P$15*M15</f>
        <v>0</v>
      </c>
      <c r="V15">
        <f>$P$15*N15</f>
        <v>0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98</v>
      </c>
      <c r="B19">
        <v>118</v>
      </c>
      <c r="C19">
        <v>0.6</v>
      </c>
      <c r="D19">
        <f>SUM(P11:P15)</f>
        <v>1582</v>
      </c>
      <c r="E19">
        <f>D19*C19</f>
        <v>949.19999999999993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9"/>
  <sheetViews>
    <sheetView workbookViewId="0">
      <selection activeCell="K5" sqref="K5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9.42578125" bestFit="1" customWidth="1"/>
    <col min="13" max="13" width="6.8554687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31" t="s">
        <v>108</v>
      </c>
      <c r="B1" s="31"/>
      <c r="D1" s="2" t="s">
        <v>24</v>
      </c>
      <c r="H1" s="2" t="s">
        <v>21</v>
      </c>
      <c r="J1" s="2" t="s">
        <v>125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81.44018325991189</v>
      </c>
      <c r="H3" s="22">
        <f>G3/C3</f>
        <v>2.0360045814977974E-2</v>
      </c>
      <c r="I3" s="22">
        <f>H3+0.003</f>
        <v>2.3360045814977973E-2</v>
      </c>
      <c r="J3" s="24">
        <f>I3+0.008</f>
        <v>3.1360045814977977E-2</v>
      </c>
      <c r="K3" s="22">
        <v>2.76E-2</v>
      </c>
      <c r="L3" s="22">
        <f>K3-J3</f>
        <v>-3.7600458149779775E-3</v>
      </c>
      <c r="M3" s="20">
        <f>L3*C3</f>
        <v>-15.04018325991191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465.37247577092518</v>
      </c>
      <c r="H4" s="22">
        <f>G4/C4</f>
        <v>2.3268623788546258E-2</v>
      </c>
      <c r="I4" s="22">
        <f>H4+0.003</f>
        <v>2.6268623788546257E-2</v>
      </c>
      <c r="J4" s="24">
        <f>I4+0.008</f>
        <v>3.4268623788546254E-2</v>
      </c>
      <c r="K4" s="22">
        <v>3.1300000000000001E-2</v>
      </c>
      <c r="L4" s="22">
        <f>K4-J4</f>
        <v>-2.9686237885462527E-3</v>
      </c>
      <c r="M4" s="20">
        <f>L4*C4</f>
        <v>-59.372475770925057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471.18963171806166</v>
      </c>
      <c r="H5" s="22">
        <f>G5/C5</f>
        <v>2.6177201762114535E-2</v>
      </c>
      <c r="I5" s="22">
        <f>H5+0.003</f>
        <v>2.9177201762114535E-2</v>
      </c>
      <c r="J5" s="24">
        <f>I5+0.008</f>
        <v>3.7177201762114531E-2</v>
      </c>
      <c r="K5" s="22">
        <v>3.5799999999999998E-2</v>
      </c>
      <c r="L5" s="22">
        <f>K5-J5</f>
        <v>-1.3772017621145327E-3</v>
      </c>
      <c r="M5" s="20">
        <f>L5*C5</f>
        <v>-24.789631718061589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174.51467841409692</v>
      </c>
      <c r="H6" s="22">
        <f>G6/C6</f>
        <v>2.9085779735682819E-2</v>
      </c>
      <c r="I6" s="22">
        <f>H6+0.003</f>
        <v>3.2085779735682822E-2</v>
      </c>
      <c r="J6" s="24">
        <f>I6+0.008</f>
        <v>4.0085779735682822E-2</v>
      </c>
      <c r="K6" s="22">
        <v>4.1200000000000001E-2</v>
      </c>
      <c r="L6" s="22">
        <f>K6-J6</f>
        <v>1.1142202643171784E-3</v>
      </c>
      <c r="M6" s="20">
        <f>L6*C6</f>
        <v>6.6853215859030701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127.97743083700442</v>
      </c>
      <c r="H7" s="22">
        <f>G7/C7</f>
        <v>3.1994357709251103E-2</v>
      </c>
      <c r="I7" s="22">
        <f>H7+0.003</f>
        <v>3.4994357709251106E-2</v>
      </c>
      <c r="J7" s="24">
        <f>I7+0.008</f>
        <v>4.2994357709251106E-2</v>
      </c>
      <c r="K7" s="22">
        <v>4.1200000000000001E-2</v>
      </c>
      <c r="L7" s="22">
        <f>K7-J7</f>
        <v>-1.7943577092511057E-3</v>
      </c>
      <c r="M7" s="20">
        <f>L7*C7</f>
        <v>-7.1774308370044224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25">
      <c r="E8">
        <f>SUM(E3:E7)</f>
        <v>18160000</v>
      </c>
      <c r="F8" s="21">
        <f>SUM(F3:F7)</f>
        <v>1</v>
      </c>
      <c r="M8" s="23">
        <f>SUM(M3:M7)</f>
        <v>-99.694399999999902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25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25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25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120</v>
      </c>
      <c r="C19">
        <v>0.99360000000000004</v>
      </c>
      <c r="D19">
        <f>SUM(P11:P15)</f>
        <v>1329</v>
      </c>
      <c r="E19">
        <f>D19*C19</f>
        <v>1320.4944</v>
      </c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9"/>
  <sheetViews>
    <sheetView workbookViewId="0">
      <selection activeCell="L7" sqref="L7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9.42578125" bestFit="1" customWidth="1"/>
    <col min="13" max="13" width="7.2851562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31" t="s">
        <v>108</v>
      </c>
      <c r="B1" s="31"/>
      <c r="D1" s="2" t="s">
        <v>24</v>
      </c>
      <c r="H1" s="2" t="s">
        <v>21</v>
      </c>
      <c r="J1" s="2" t="s">
        <v>125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88.980940969162987</v>
      </c>
      <c r="H3" s="22">
        <f>G3/C3</f>
        <v>2.2245235242290745E-2</v>
      </c>
      <c r="I3" s="22">
        <f>H3+0.003</f>
        <v>2.5245235242290744E-2</v>
      </c>
      <c r="J3" s="24">
        <f>I3+0.008</f>
        <v>3.3245235242290741E-2</v>
      </c>
      <c r="K3" s="22">
        <v>2.76E-2</v>
      </c>
      <c r="L3" s="22">
        <f>K3-J3</f>
        <v>-5.6452352422907415E-3</v>
      </c>
      <c r="M3" s="20">
        <f>L3*C3</f>
        <v>-22.580940969162967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508.46251982378851</v>
      </c>
      <c r="H4" s="22">
        <f>G4/C4</f>
        <v>2.5423125991189427E-2</v>
      </c>
      <c r="I4" s="22">
        <f>H4+0.003</f>
        <v>2.8423125991189426E-2</v>
      </c>
      <c r="J4" s="24">
        <f>I4+0.008</f>
        <v>3.6423125991189423E-2</v>
      </c>
      <c r="K4" s="22">
        <v>3.1300000000000001E-2</v>
      </c>
      <c r="L4" s="22">
        <f>K4-J4</f>
        <v>-5.1231259911894214E-3</v>
      </c>
      <c r="M4" s="20">
        <f>L4*C4</f>
        <v>-102.46251982378843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514.81830132158586</v>
      </c>
      <c r="H5" s="22">
        <f>G5/C5</f>
        <v>2.8601016740088102E-2</v>
      </c>
      <c r="I5" s="22">
        <f>H5+0.003</f>
        <v>3.1601016740088105E-2</v>
      </c>
      <c r="J5" s="24">
        <f>I5+0.008</f>
        <v>3.9601016740088105E-2</v>
      </c>
      <c r="K5" s="22">
        <v>3.5799999999999998E-2</v>
      </c>
      <c r="L5" s="22">
        <f>K5-J5</f>
        <v>-3.8010167400881062E-3</v>
      </c>
      <c r="M5" s="20">
        <f>L5*C5</f>
        <v>-68.418301321585915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190.67344493392068</v>
      </c>
      <c r="H6" s="22">
        <f>G6/C6</f>
        <v>3.1778907488986777E-2</v>
      </c>
      <c r="I6" s="22">
        <f>H6+0.003</f>
        <v>3.4778907488986779E-2</v>
      </c>
      <c r="J6" s="24">
        <f>I6+0.008</f>
        <v>4.277890748898678E-2</v>
      </c>
      <c r="K6" s="22">
        <v>4.1200000000000001E-2</v>
      </c>
      <c r="L6" s="22">
        <f>K6-J6</f>
        <v>-1.5789074889867791E-3</v>
      </c>
      <c r="M6" s="20">
        <f>L6*C6</f>
        <v>-9.4734449339206748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139.82719295154183</v>
      </c>
      <c r="H7" s="22">
        <f>G7/C7</f>
        <v>3.4956798237885459E-2</v>
      </c>
      <c r="I7" s="22">
        <f>H7+0.003</f>
        <v>3.7956798237885461E-2</v>
      </c>
      <c r="J7" s="24">
        <f>I7+0.008</f>
        <v>4.5956798237885461E-2</v>
      </c>
      <c r="K7" s="22">
        <v>4.1200000000000001E-2</v>
      </c>
      <c r="L7" s="22">
        <f>K7-J7</f>
        <v>-4.7567982378854609E-3</v>
      </c>
      <c r="M7" s="20">
        <f>L7*C7</f>
        <v>-19.027192951541842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25">
      <c r="C8">
        <f>SUM(C3:C7)</f>
        <v>52000</v>
      </c>
      <c r="E8">
        <f>SUM(E3:E7)</f>
        <v>18160000</v>
      </c>
      <c r="F8" s="21">
        <f>SUM(F3:F7)</f>
        <v>1</v>
      </c>
      <c r="M8" s="23">
        <f>SUM(M3:M7)</f>
        <v>-221.96239999999983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25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25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25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120</v>
      </c>
      <c r="C19">
        <v>1.0855999999999999</v>
      </c>
      <c r="D19">
        <f>SUM(P11:P15)</f>
        <v>1329</v>
      </c>
      <c r="E19">
        <f>D19*C19</f>
        <v>1442.7623999999998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47"/>
  <sheetViews>
    <sheetView topLeftCell="A3" workbookViewId="0">
      <selection activeCell="I14" sqref="I14"/>
    </sheetView>
  </sheetViews>
  <sheetFormatPr defaultRowHeight="15" x14ac:dyDescent="0.25"/>
  <cols>
    <col min="10" max="10" width="11.42578125" bestFit="1" customWidth="1"/>
    <col min="11" max="11" width="16" bestFit="1" customWidth="1"/>
  </cols>
  <sheetData>
    <row r="2" spans="2:13" x14ac:dyDescent="0.25">
      <c r="B2" s="2" t="s">
        <v>108</v>
      </c>
      <c r="L2" t="s">
        <v>30</v>
      </c>
    </row>
    <row r="3" spans="2:13" x14ac:dyDescent="0.25">
      <c r="B3" t="s">
        <v>1</v>
      </c>
      <c r="C3" t="s">
        <v>2</v>
      </c>
      <c r="D3" t="s">
        <v>3</v>
      </c>
      <c r="E3" t="s">
        <v>15</v>
      </c>
      <c r="F3" t="s">
        <v>24</v>
      </c>
      <c r="H3" t="s">
        <v>113</v>
      </c>
      <c r="J3" t="s">
        <v>117</v>
      </c>
      <c r="K3" t="s">
        <v>118</v>
      </c>
      <c r="M3" s="14">
        <v>0.5</v>
      </c>
    </row>
    <row r="4" spans="2:13" x14ac:dyDescent="0.25">
      <c r="B4">
        <v>13</v>
      </c>
      <c r="C4">
        <v>17</v>
      </c>
      <c r="D4">
        <v>20000</v>
      </c>
      <c r="E4">
        <v>2.5399999999999999E-2</v>
      </c>
      <c r="F4">
        <f t="shared" ref="F4:F10" si="0">120/C4</f>
        <v>7.0588235294117645</v>
      </c>
      <c r="G4">
        <v>7</v>
      </c>
      <c r="H4">
        <f t="shared" ref="H4:H10" si="1">D4/G4</f>
        <v>2857.1428571428573</v>
      </c>
      <c r="I4">
        <v>2858</v>
      </c>
      <c r="J4">
        <f t="shared" ref="J4:J10" si="2">E4*D4</f>
        <v>508</v>
      </c>
      <c r="K4">
        <v>300</v>
      </c>
      <c r="L4">
        <f>J11-K4-F14</f>
        <v>634.59335999999939</v>
      </c>
      <c r="M4">
        <f>L4/2</f>
        <v>317.2966799999997</v>
      </c>
    </row>
    <row r="5" spans="2:13" x14ac:dyDescent="0.25">
      <c r="B5">
        <v>14</v>
      </c>
      <c r="C5">
        <v>17</v>
      </c>
      <c r="D5">
        <v>20000</v>
      </c>
      <c r="E5">
        <v>2.8400000000000002E-2</v>
      </c>
      <c r="F5">
        <f t="shared" si="0"/>
        <v>7.0588235294117645</v>
      </c>
      <c r="G5">
        <v>7</v>
      </c>
      <c r="H5">
        <f t="shared" si="1"/>
        <v>2857.1428571428573</v>
      </c>
      <c r="I5">
        <v>2858</v>
      </c>
      <c r="J5">
        <f t="shared" si="2"/>
        <v>568</v>
      </c>
    </row>
    <row r="6" spans="2:13" x14ac:dyDescent="0.25">
      <c r="B6">
        <v>15</v>
      </c>
      <c r="C6">
        <v>17</v>
      </c>
      <c r="D6">
        <v>15000</v>
      </c>
      <c r="E6">
        <v>3.015E-2</v>
      </c>
      <c r="F6">
        <f t="shared" si="0"/>
        <v>7.0588235294117645</v>
      </c>
      <c r="G6">
        <v>7</v>
      </c>
      <c r="H6">
        <f t="shared" si="1"/>
        <v>2142.8571428571427</v>
      </c>
      <c r="I6">
        <v>2143</v>
      </c>
      <c r="J6">
        <f t="shared" si="2"/>
        <v>452.25</v>
      </c>
    </row>
    <row r="7" spans="2:13" x14ac:dyDescent="0.25">
      <c r="B7">
        <v>17</v>
      </c>
      <c r="C7">
        <v>17</v>
      </c>
      <c r="D7">
        <v>4000</v>
      </c>
      <c r="E7">
        <v>3.415E-2</v>
      </c>
      <c r="F7">
        <f t="shared" si="0"/>
        <v>7.0588235294117645</v>
      </c>
      <c r="G7">
        <v>7</v>
      </c>
      <c r="H7">
        <f t="shared" si="1"/>
        <v>571.42857142857144</v>
      </c>
      <c r="I7">
        <v>572</v>
      </c>
      <c r="J7">
        <f t="shared" si="2"/>
        <v>136.6</v>
      </c>
    </row>
    <row r="8" spans="2:13" x14ac:dyDescent="0.25">
      <c r="B8">
        <v>20</v>
      </c>
      <c r="C8">
        <v>10</v>
      </c>
      <c r="D8">
        <v>16000</v>
      </c>
      <c r="E8">
        <v>2.47E-2</v>
      </c>
      <c r="F8">
        <f t="shared" si="0"/>
        <v>12</v>
      </c>
      <c r="G8">
        <v>12</v>
      </c>
      <c r="H8">
        <f t="shared" si="1"/>
        <v>1333.3333333333333</v>
      </c>
      <c r="I8">
        <v>1334</v>
      </c>
      <c r="J8">
        <f t="shared" si="2"/>
        <v>395.2</v>
      </c>
    </row>
    <row r="9" spans="2:13" x14ac:dyDescent="0.25">
      <c r="B9">
        <v>22</v>
      </c>
      <c r="C9">
        <v>10</v>
      </c>
      <c r="D9">
        <v>16000</v>
      </c>
      <c r="E9">
        <v>2.435E-2</v>
      </c>
      <c r="F9">
        <f t="shared" si="0"/>
        <v>12</v>
      </c>
      <c r="G9">
        <v>12</v>
      </c>
      <c r="H9">
        <f t="shared" si="1"/>
        <v>1333.3333333333333</v>
      </c>
      <c r="I9">
        <v>1334</v>
      </c>
      <c r="J9">
        <f t="shared" si="2"/>
        <v>389.6</v>
      </c>
    </row>
    <row r="10" spans="2:13" x14ac:dyDescent="0.25">
      <c r="B10">
        <v>24</v>
      </c>
      <c r="C10">
        <v>10</v>
      </c>
      <c r="D10">
        <v>8000</v>
      </c>
      <c r="E10">
        <v>3.04E-2</v>
      </c>
      <c r="F10">
        <f t="shared" si="0"/>
        <v>12</v>
      </c>
      <c r="G10">
        <v>12</v>
      </c>
      <c r="H10">
        <f t="shared" si="1"/>
        <v>666.66666666666663</v>
      </c>
      <c r="I10">
        <v>667</v>
      </c>
      <c r="J10">
        <f t="shared" si="2"/>
        <v>243.2</v>
      </c>
    </row>
    <row r="11" spans="2:13" x14ac:dyDescent="0.25">
      <c r="D11">
        <f>SUM(D4:D10)</f>
        <v>99000</v>
      </c>
      <c r="J11">
        <f>SUM(J4:J10)</f>
        <v>2692.8499999999995</v>
      </c>
    </row>
    <row r="12" spans="2:13" x14ac:dyDescent="0.25">
      <c r="B12" s="2" t="s">
        <v>84</v>
      </c>
    </row>
    <row r="13" spans="2:13" x14ac:dyDescent="0.25">
      <c r="B13" t="s">
        <v>1</v>
      </c>
      <c r="C13" t="s">
        <v>2</v>
      </c>
      <c r="D13" t="s">
        <v>15</v>
      </c>
      <c r="E13" t="s">
        <v>115</v>
      </c>
      <c r="F13" t="s">
        <v>116</v>
      </c>
    </row>
    <row r="14" spans="2:13" x14ac:dyDescent="0.25">
      <c r="B14">
        <v>115</v>
      </c>
      <c r="C14">
        <v>120</v>
      </c>
      <c r="D14">
        <v>1.05728</v>
      </c>
      <c r="E14">
        <f>B47</f>
        <v>1663</v>
      </c>
      <c r="F14">
        <f>E14*D14</f>
        <v>1758.2566400000001</v>
      </c>
    </row>
    <row r="15" spans="2:13" x14ac:dyDescent="0.25">
      <c r="B15">
        <v>76</v>
      </c>
      <c r="C15">
        <v>120</v>
      </c>
      <c r="D15">
        <v>0.71679999999999999</v>
      </c>
    </row>
    <row r="17" spans="1:10" x14ac:dyDescent="0.25">
      <c r="A17" s="2" t="s">
        <v>84</v>
      </c>
      <c r="B17" s="2" t="s">
        <v>109</v>
      </c>
    </row>
    <row r="18" spans="1:10" x14ac:dyDescent="0.25">
      <c r="A18" s="2">
        <v>243</v>
      </c>
      <c r="B18" s="15">
        <f t="shared" ref="B18:B24" si="3">SUM(C18:L18)</f>
        <v>115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24</v>
      </c>
    </row>
    <row r="19" spans="1:10" x14ac:dyDescent="0.25">
      <c r="A19" s="2">
        <v>315</v>
      </c>
      <c r="B19" s="15">
        <f t="shared" si="3"/>
        <v>115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17</v>
      </c>
    </row>
    <row r="20" spans="1:10" x14ac:dyDescent="0.25">
      <c r="A20" s="2">
        <v>319</v>
      </c>
      <c r="B20" s="15">
        <f t="shared" si="3"/>
        <v>115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14</v>
      </c>
      <c r="I20">
        <v>13</v>
      </c>
      <c r="J20">
        <v>13</v>
      </c>
    </row>
    <row r="21" spans="1:10" x14ac:dyDescent="0.25">
      <c r="A21" s="2">
        <v>43</v>
      </c>
      <c r="B21" s="15">
        <f t="shared" si="3"/>
        <v>115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13</v>
      </c>
    </row>
    <row r="22" spans="1:10" x14ac:dyDescent="0.25">
      <c r="A22" s="2">
        <v>267</v>
      </c>
      <c r="B22" s="15">
        <f t="shared" si="3"/>
        <v>115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15</v>
      </c>
    </row>
    <row r="23" spans="1:10" x14ac:dyDescent="0.25">
      <c r="A23" s="2">
        <v>334</v>
      </c>
      <c r="B23" s="15">
        <f t="shared" si="3"/>
        <v>115</v>
      </c>
      <c r="C23">
        <v>22</v>
      </c>
      <c r="D23">
        <v>22</v>
      </c>
      <c r="E23">
        <v>22</v>
      </c>
      <c r="F23">
        <v>22</v>
      </c>
      <c r="G23">
        <v>13</v>
      </c>
      <c r="H23">
        <v>14</v>
      </c>
    </row>
    <row r="24" spans="1:10" x14ac:dyDescent="0.25">
      <c r="A24" s="2">
        <v>142</v>
      </c>
      <c r="B24" s="15">
        <f t="shared" si="3"/>
        <v>115</v>
      </c>
      <c r="C24">
        <v>24</v>
      </c>
      <c r="D24">
        <v>24</v>
      </c>
      <c r="E24">
        <v>24</v>
      </c>
      <c r="F24">
        <v>15</v>
      </c>
      <c r="G24">
        <v>15</v>
      </c>
      <c r="H24">
        <v>13</v>
      </c>
    </row>
    <row r="26" spans="1:10" x14ac:dyDescent="0.25">
      <c r="B26" t="s">
        <v>110</v>
      </c>
      <c r="C26" s="2">
        <v>13</v>
      </c>
      <c r="D26" s="2">
        <v>14</v>
      </c>
      <c r="E26" s="2">
        <v>15</v>
      </c>
      <c r="F26" s="2">
        <v>17</v>
      </c>
      <c r="G26" s="2">
        <v>20</v>
      </c>
      <c r="H26" s="2">
        <v>22</v>
      </c>
      <c r="I26" s="2">
        <v>24</v>
      </c>
    </row>
    <row r="27" spans="1:10" x14ac:dyDescent="0.25">
      <c r="A27">
        <v>1</v>
      </c>
      <c r="C27">
        <v>7</v>
      </c>
      <c r="I27">
        <v>1</v>
      </c>
    </row>
    <row r="28" spans="1:10" x14ac:dyDescent="0.25">
      <c r="A28">
        <v>2</v>
      </c>
      <c r="D28">
        <v>7</v>
      </c>
      <c r="F28">
        <v>1</v>
      </c>
    </row>
    <row r="29" spans="1:10" x14ac:dyDescent="0.25">
      <c r="A29">
        <v>3</v>
      </c>
      <c r="C29">
        <v>2</v>
      </c>
      <c r="D29">
        <v>1</v>
      </c>
      <c r="E29">
        <v>5</v>
      </c>
    </row>
    <row r="30" spans="1:10" x14ac:dyDescent="0.25">
      <c r="A30">
        <v>4</v>
      </c>
      <c r="C30">
        <v>1</v>
      </c>
      <c r="F30">
        <v>6</v>
      </c>
    </row>
    <row r="31" spans="1:10" x14ac:dyDescent="0.25">
      <c r="A31">
        <v>5</v>
      </c>
      <c r="E31">
        <v>1</v>
      </c>
      <c r="G31">
        <v>5</v>
      </c>
    </row>
    <row r="32" spans="1:10" x14ac:dyDescent="0.25">
      <c r="A32">
        <v>6</v>
      </c>
      <c r="C32">
        <v>1</v>
      </c>
      <c r="D32">
        <v>1</v>
      </c>
      <c r="H32">
        <v>4</v>
      </c>
    </row>
    <row r="33" spans="1:9" x14ac:dyDescent="0.25">
      <c r="A33">
        <v>7</v>
      </c>
      <c r="C33">
        <v>1</v>
      </c>
      <c r="E33">
        <v>2</v>
      </c>
      <c r="I33">
        <v>3</v>
      </c>
    </row>
    <row r="35" spans="1:9" x14ac:dyDescent="0.25">
      <c r="B35" s="13" t="s">
        <v>111</v>
      </c>
      <c r="C35" s="2">
        <f>I4</f>
        <v>2858</v>
      </c>
      <c r="D35" s="2">
        <f>I5</f>
        <v>2858</v>
      </c>
      <c r="E35" s="2">
        <f>I6</f>
        <v>2143</v>
      </c>
      <c r="F35" s="2">
        <f>I7</f>
        <v>572</v>
      </c>
      <c r="G35" s="2">
        <f>I8</f>
        <v>1334</v>
      </c>
      <c r="H35" s="2">
        <f>I9</f>
        <v>1334</v>
      </c>
      <c r="I35" s="2">
        <f>I10</f>
        <v>667</v>
      </c>
    </row>
    <row r="36" spans="1:9" x14ac:dyDescent="0.25">
      <c r="B36" s="13" t="s">
        <v>112</v>
      </c>
      <c r="C36">
        <f t="shared" ref="C36:I36" si="4">SUM(C38:C44)</f>
        <v>2858</v>
      </c>
      <c r="D36">
        <f t="shared" si="4"/>
        <v>2858</v>
      </c>
      <c r="E36">
        <f t="shared" si="4"/>
        <v>2146</v>
      </c>
      <c r="F36">
        <f t="shared" si="4"/>
        <v>573</v>
      </c>
      <c r="G36">
        <f t="shared" si="4"/>
        <v>1335</v>
      </c>
      <c r="H36">
        <f t="shared" si="4"/>
        <v>1336</v>
      </c>
      <c r="I36">
        <f t="shared" si="4"/>
        <v>669</v>
      </c>
    </row>
    <row r="38" spans="1:9" x14ac:dyDescent="0.25">
      <c r="A38">
        <v>1</v>
      </c>
      <c r="B38">
        <v>243</v>
      </c>
      <c r="C38">
        <f t="shared" ref="C38:I38" si="5">$B$38*C27</f>
        <v>1701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243</v>
      </c>
    </row>
    <row r="39" spans="1:9" x14ac:dyDescent="0.25">
      <c r="A39">
        <v>2</v>
      </c>
      <c r="B39">
        <v>315</v>
      </c>
      <c r="C39">
        <f t="shared" ref="C39:I39" si="6">$B$39*C28</f>
        <v>0</v>
      </c>
      <c r="D39">
        <f t="shared" si="6"/>
        <v>2205</v>
      </c>
      <c r="E39">
        <f t="shared" si="6"/>
        <v>0</v>
      </c>
      <c r="F39">
        <f t="shared" si="6"/>
        <v>315</v>
      </c>
      <c r="G39">
        <f t="shared" si="6"/>
        <v>0</v>
      </c>
      <c r="H39">
        <f t="shared" si="6"/>
        <v>0</v>
      </c>
      <c r="I39">
        <f t="shared" si="6"/>
        <v>0</v>
      </c>
    </row>
    <row r="40" spans="1:9" x14ac:dyDescent="0.25">
      <c r="A40">
        <v>3</v>
      </c>
      <c r="B40">
        <v>319</v>
      </c>
      <c r="C40">
        <f t="shared" ref="C40:I40" si="7">$B$40*C29</f>
        <v>638</v>
      </c>
      <c r="D40">
        <f t="shared" si="7"/>
        <v>319</v>
      </c>
      <c r="E40">
        <f t="shared" si="7"/>
        <v>1595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</row>
    <row r="41" spans="1:9" x14ac:dyDescent="0.25">
      <c r="A41">
        <v>4</v>
      </c>
      <c r="B41">
        <v>43</v>
      </c>
      <c r="C41">
        <f t="shared" ref="C41:I41" si="8">$B$41*C30</f>
        <v>43</v>
      </c>
      <c r="D41">
        <f t="shared" si="8"/>
        <v>0</v>
      </c>
      <c r="E41">
        <f t="shared" si="8"/>
        <v>0</v>
      </c>
      <c r="F41">
        <f t="shared" si="8"/>
        <v>258</v>
      </c>
      <c r="G41">
        <f t="shared" si="8"/>
        <v>0</v>
      </c>
      <c r="H41">
        <f t="shared" si="8"/>
        <v>0</v>
      </c>
      <c r="I41">
        <f t="shared" si="8"/>
        <v>0</v>
      </c>
    </row>
    <row r="42" spans="1:9" x14ac:dyDescent="0.25">
      <c r="A42">
        <v>5</v>
      </c>
      <c r="B42">
        <v>267</v>
      </c>
      <c r="C42">
        <f t="shared" ref="C42:I42" si="9">$B$42*C31</f>
        <v>0</v>
      </c>
      <c r="D42">
        <f t="shared" si="9"/>
        <v>0</v>
      </c>
      <c r="E42">
        <f t="shared" si="9"/>
        <v>267</v>
      </c>
      <c r="F42">
        <f t="shared" si="9"/>
        <v>0</v>
      </c>
      <c r="G42">
        <f t="shared" si="9"/>
        <v>1335</v>
      </c>
      <c r="H42">
        <f t="shared" si="9"/>
        <v>0</v>
      </c>
      <c r="I42">
        <f t="shared" si="9"/>
        <v>0</v>
      </c>
    </row>
    <row r="43" spans="1:9" x14ac:dyDescent="0.25">
      <c r="A43">
        <v>6</v>
      </c>
      <c r="B43">
        <v>334</v>
      </c>
      <c r="C43">
        <f t="shared" ref="C43:I43" si="10">$B$43*C32</f>
        <v>334</v>
      </c>
      <c r="D43">
        <f t="shared" si="10"/>
        <v>334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1336</v>
      </c>
      <c r="I43">
        <f t="shared" si="10"/>
        <v>0</v>
      </c>
    </row>
    <row r="44" spans="1:9" x14ac:dyDescent="0.25">
      <c r="A44">
        <v>7</v>
      </c>
      <c r="B44">
        <v>142</v>
      </c>
      <c r="C44">
        <f t="shared" ref="C44:I44" si="11">$B$44*C33</f>
        <v>142</v>
      </c>
      <c r="D44">
        <f t="shared" si="11"/>
        <v>0</v>
      </c>
      <c r="E44">
        <f t="shared" si="11"/>
        <v>284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426</v>
      </c>
    </row>
    <row r="46" spans="1:9" x14ac:dyDescent="0.25">
      <c r="A46" t="s">
        <v>114</v>
      </c>
    </row>
    <row r="47" spans="1:9" x14ac:dyDescent="0.25">
      <c r="B47">
        <f>SUM(B38:B46)</f>
        <v>1663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W19"/>
  <sheetViews>
    <sheetView tabSelected="1" workbookViewId="0">
      <selection activeCell="U22" sqref="U22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8" customWidth="1"/>
    <col min="13" max="13" width="8.28515625" customWidth="1"/>
    <col min="14" max="14" width="3" bestFit="1" customWidth="1"/>
    <col min="15" max="15" width="5.28515625" customWidth="1"/>
    <col min="16" max="16" width="7.140625" bestFit="1" customWidth="1"/>
    <col min="18" max="22" width="6.140625" bestFit="1" customWidth="1"/>
  </cols>
  <sheetData>
    <row r="1" spans="1:23" s="2" customFormat="1" x14ac:dyDescent="0.25">
      <c r="A1" s="31" t="s">
        <v>145</v>
      </c>
      <c r="B1" s="31"/>
      <c r="D1" s="2" t="s">
        <v>149</v>
      </c>
      <c r="H1" s="2" t="s">
        <v>153</v>
      </c>
      <c r="J1" s="2" t="s">
        <v>155</v>
      </c>
    </row>
    <row r="2" spans="1:23" s="2" customFormat="1" x14ac:dyDescent="0.25">
      <c r="A2" s="7" t="s">
        <v>146</v>
      </c>
      <c r="B2" s="7" t="s">
        <v>147</v>
      </c>
      <c r="C2" s="2" t="s">
        <v>148</v>
      </c>
      <c r="E2" s="2" t="s">
        <v>150</v>
      </c>
      <c r="F2" s="2" t="s">
        <v>151</v>
      </c>
      <c r="G2" s="2" t="s">
        <v>152</v>
      </c>
      <c r="I2" s="2" t="s">
        <v>154</v>
      </c>
    </row>
    <row r="3" spans="1:23" x14ac:dyDescent="0.25">
      <c r="A3">
        <v>14</v>
      </c>
      <c r="B3">
        <v>18</v>
      </c>
      <c r="C3">
        <v>1000</v>
      </c>
      <c r="D3">
        <v>6</v>
      </c>
      <c r="E3">
        <f>A3*B3*C3</f>
        <v>252000</v>
      </c>
      <c r="F3" s="21">
        <f>E3/$E$8</f>
        <v>0.10687022900763359</v>
      </c>
      <c r="G3" s="21">
        <f>$E$19*F3</f>
        <v>16.03053435114504</v>
      </c>
      <c r="H3" s="22">
        <f>G3/C3</f>
        <v>1.6030534351145039E-2</v>
      </c>
      <c r="I3" s="22">
        <f>H3+0.003</f>
        <v>1.9030534351145038E-2</v>
      </c>
      <c r="J3" s="24">
        <f>I3+0.007</f>
        <v>2.6030534351145038E-2</v>
      </c>
      <c r="K3" s="22"/>
      <c r="L3" s="22"/>
      <c r="M3" s="20"/>
    </row>
    <row r="4" spans="1:23" x14ac:dyDescent="0.25">
      <c r="A4">
        <v>15</v>
      </c>
      <c r="B4">
        <v>18</v>
      </c>
      <c r="C4">
        <v>1000</v>
      </c>
      <c r="D4">
        <v>6</v>
      </c>
      <c r="E4">
        <f>A4*B4*C4</f>
        <v>270000</v>
      </c>
      <c r="F4" s="21">
        <f>E4/$E$8</f>
        <v>0.11450381679389313</v>
      </c>
      <c r="G4" s="21">
        <f>$E$19*F4</f>
        <v>17.175572519083968</v>
      </c>
      <c r="H4" s="22">
        <f>G4/C4</f>
        <v>1.7175572519083967E-2</v>
      </c>
      <c r="I4" s="22">
        <f>H4+0.003</f>
        <v>2.0175572519083966E-2</v>
      </c>
      <c r="J4" s="24">
        <f>I4+0.007</f>
        <v>2.7175572519083965E-2</v>
      </c>
      <c r="K4" s="22"/>
      <c r="L4" s="22"/>
      <c r="M4" s="20"/>
    </row>
    <row r="5" spans="1:23" x14ac:dyDescent="0.25">
      <c r="A5">
        <v>16</v>
      </c>
      <c r="B5">
        <v>18</v>
      </c>
      <c r="C5">
        <v>2000</v>
      </c>
      <c r="D5">
        <v>6</v>
      </c>
      <c r="E5">
        <f>A5*B5*C5</f>
        <v>576000</v>
      </c>
      <c r="F5" s="21">
        <f>E5/$E$8</f>
        <v>0.24427480916030533</v>
      </c>
      <c r="G5" s="21">
        <f>$E$19*F5</f>
        <v>36.641221374045799</v>
      </c>
      <c r="H5" s="22">
        <f>G5/C5</f>
        <v>1.8320610687022898E-2</v>
      </c>
      <c r="I5" s="22">
        <f>H5+0.003</f>
        <v>2.1320610687022897E-2</v>
      </c>
      <c r="J5" s="24">
        <f>I5+0.007</f>
        <v>2.8320610687022896E-2</v>
      </c>
      <c r="K5" s="22"/>
      <c r="L5" s="22"/>
      <c r="M5" s="20"/>
    </row>
    <row r="6" spans="1:23" x14ac:dyDescent="0.25">
      <c r="A6">
        <v>17</v>
      </c>
      <c r="B6">
        <v>18</v>
      </c>
      <c r="C6">
        <v>2000</v>
      </c>
      <c r="D6">
        <v>6</v>
      </c>
      <c r="E6">
        <f>A6*B6*C6</f>
        <v>612000</v>
      </c>
      <c r="F6" s="21">
        <f>E6/$E$8</f>
        <v>0.25954198473282442</v>
      </c>
      <c r="G6" s="21">
        <f>$E$19*F6</f>
        <v>38.931297709923662</v>
      </c>
      <c r="H6" s="22">
        <f>G6/C6</f>
        <v>1.9465648854961833E-2</v>
      </c>
      <c r="I6" s="22">
        <f>H6+0.003</f>
        <v>2.2465648854961832E-2</v>
      </c>
      <c r="J6" s="24">
        <f>I6+0.007</f>
        <v>2.9465648854961831E-2</v>
      </c>
      <c r="K6" s="22"/>
      <c r="L6" s="22"/>
      <c r="M6" s="20"/>
      <c r="Q6" s="25" t="s">
        <v>158</v>
      </c>
    </row>
    <row r="7" spans="1:23" x14ac:dyDescent="0.25">
      <c r="A7">
        <v>18</v>
      </c>
      <c r="B7">
        <v>18</v>
      </c>
      <c r="C7">
        <v>2000</v>
      </c>
      <c r="D7">
        <v>6</v>
      </c>
      <c r="E7">
        <f>A7*B7*C7</f>
        <v>648000</v>
      </c>
      <c r="F7" s="21">
        <f>E7/$E$8</f>
        <v>0.27480916030534353</v>
      </c>
      <c r="G7" s="21">
        <f>$E$19*F7</f>
        <v>41.221374045801525</v>
      </c>
      <c r="H7" s="22">
        <f>G7/C7</f>
        <v>2.0610687022900764E-2</v>
      </c>
      <c r="I7" s="22">
        <f>H7+0.003</f>
        <v>2.3610687022900763E-2</v>
      </c>
      <c r="J7" s="24">
        <f>I7+0.007</f>
        <v>3.0610687022900762E-2</v>
      </c>
      <c r="K7" s="22"/>
      <c r="L7" s="22"/>
      <c r="M7" s="20"/>
      <c r="Q7" s="2" t="s">
        <v>159</v>
      </c>
      <c r="R7" s="19"/>
      <c r="S7" s="19"/>
      <c r="T7" s="19"/>
      <c r="U7" s="19"/>
      <c r="V7" s="19"/>
      <c r="W7" s="19">
        <f>W8-W9</f>
        <v>84</v>
      </c>
    </row>
    <row r="8" spans="1:23" x14ac:dyDescent="0.25">
      <c r="E8">
        <f>SUM(E3:E7)</f>
        <v>2358000</v>
      </c>
      <c r="F8" s="21">
        <f>SUM(F3:F7)</f>
        <v>1</v>
      </c>
      <c r="M8" s="23">
        <f>SUM(M3:M7)</f>
        <v>0</v>
      </c>
      <c r="Q8" s="2" t="s">
        <v>160</v>
      </c>
      <c r="R8" s="19">
        <f t="shared" ref="R8:W8" si="0">SUM(R11:R15)</f>
        <v>168</v>
      </c>
      <c r="S8" s="19">
        <f t="shared" si="0"/>
        <v>168</v>
      </c>
      <c r="T8" s="19">
        <f t="shared" si="0"/>
        <v>336</v>
      </c>
      <c r="U8" s="19">
        <f t="shared" si="0"/>
        <v>336</v>
      </c>
      <c r="V8" s="19">
        <f t="shared" si="0"/>
        <v>336</v>
      </c>
      <c r="W8" s="19">
        <f t="shared" si="0"/>
        <v>84</v>
      </c>
    </row>
    <row r="9" spans="1:23" x14ac:dyDescent="0.25">
      <c r="Q9" s="2" t="s">
        <v>161</v>
      </c>
      <c r="R9" s="19">
        <f>C3/D3</f>
        <v>166.66666666666666</v>
      </c>
      <c r="S9" s="19">
        <f>C4/D4</f>
        <v>166.66666666666666</v>
      </c>
      <c r="T9" s="19">
        <f>C5/D5</f>
        <v>333.33333333333331</v>
      </c>
      <c r="U9" s="19">
        <f>C6/D6</f>
        <v>333.33333333333331</v>
      </c>
      <c r="V9" s="19">
        <f>C7/D7</f>
        <v>333.33333333333331</v>
      </c>
      <c r="W9" s="19"/>
    </row>
    <row r="10" spans="1:23" s="2" customFormat="1" x14ac:dyDescent="0.25">
      <c r="A10" s="2" t="s">
        <v>156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157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25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12</v>
      </c>
      <c r="R11">
        <f t="shared" ref="R11:W11" si="1">$P$11*J11</f>
        <v>84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</row>
    <row r="12" spans="1:23" x14ac:dyDescent="0.25">
      <c r="A12">
        <f>SUM(B12:H12)</f>
        <v>96</v>
      </c>
      <c r="B12">
        <v>15</v>
      </c>
      <c r="C12">
        <v>15</v>
      </c>
      <c r="D12">
        <v>15</v>
      </c>
      <c r="E12">
        <v>15</v>
      </c>
      <c r="F12">
        <v>18</v>
      </c>
      <c r="G12">
        <v>18</v>
      </c>
      <c r="K12">
        <v>4</v>
      </c>
      <c r="L12">
        <v>2</v>
      </c>
      <c r="P12" s="2">
        <v>42</v>
      </c>
      <c r="R12">
        <f t="shared" ref="R12:W12" si="2">$P$12*J12</f>
        <v>0</v>
      </c>
      <c r="S12">
        <f t="shared" si="2"/>
        <v>168</v>
      </c>
      <c r="T12">
        <f t="shared" si="2"/>
        <v>84</v>
      </c>
      <c r="U12">
        <f t="shared" si="2"/>
        <v>0</v>
      </c>
      <c r="V12">
        <f t="shared" si="2"/>
        <v>0</v>
      </c>
      <c r="W12">
        <f t="shared" si="2"/>
        <v>0</v>
      </c>
    </row>
    <row r="13" spans="1:23" x14ac:dyDescent="0.25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L13">
        <v>6</v>
      </c>
      <c r="P13" s="2">
        <v>28</v>
      </c>
      <c r="R13">
        <f t="shared" ref="R13:W13" si="3">$P$13*J13</f>
        <v>0</v>
      </c>
      <c r="S13">
        <f t="shared" si="3"/>
        <v>0</v>
      </c>
      <c r="T13">
        <f t="shared" si="3"/>
        <v>168</v>
      </c>
      <c r="U13">
        <f t="shared" si="3"/>
        <v>0</v>
      </c>
      <c r="V13">
        <f t="shared" si="3"/>
        <v>0</v>
      </c>
      <c r="W13">
        <f t="shared" si="3"/>
        <v>0</v>
      </c>
    </row>
    <row r="14" spans="1:23" x14ac:dyDescent="0.25">
      <c r="A14">
        <f>SUM(B14:H14)</f>
        <v>98</v>
      </c>
      <c r="B14">
        <v>17</v>
      </c>
      <c r="C14">
        <v>17</v>
      </c>
      <c r="D14">
        <v>17</v>
      </c>
      <c r="E14">
        <v>17</v>
      </c>
      <c r="F14">
        <v>16</v>
      </c>
      <c r="G14">
        <v>14</v>
      </c>
      <c r="J14">
        <v>1</v>
      </c>
      <c r="L14">
        <v>1</v>
      </c>
      <c r="M14">
        <v>4</v>
      </c>
      <c r="P14" s="2">
        <v>84</v>
      </c>
      <c r="R14">
        <f t="shared" ref="R14:W14" si="4">$P$14*J14</f>
        <v>84</v>
      </c>
      <c r="S14">
        <f t="shared" si="4"/>
        <v>0</v>
      </c>
      <c r="T14">
        <f t="shared" si="4"/>
        <v>84</v>
      </c>
      <c r="U14">
        <f t="shared" si="4"/>
        <v>336</v>
      </c>
      <c r="V14">
        <f t="shared" si="4"/>
        <v>0</v>
      </c>
      <c r="W14">
        <f t="shared" si="4"/>
        <v>0</v>
      </c>
    </row>
    <row r="15" spans="1:23" x14ac:dyDescent="0.25">
      <c r="A15">
        <f>SUM(B15:H15)</f>
        <v>96</v>
      </c>
      <c r="B15">
        <v>18</v>
      </c>
      <c r="C15">
        <v>18</v>
      </c>
      <c r="D15">
        <v>18</v>
      </c>
      <c r="E15">
        <v>18</v>
      </c>
      <c r="F15">
        <v>24</v>
      </c>
      <c r="N15">
        <v>4</v>
      </c>
      <c r="O15">
        <v>1</v>
      </c>
      <c r="P15" s="2">
        <v>84</v>
      </c>
      <c r="R15">
        <f t="shared" ref="R15:W15" si="5">$P$15*J15</f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336</v>
      </c>
      <c r="W15">
        <f t="shared" si="5"/>
        <v>84</v>
      </c>
    </row>
    <row r="17" spans="1:5" x14ac:dyDescent="0.25">
      <c r="A17" t="s">
        <v>162</v>
      </c>
      <c r="E17" t="s">
        <v>167</v>
      </c>
    </row>
    <row r="18" spans="1:5" x14ac:dyDescent="0.25">
      <c r="A18" t="s">
        <v>163</v>
      </c>
      <c r="B18" t="s">
        <v>164</v>
      </c>
      <c r="C18" t="s">
        <v>165</v>
      </c>
      <c r="D18" t="s">
        <v>166</v>
      </c>
    </row>
    <row r="19" spans="1:5" x14ac:dyDescent="0.25">
      <c r="A19">
        <v>98</v>
      </c>
      <c r="B19">
        <v>118</v>
      </c>
      <c r="C19">
        <v>0.6</v>
      </c>
      <c r="D19">
        <f>SUM(P11:P15)</f>
        <v>250</v>
      </c>
      <c r="E19">
        <f>D19*C19</f>
        <v>150</v>
      </c>
    </row>
  </sheetData>
  <mergeCells count="1">
    <mergeCell ref="A1:B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19"/>
  <sheetViews>
    <sheetView workbookViewId="0">
      <selection activeCell="J4" sqref="J4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8" customWidth="1"/>
    <col min="13" max="13" width="8.28515625" customWidth="1"/>
    <col min="14" max="14" width="3" bestFit="1" customWidth="1"/>
    <col min="15" max="15" width="5.28515625" customWidth="1"/>
    <col min="16" max="16" width="7.140625" bestFit="1" customWidth="1"/>
    <col min="18" max="20" width="6.140625" bestFit="1" customWidth="1"/>
    <col min="21" max="21" width="6.42578125" bestFit="1" customWidth="1"/>
    <col min="22" max="22" width="6.140625" bestFit="1" customWidth="1"/>
  </cols>
  <sheetData>
    <row r="1" spans="1:23" s="2" customFormat="1" x14ac:dyDescent="0.25">
      <c r="A1" s="31" t="s">
        <v>108</v>
      </c>
      <c r="B1" s="31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25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19.302045801526717</v>
      </c>
      <c r="H3" s="22">
        <f>G3/C3</f>
        <v>1.9302045801526717E-2</v>
      </c>
      <c r="I3" s="22">
        <f>H3+0.003</f>
        <v>2.2302045801526716E-2</v>
      </c>
      <c r="J3" s="24">
        <f>I3+0.008</f>
        <v>3.0302045801526716E-2</v>
      </c>
      <c r="K3" s="22">
        <v>2.7E-2</v>
      </c>
      <c r="L3" s="22">
        <f>K3-J3</f>
        <v>-3.3020458015267165E-3</v>
      </c>
      <c r="M3" s="20">
        <f>L3*C3</f>
        <v>-3.3020458015267167</v>
      </c>
    </row>
    <row r="4" spans="1:23" x14ac:dyDescent="0.25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20.680763358778623</v>
      </c>
      <c r="H4" s="22">
        <f>G4/C4</f>
        <v>2.0680763358778623E-2</v>
      </c>
      <c r="I4" s="22">
        <f>H4+0.003</f>
        <v>2.3680763358778622E-2</v>
      </c>
      <c r="J4" s="24">
        <f>I4+0.008</f>
        <v>3.1680763358778619E-2</v>
      </c>
      <c r="K4" s="22">
        <v>2.9700000000000001E-2</v>
      </c>
      <c r="L4" s="22">
        <f>K4-J4</f>
        <v>-1.9807633587786179E-3</v>
      </c>
      <c r="M4" s="20">
        <f>L4*C4</f>
        <v>-1.980763358778618</v>
      </c>
    </row>
    <row r="5" spans="1:23" x14ac:dyDescent="0.25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44.118961832061068</v>
      </c>
      <c r="H5" s="22">
        <f>G5/C5</f>
        <v>2.2059480916030536E-2</v>
      </c>
      <c r="I5" s="22">
        <f>H5+0.003</f>
        <v>2.5059480916030535E-2</v>
      </c>
      <c r="J5" s="24">
        <f>I5+0.008</f>
        <v>3.3059480916030531E-2</v>
      </c>
      <c r="K5" s="22">
        <v>2.98E-2</v>
      </c>
      <c r="L5" s="22">
        <f>K5-J5</f>
        <v>-3.2594809160305313E-3</v>
      </c>
      <c r="M5" s="20">
        <f>L5*C5</f>
        <v>-6.5189618320610627</v>
      </c>
    </row>
    <row r="6" spans="1:23" x14ac:dyDescent="0.25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46.876396946564881</v>
      </c>
      <c r="H6" s="22">
        <f>G6/C6</f>
        <v>2.3438198473282441E-2</v>
      </c>
      <c r="I6" s="22">
        <f>H6+0.003</f>
        <v>2.6438198473282441E-2</v>
      </c>
      <c r="J6" s="24">
        <f>I6+0.008</f>
        <v>3.4438198473282444E-2</v>
      </c>
      <c r="K6" s="22">
        <v>3.3399999999999999E-2</v>
      </c>
      <c r="L6" s="22">
        <f>K6-J6</f>
        <v>-1.0381984732824451E-3</v>
      </c>
      <c r="M6" s="20">
        <f>L6*C6</f>
        <v>-2.0763969465648904</v>
      </c>
      <c r="Q6" s="18" t="s">
        <v>9</v>
      </c>
    </row>
    <row r="7" spans="1:23" x14ac:dyDescent="0.25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49.633832061068702</v>
      </c>
      <c r="H7" s="22">
        <f>G7/C7</f>
        <v>2.4816916030534351E-2</v>
      </c>
      <c r="I7" s="22">
        <f>H7+0.003</f>
        <v>2.781691603053435E-2</v>
      </c>
      <c r="J7" s="24">
        <f>I7+0.008</f>
        <v>3.581691603053435E-2</v>
      </c>
      <c r="K7" s="22">
        <v>3.3399999999999999E-2</v>
      </c>
      <c r="L7" s="22">
        <f>K7-J7</f>
        <v>-2.4169160305343509E-3</v>
      </c>
      <c r="M7" s="20">
        <f>L7*C7</f>
        <v>-4.8338320610687022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25">
      <c r="E8">
        <f>SUM(E3:E7)</f>
        <v>2358000</v>
      </c>
      <c r="F8" s="21">
        <f>SUM(F3:F7)</f>
        <v>1</v>
      </c>
      <c r="M8" s="23">
        <f>SUM(M3:M7)</f>
        <v>-18.711999999999989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25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25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25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>
        <v>7</v>
      </c>
      <c r="M11">
        <v>1</v>
      </c>
      <c r="P11" s="2">
        <v>14</v>
      </c>
      <c r="R11">
        <f t="shared" ref="R11:W11" si="2">$P$11*J11</f>
        <v>98</v>
      </c>
      <c r="S11">
        <f t="shared" si="2"/>
        <v>0</v>
      </c>
      <c r="T11">
        <f t="shared" si="2"/>
        <v>0</v>
      </c>
      <c r="U11">
        <f t="shared" si="2"/>
        <v>14</v>
      </c>
      <c r="V11">
        <f t="shared" si="2"/>
        <v>0</v>
      </c>
      <c r="W11">
        <f t="shared" si="2"/>
        <v>0</v>
      </c>
    </row>
    <row r="12" spans="1:23" x14ac:dyDescent="0.25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K12">
        <v>5</v>
      </c>
      <c r="N12">
        <v>2</v>
      </c>
      <c r="P12" s="2">
        <v>29</v>
      </c>
      <c r="R12">
        <f t="shared" ref="R12:W12" si="3">$P$12*J12</f>
        <v>0</v>
      </c>
      <c r="S12">
        <f t="shared" si="3"/>
        <v>145</v>
      </c>
      <c r="T12">
        <f t="shared" si="3"/>
        <v>0</v>
      </c>
      <c r="U12">
        <f t="shared" si="3"/>
        <v>0</v>
      </c>
      <c r="V12">
        <f t="shared" si="3"/>
        <v>58</v>
      </c>
      <c r="W12">
        <f t="shared" si="3"/>
        <v>0</v>
      </c>
    </row>
    <row r="13" spans="1:23" x14ac:dyDescent="0.25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L13">
        <v>5</v>
      </c>
      <c r="M13">
        <v>1</v>
      </c>
      <c r="N13">
        <v>1</v>
      </c>
      <c r="P13" s="2">
        <v>49</v>
      </c>
      <c r="R13">
        <f t="shared" ref="R13:W13" si="4">$P$13*J13</f>
        <v>0</v>
      </c>
      <c r="S13">
        <f t="shared" si="4"/>
        <v>0</v>
      </c>
      <c r="T13">
        <f t="shared" si="4"/>
        <v>245</v>
      </c>
      <c r="U13">
        <f t="shared" si="4"/>
        <v>49</v>
      </c>
      <c r="V13">
        <f t="shared" si="4"/>
        <v>49</v>
      </c>
      <c r="W13">
        <f t="shared" si="4"/>
        <v>0</v>
      </c>
    </row>
    <row r="14" spans="1:23" x14ac:dyDescent="0.25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>
        <v>1</v>
      </c>
      <c r="L14">
        <v>1</v>
      </c>
      <c r="M14">
        <v>5</v>
      </c>
      <c r="P14" s="2">
        <v>45</v>
      </c>
      <c r="R14">
        <f t="shared" ref="R14:W14" si="5">$P$14*J14</f>
        <v>45</v>
      </c>
      <c r="S14">
        <f t="shared" si="5"/>
        <v>0</v>
      </c>
      <c r="T14">
        <f t="shared" si="5"/>
        <v>45</v>
      </c>
      <c r="U14">
        <f t="shared" si="5"/>
        <v>225</v>
      </c>
      <c r="V14">
        <f t="shared" si="5"/>
        <v>0</v>
      </c>
      <c r="W14">
        <f t="shared" si="5"/>
        <v>0</v>
      </c>
    </row>
    <row r="15" spans="1:23" x14ac:dyDescent="0.25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N15">
        <v>5</v>
      </c>
      <c r="O15">
        <v>1</v>
      </c>
      <c r="P15" s="2">
        <v>36</v>
      </c>
      <c r="R15">
        <f t="shared" ref="R15:W15" si="6">$P$15*J15</f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180</v>
      </c>
      <c r="W15">
        <f t="shared" si="6"/>
        <v>36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126</v>
      </c>
      <c r="C19">
        <v>1.044</v>
      </c>
      <c r="D19">
        <f>SUM(P11:P15)</f>
        <v>173</v>
      </c>
      <c r="E19">
        <f>D19*C19</f>
        <v>180.61199999999999</v>
      </c>
    </row>
  </sheetData>
  <mergeCells count="1">
    <mergeCell ref="A1: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19"/>
  <sheetViews>
    <sheetView workbookViewId="0">
      <selection activeCell="H24" sqref="H24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8" customWidth="1"/>
    <col min="13" max="13" width="8.28515625" customWidth="1"/>
    <col min="14" max="14" width="3" bestFit="1" customWidth="1"/>
    <col min="15" max="15" width="5.28515625" customWidth="1"/>
    <col min="16" max="16" width="7.140625" bestFit="1" customWidth="1"/>
    <col min="18" max="20" width="6.140625" bestFit="1" customWidth="1"/>
    <col min="21" max="21" width="6.42578125" bestFit="1" customWidth="1"/>
    <col min="22" max="22" width="6.140625" bestFit="1" customWidth="1"/>
  </cols>
  <sheetData>
    <row r="1" spans="1:23" s="2" customFormat="1" x14ac:dyDescent="0.25">
      <c r="A1" s="31" t="s">
        <v>108</v>
      </c>
      <c r="B1" s="31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25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21.049213740458018</v>
      </c>
      <c r="H3" s="22">
        <f>G3/C3</f>
        <v>2.1049213740458018E-2</v>
      </c>
      <c r="I3" s="22">
        <f>H3+0.003</f>
        <v>2.4049213740458018E-2</v>
      </c>
      <c r="J3" s="24">
        <f>I3+0.008</f>
        <v>3.2049213740458021E-2</v>
      </c>
      <c r="K3" s="22">
        <v>2.7E-2</v>
      </c>
      <c r="L3" s="22">
        <f>K3-J3</f>
        <v>-5.0492137404580216E-3</v>
      </c>
      <c r="M3" s="20">
        <f>L3*C3</f>
        <v>-5.049213740458022</v>
      </c>
    </row>
    <row r="4" spans="1:23" x14ac:dyDescent="0.25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22.552729007633591</v>
      </c>
      <c r="H4" s="22">
        <f>G4/C4</f>
        <v>2.2552729007633592E-2</v>
      </c>
      <c r="I4" s="22">
        <f>H4+0.003</f>
        <v>2.5552729007633591E-2</v>
      </c>
      <c r="J4" s="24">
        <f>I4+0.008</f>
        <v>3.3552729007633592E-2</v>
      </c>
      <c r="K4" s="22">
        <v>2.9700000000000001E-2</v>
      </c>
      <c r="L4" s="22">
        <f>K4-J4</f>
        <v>-3.8527290076335909E-3</v>
      </c>
      <c r="M4" s="20">
        <f>L4*C4</f>
        <v>-3.8527290076335907</v>
      </c>
    </row>
    <row r="5" spans="1:23" x14ac:dyDescent="0.25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48.112488549618327</v>
      </c>
      <c r="H5" s="22">
        <f>G5/C5</f>
        <v>2.4056244274809162E-2</v>
      </c>
      <c r="I5" s="22">
        <f>H5+0.003</f>
        <v>2.7056244274809162E-2</v>
      </c>
      <c r="J5" s="24">
        <f>I5+0.008</f>
        <v>3.5056244274809162E-2</v>
      </c>
      <c r="K5" s="22">
        <v>2.98E-2</v>
      </c>
      <c r="L5" s="22">
        <f>K5-J5</f>
        <v>-5.2562442748091617E-3</v>
      </c>
      <c r="M5" s="20">
        <f>L5*C5</f>
        <v>-10.512488549618324</v>
      </c>
    </row>
    <row r="6" spans="1:23" x14ac:dyDescent="0.25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51.119519083969472</v>
      </c>
      <c r="H6" s="22">
        <f>G6/C6</f>
        <v>2.5559759541984736E-2</v>
      </c>
      <c r="I6" s="22">
        <f>H6+0.003</f>
        <v>2.8559759541984735E-2</v>
      </c>
      <c r="J6" s="24">
        <f>I6+0.008</f>
        <v>3.6559759541984732E-2</v>
      </c>
      <c r="K6" s="22">
        <v>3.3399999999999999E-2</v>
      </c>
      <c r="L6" s="22">
        <f>K6-J6</f>
        <v>-3.159759541984733E-3</v>
      </c>
      <c r="M6" s="20">
        <f>L6*C6</f>
        <v>-6.3195190839694657</v>
      </c>
      <c r="Q6" s="18" t="s">
        <v>9</v>
      </c>
    </row>
    <row r="7" spans="1:23" x14ac:dyDescent="0.25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54.126549618320617</v>
      </c>
      <c r="H7" s="22">
        <f>G7/C7</f>
        <v>2.706327480916031E-2</v>
      </c>
      <c r="I7" s="22">
        <f>H7+0.003</f>
        <v>3.0063274809160309E-2</v>
      </c>
      <c r="J7" s="24">
        <f>I7+0.008</f>
        <v>3.8063274809160309E-2</v>
      </c>
      <c r="K7" s="22">
        <v>3.3399999999999999E-2</v>
      </c>
      <c r="L7" s="22">
        <f>K7-J7</f>
        <v>-4.6632748091603102E-3</v>
      </c>
      <c r="M7" s="20">
        <f>L7*C7</f>
        <v>-9.3265496183206196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25">
      <c r="E8">
        <f>SUM(E3:E7)</f>
        <v>2358000</v>
      </c>
      <c r="F8" s="21">
        <f>SUM(F3:F7)</f>
        <v>1</v>
      </c>
      <c r="M8" s="23">
        <f>SUM(M3:M7)</f>
        <v>-35.060500000000026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25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25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25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>
        <v>7</v>
      </c>
      <c r="M11">
        <v>1</v>
      </c>
      <c r="P11" s="2">
        <v>14</v>
      </c>
      <c r="R11">
        <f t="shared" ref="R11:W11" si="2">$P$11*J11</f>
        <v>98</v>
      </c>
      <c r="S11">
        <f t="shared" si="2"/>
        <v>0</v>
      </c>
      <c r="T11">
        <f t="shared" si="2"/>
        <v>0</v>
      </c>
      <c r="U11">
        <f t="shared" si="2"/>
        <v>14</v>
      </c>
      <c r="V11">
        <f t="shared" si="2"/>
        <v>0</v>
      </c>
      <c r="W11">
        <f t="shared" si="2"/>
        <v>0</v>
      </c>
    </row>
    <row r="12" spans="1:23" x14ac:dyDescent="0.25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K12">
        <v>5</v>
      </c>
      <c r="N12">
        <v>2</v>
      </c>
      <c r="P12" s="2">
        <v>29</v>
      </c>
      <c r="R12">
        <f t="shared" ref="R12:W12" si="3">$P$12*J12</f>
        <v>0</v>
      </c>
      <c r="S12">
        <f t="shared" si="3"/>
        <v>145</v>
      </c>
      <c r="T12">
        <f t="shared" si="3"/>
        <v>0</v>
      </c>
      <c r="U12">
        <f t="shared" si="3"/>
        <v>0</v>
      </c>
      <c r="V12">
        <f t="shared" si="3"/>
        <v>58</v>
      </c>
      <c r="W12">
        <f t="shared" si="3"/>
        <v>0</v>
      </c>
    </row>
    <row r="13" spans="1:23" x14ac:dyDescent="0.25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L13">
        <v>5</v>
      </c>
      <c r="M13">
        <v>1</v>
      </c>
      <c r="N13">
        <v>1</v>
      </c>
      <c r="P13" s="2">
        <v>49</v>
      </c>
      <c r="R13">
        <f t="shared" ref="R13:W13" si="4">$P$13*J13</f>
        <v>0</v>
      </c>
      <c r="S13">
        <f t="shared" si="4"/>
        <v>0</v>
      </c>
      <c r="T13">
        <f t="shared" si="4"/>
        <v>245</v>
      </c>
      <c r="U13">
        <f t="shared" si="4"/>
        <v>49</v>
      </c>
      <c r="V13">
        <f t="shared" si="4"/>
        <v>49</v>
      </c>
      <c r="W13">
        <f t="shared" si="4"/>
        <v>0</v>
      </c>
    </row>
    <row r="14" spans="1:23" x14ac:dyDescent="0.25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>
        <v>1</v>
      </c>
      <c r="L14">
        <v>1</v>
      </c>
      <c r="M14">
        <v>5</v>
      </c>
      <c r="P14" s="2">
        <v>45</v>
      </c>
      <c r="R14">
        <f t="shared" ref="R14:W14" si="5">$P$14*J14</f>
        <v>45</v>
      </c>
      <c r="S14">
        <f t="shared" si="5"/>
        <v>0</v>
      </c>
      <c r="T14">
        <f t="shared" si="5"/>
        <v>45</v>
      </c>
      <c r="U14">
        <f t="shared" si="5"/>
        <v>225</v>
      </c>
      <c r="V14">
        <f t="shared" si="5"/>
        <v>0</v>
      </c>
      <c r="W14">
        <f t="shared" si="5"/>
        <v>0</v>
      </c>
    </row>
    <row r="15" spans="1:23" x14ac:dyDescent="0.25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N15">
        <v>5</v>
      </c>
      <c r="O15">
        <v>1</v>
      </c>
      <c r="P15" s="2">
        <v>36</v>
      </c>
      <c r="R15">
        <f t="shared" ref="R15:W15" si="6">$P$15*J15</f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180</v>
      </c>
      <c r="W15">
        <f t="shared" si="6"/>
        <v>36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126</v>
      </c>
      <c r="C19">
        <v>1.1385000000000001</v>
      </c>
      <c r="D19">
        <f>SUM(P11:P15)</f>
        <v>173</v>
      </c>
      <c r="E19">
        <f>D19*C19</f>
        <v>196.96050000000002</v>
      </c>
    </row>
  </sheetData>
  <mergeCells count="1">
    <mergeCell ref="A1:B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4"/>
  <sheetViews>
    <sheetView zoomScale="130" zoomScaleNormal="130" workbookViewId="0">
      <selection activeCell="H16" sqref="H16"/>
    </sheetView>
  </sheetViews>
  <sheetFormatPr defaultRowHeight="15" x14ac:dyDescent="0.25"/>
  <cols>
    <col min="1" max="1" width="8.140625" bestFit="1" customWidth="1"/>
    <col min="2" max="2" width="5.5703125" bestFit="1" customWidth="1"/>
    <col min="3" max="3" width="8.28515625" bestFit="1" customWidth="1"/>
    <col min="4" max="4" width="5.7109375" customWidth="1"/>
    <col min="5" max="5" width="9" bestFit="1" customWidth="1"/>
    <col min="6" max="6" width="5.28515625" bestFit="1" customWidth="1"/>
    <col min="7" max="7" width="5" bestFit="1" customWidth="1"/>
    <col min="9" max="9" width="6.42578125" bestFit="1" customWidth="1"/>
    <col min="10" max="10" width="7.42578125" bestFit="1" customWidth="1"/>
    <col min="11" max="11" width="6.5703125" bestFit="1" customWidth="1"/>
    <col min="14" max="14" width="8.85546875" style="2"/>
  </cols>
  <sheetData>
    <row r="1" spans="1:17" x14ac:dyDescent="0.25">
      <c r="A1" s="29" t="s">
        <v>94</v>
      </c>
      <c r="B1" s="29"/>
      <c r="D1" t="s">
        <v>24</v>
      </c>
      <c r="G1" t="s">
        <v>141</v>
      </c>
      <c r="I1" t="s">
        <v>81</v>
      </c>
      <c r="K1" t="s">
        <v>70</v>
      </c>
    </row>
    <row r="2" spans="1:17" x14ac:dyDescent="0.25">
      <c r="A2" t="s">
        <v>1</v>
      </c>
      <c r="B2" t="s">
        <v>2</v>
      </c>
      <c r="C2" t="s">
        <v>3</v>
      </c>
      <c r="E2" t="s">
        <v>16</v>
      </c>
      <c r="F2" t="s">
        <v>17</v>
      </c>
      <c r="H2" t="s">
        <v>21</v>
      </c>
      <c r="J2" s="2" t="s">
        <v>144</v>
      </c>
      <c r="L2" t="s">
        <v>30</v>
      </c>
      <c r="M2" s="14">
        <v>0.5</v>
      </c>
    </row>
    <row r="3" spans="1:17" x14ac:dyDescent="0.25">
      <c r="A3">
        <v>15</v>
      </c>
      <c r="B3">
        <v>18</v>
      </c>
      <c r="C3">
        <v>10000</v>
      </c>
      <c r="D3">
        <v>6</v>
      </c>
      <c r="E3">
        <f>C3*B3*A3</f>
        <v>2700000</v>
      </c>
      <c r="F3">
        <f>E3/$E$5</f>
        <v>0.4838709677419355</v>
      </c>
      <c r="G3">
        <f>$E$9*F3</f>
        <v>177.67741935483872</v>
      </c>
      <c r="H3">
        <f>G3/C3</f>
        <v>1.7767741935483871E-2</v>
      </c>
      <c r="I3" s="22">
        <f>0.003+H3</f>
        <v>2.076774193548387E-2</v>
      </c>
      <c r="J3" s="24">
        <f>I3+0.01</f>
        <v>3.0767741935483872E-2</v>
      </c>
      <c r="K3">
        <f>J3*C3</f>
        <v>307.67741935483872</v>
      </c>
    </row>
    <row r="4" spans="1:17" x14ac:dyDescent="0.25">
      <c r="A4">
        <v>16</v>
      </c>
      <c r="B4">
        <v>18</v>
      </c>
      <c r="C4">
        <v>10000</v>
      </c>
      <c r="D4">
        <v>6</v>
      </c>
      <c r="E4">
        <f>C4*B4*A4</f>
        <v>2880000</v>
      </c>
      <c r="F4">
        <f>E4/$E$5</f>
        <v>0.5161290322580645</v>
      </c>
      <c r="G4">
        <f>$E$9*F4</f>
        <v>189.52258064516127</v>
      </c>
      <c r="H4">
        <f>G4/C4</f>
        <v>1.8952258064516128E-2</v>
      </c>
      <c r="I4" s="22">
        <f>0.003+H4</f>
        <v>2.1952258064516127E-2</v>
      </c>
      <c r="J4" s="24">
        <f>I4+0.01</f>
        <v>3.1952258064516126E-2</v>
      </c>
      <c r="K4">
        <f>J4*C4</f>
        <v>319.52258064516127</v>
      </c>
    </row>
    <row r="5" spans="1:17" x14ac:dyDescent="0.25">
      <c r="C5">
        <f>SUM(C3:C4)</f>
        <v>20000</v>
      </c>
      <c r="E5">
        <f>SUM(E3:E4)</f>
        <v>5580000</v>
      </c>
      <c r="F5">
        <f>SUM(F3:F4)</f>
        <v>1</v>
      </c>
      <c r="G5">
        <f>SUM(G3:G4)</f>
        <v>367.2</v>
      </c>
      <c r="I5">
        <f>C5*0.003</f>
        <v>60</v>
      </c>
      <c r="K5">
        <f>SUM(K3:K4)</f>
        <v>627.20000000000005</v>
      </c>
      <c r="L5">
        <f>K5-I5-G5</f>
        <v>200.00000000000006</v>
      </c>
      <c r="M5">
        <f>L5/2</f>
        <v>100.00000000000003</v>
      </c>
    </row>
    <row r="7" spans="1:17" x14ac:dyDescent="0.25">
      <c r="A7" t="s">
        <v>37</v>
      </c>
      <c r="N7" s="2" t="s">
        <v>9</v>
      </c>
    </row>
    <row r="8" spans="1:17" x14ac:dyDescent="0.25">
      <c r="A8" t="s">
        <v>1</v>
      </c>
      <c r="B8" t="s">
        <v>2</v>
      </c>
      <c r="C8" t="s">
        <v>15</v>
      </c>
      <c r="D8" t="s">
        <v>3</v>
      </c>
      <c r="E8" t="s">
        <v>70</v>
      </c>
      <c r="N8" s="2" t="s">
        <v>41</v>
      </c>
      <c r="Q8">
        <f>Q9</f>
        <v>334</v>
      </c>
    </row>
    <row r="9" spans="1:17" x14ac:dyDescent="0.25">
      <c r="A9">
        <v>98</v>
      </c>
      <c r="B9">
        <v>118</v>
      </c>
      <c r="C9">
        <v>0.6</v>
      </c>
      <c r="D9">
        <f>M14</f>
        <v>612</v>
      </c>
      <c r="E9">
        <f>D9*C9</f>
        <v>367.2</v>
      </c>
      <c r="N9" s="2" t="s">
        <v>47</v>
      </c>
      <c r="O9">
        <f>SUM(O12:O13)</f>
        <v>1670</v>
      </c>
      <c r="P9">
        <f>SUM(P12:P13)</f>
        <v>1668</v>
      </c>
      <c r="Q9">
        <f>SUM(Q12:Q13)</f>
        <v>334</v>
      </c>
    </row>
    <row r="10" spans="1:17" x14ac:dyDescent="0.25">
      <c r="N10" s="2" t="s">
        <v>139</v>
      </c>
      <c r="O10">
        <f>C3/D3</f>
        <v>1666.6666666666667</v>
      </c>
      <c r="P10">
        <f>C4/D4</f>
        <v>1666.6666666666667</v>
      </c>
    </row>
    <row r="11" spans="1:17" s="2" customFormat="1" x14ac:dyDescent="0.25">
      <c r="A11" s="2" t="s">
        <v>96</v>
      </c>
      <c r="I11" s="2">
        <v>15</v>
      </c>
      <c r="J11" s="2">
        <v>16</v>
      </c>
      <c r="K11" s="2">
        <v>22</v>
      </c>
      <c r="M11" s="2" t="s">
        <v>7</v>
      </c>
      <c r="O11" s="2">
        <v>15</v>
      </c>
      <c r="P11" s="2">
        <v>16</v>
      </c>
      <c r="Q11" s="2">
        <v>22</v>
      </c>
    </row>
    <row r="12" spans="1:17" x14ac:dyDescent="0.25">
      <c r="A12">
        <f>SUM(B12:H12)</f>
        <v>97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22</v>
      </c>
      <c r="I12">
        <v>5</v>
      </c>
      <c r="K12">
        <v>1</v>
      </c>
      <c r="M12" s="2">
        <v>334</v>
      </c>
      <c r="O12">
        <f>$M$12*I12</f>
        <v>1670</v>
      </c>
      <c r="P12">
        <f>$M$12*J12</f>
        <v>0</v>
      </c>
      <c r="Q12">
        <f>$M$12*K12</f>
        <v>334</v>
      </c>
    </row>
    <row r="13" spans="1:17" x14ac:dyDescent="0.25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J13">
        <v>6</v>
      </c>
      <c r="M13" s="2">
        <v>278</v>
      </c>
      <c r="O13">
        <f>$M$13*I13</f>
        <v>0</v>
      </c>
      <c r="P13">
        <f>$M$13*J13</f>
        <v>1668</v>
      </c>
      <c r="Q13">
        <f>$M$13*K13</f>
        <v>0</v>
      </c>
    </row>
    <row r="14" spans="1:17" x14ac:dyDescent="0.25">
      <c r="M14">
        <f>SUM(M12:M13)</f>
        <v>612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3"/>
  <sheetViews>
    <sheetView workbookViewId="0">
      <selection activeCell="G25" sqref="G25"/>
    </sheetView>
  </sheetViews>
  <sheetFormatPr defaultRowHeight="15" x14ac:dyDescent="0.25"/>
  <cols>
    <col min="2" max="2" width="9.28515625" bestFit="1" customWidth="1"/>
    <col min="3" max="3" width="9.85546875" customWidth="1"/>
    <col min="4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25">
      <c r="B3" t="s">
        <v>95</v>
      </c>
      <c r="C3">
        <v>13</v>
      </c>
      <c r="D3">
        <v>17</v>
      </c>
      <c r="E3">
        <v>30000</v>
      </c>
      <c r="F3">
        <v>25.4</v>
      </c>
      <c r="G3">
        <f t="shared" ref="G3:G9" si="0">F3*E3/1000</f>
        <v>762</v>
      </c>
      <c r="R3">
        <v>7</v>
      </c>
      <c r="S3">
        <f t="shared" ref="S3:S9" si="1">E3/R3</f>
        <v>4285.7142857142853</v>
      </c>
    </row>
    <row r="4" spans="2:28" x14ac:dyDescent="0.25">
      <c r="B4" t="s">
        <v>95</v>
      </c>
      <c r="C4">
        <v>14</v>
      </c>
      <c r="D4">
        <v>17</v>
      </c>
      <c r="E4">
        <v>25000</v>
      </c>
      <c r="F4">
        <v>28.4</v>
      </c>
      <c r="G4">
        <f t="shared" si="0"/>
        <v>710</v>
      </c>
      <c r="K4" s="2"/>
      <c r="M4" s="2"/>
      <c r="R4">
        <v>7</v>
      </c>
      <c r="S4">
        <f t="shared" si="1"/>
        <v>3571.4285714285716</v>
      </c>
    </row>
    <row r="5" spans="2:28" x14ac:dyDescent="0.25">
      <c r="B5" t="s">
        <v>95</v>
      </c>
      <c r="C5">
        <v>15</v>
      </c>
      <c r="D5">
        <v>17</v>
      </c>
      <c r="E5">
        <v>25000</v>
      </c>
      <c r="F5">
        <v>30.15</v>
      </c>
      <c r="G5">
        <f t="shared" si="0"/>
        <v>753.75</v>
      </c>
      <c r="K5" s="2"/>
      <c r="M5" s="2"/>
      <c r="R5">
        <v>7</v>
      </c>
      <c r="S5">
        <f t="shared" si="1"/>
        <v>3571.4285714285716</v>
      </c>
    </row>
    <row r="6" spans="2:28" x14ac:dyDescent="0.25">
      <c r="B6" t="s">
        <v>95</v>
      </c>
      <c r="C6">
        <v>17</v>
      </c>
      <c r="D6">
        <v>17</v>
      </c>
      <c r="E6">
        <v>8000</v>
      </c>
      <c r="F6">
        <v>34.15</v>
      </c>
      <c r="G6">
        <f t="shared" si="0"/>
        <v>273.2</v>
      </c>
      <c r="K6" s="2"/>
      <c r="M6" s="2"/>
      <c r="R6">
        <v>7</v>
      </c>
      <c r="S6">
        <f t="shared" si="1"/>
        <v>1142.8571428571429</v>
      </c>
    </row>
    <row r="7" spans="2:28" x14ac:dyDescent="0.25">
      <c r="B7" t="s">
        <v>95</v>
      </c>
      <c r="C7">
        <v>20</v>
      </c>
      <c r="D7">
        <v>10</v>
      </c>
      <c r="E7">
        <v>20000</v>
      </c>
      <c r="F7">
        <v>24.7</v>
      </c>
      <c r="G7">
        <f t="shared" si="0"/>
        <v>494</v>
      </c>
      <c r="R7">
        <v>12</v>
      </c>
      <c r="S7">
        <f t="shared" si="1"/>
        <v>1666.6666666666667</v>
      </c>
    </row>
    <row r="8" spans="2:28" x14ac:dyDescent="0.25">
      <c r="B8" t="s">
        <v>95</v>
      </c>
      <c r="C8">
        <v>22</v>
      </c>
      <c r="D8">
        <v>10</v>
      </c>
      <c r="E8">
        <v>20000</v>
      </c>
      <c r="F8">
        <v>24.349999999999998</v>
      </c>
      <c r="G8">
        <f t="shared" si="0"/>
        <v>486.99999999999994</v>
      </c>
      <c r="R8">
        <v>12</v>
      </c>
      <c r="S8">
        <f t="shared" si="1"/>
        <v>1666.6666666666667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B9" t="s">
        <v>95</v>
      </c>
      <c r="C9">
        <v>24</v>
      </c>
      <c r="D9">
        <v>10</v>
      </c>
      <c r="E9">
        <v>15000</v>
      </c>
      <c r="F9">
        <v>30.4</v>
      </c>
      <c r="G9">
        <f t="shared" si="0"/>
        <v>456</v>
      </c>
      <c r="R9">
        <v>12</v>
      </c>
      <c r="S9">
        <f t="shared" si="1"/>
        <v>1250</v>
      </c>
      <c r="U9" t="s">
        <v>47</v>
      </c>
      <c r="V9">
        <f t="shared" ref="V9:AB9" si="2">SUM(V12:V18)</f>
        <v>4287</v>
      </c>
      <c r="W9">
        <f t="shared" si="2"/>
        <v>3573</v>
      </c>
      <c r="X9">
        <f t="shared" si="2"/>
        <v>3573</v>
      </c>
      <c r="Y9">
        <f t="shared" si="2"/>
        <v>1191</v>
      </c>
      <c r="Z9">
        <f t="shared" si="2"/>
        <v>1667</v>
      </c>
      <c r="AA9">
        <f t="shared" si="2"/>
        <v>1667</v>
      </c>
      <c r="AB9">
        <f t="shared" si="2"/>
        <v>1251</v>
      </c>
    </row>
    <row r="10" spans="2:28" x14ac:dyDescent="0.25">
      <c r="E10" s="2">
        <f>SUM(E3:E9)</f>
        <v>143000</v>
      </c>
      <c r="G10" s="2">
        <f>SUM(G3:G9)</f>
        <v>3935.95</v>
      </c>
      <c r="U10" t="s">
        <v>11</v>
      </c>
      <c r="V10">
        <f>S3</f>
        <v>4285.7142857142853</v>
      </c>
      <c r="W10">
        <f>S4</f>
        <v>3571.4285714285716</v>
      </c>
      <c r="X10">
        <f>S5</f>
        <v>3571.4285714285716</v>
      </c>
      <c r="Y10">
        <f>S6</f>
        <v>1142.8571428571429</v>
      </c>
      <c r="Z10">
        <f>S7</f>
        <v>1666.6666666666667</v>
      </c>
      <c r="AA10">
        <f>S8</f>
        <v>1666.6666666666667</v>
      </c>
      <c r="AB10">
        <f>S9</f>
        <v>1250</v>
      </c>
    </row>
    <row r="11" spans="2:28" x14ac:dyDescent="0.25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25">
      <c r="B12" s="2">
        <f t="shared" ref="B12:B18" si="3">SUM(C12:K12)</f>
        <v>61</v>
      </c>
      <c r="C12">
        <v>13</v>
      </c>
      <c r="D12">
        <v>13</v>
      </c>
      <c r="E12">
        <v>13</v>
      </c>
      <c r="F12">
        <v>22</v>
      </c>
      <c r="M12">
        <v>3</v>
      </c>
      <c r="R12">
        <v>1</v>
      </c>
      <c r="U12" s="2">
        <v>1429</v>
      </c>
      <c r="V12">
        <f t="shared" ref="V12:AB12" si="4">$U$12*M12</f>
        <v>4287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1429</v>
      </c>
      <c r="AB12">
        <f t="shared" si="4"/>
        <v>0</v>
      </c>
    </row>
    <row r="13" spans="2:28" x14ac:dyDescent="0.25">
      <c r="B13" s="2">
        <f t="shared" si="3"/>
        <v>62</v>
      </c>
      <c r="C13">
        <v>14</v>
      </c>
      <c r="D13">
        <v>14</v>
      </c>
      <c r="E13">
        <v>14</v>
      </c>
      <c r="F13">
        <v>20</v>
      </c>
      <c r="N13">
        <v>3</v>
      </c>
      <c r="Q13">
        <v>1</v>
      </c>
      <c r="U13" s="2">
        <v>1191</v>
      </c>
      <c r="V13">
        <f t="shared" ref="V13:AB13" si="5">$U$13*M13</f>
        <v>0</v>
      </c>
      <c r="W13">
        <f t="shared" si="5"/>
        <v>3573</v>
      </c>
      <c r="X13">
        <f t="shared" si="5"/>
        <v>0</v>
      </c>
      <c r="Y13">
        <f t="shared" si="5"/>
        <v>0</v>
      </c>
      <c r="Z13">
        <f t="shared" si="5"/>
        <v>1191</v>
      </c>
      <c r="AA13">
        <f t="shared" si="5"/>
        <v>0</v>
      </c>
      <c r="AB13">
        <f t="shared" si="5"/>
        <v>0</v>
      </c>
    </row>
    <row r="14" spans="2:28" x14ac:dyDescent="0.25">
      <c r="B14" s="2">
        <f t="shared" si="3"/>
        <v>62</v>
      </c>
      <c r="C14">
        <v>15</v>
      </c>
      <c r="D14">
        <v>15</v>
      </c>
      <c r="E14">
        <v>15</v>
      </c>
      <c r="F14">
        <v>17</v>
      </c>
      <c r="O14">
        <v>3</v>
      </c>
      <c r="P14">
        <v>1</v>
      </c>
      <c r="U14" s="2">
        <v>1191</v>
      </c>
      <c r="V14">
        <f t="shared" ref="V14:AB14" si="6">$U$14*M14</f>
        <v>0</v>
      </c>
      <c r="W14">
        <f t="shared" si="6"/>
        <v>0</v>
      </c>
      <c r="X14">
        <f t="shared" si="6"/>
        <v>3573</v>
      </c>
      <c r="Y14">
        <f t="shared" si="6"/>
        <v>1191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25">
      <c r="B15" s="2">
        <f t="shared" si="3"/>
        <v>62</v>
      </c>
      <c r="C15">
        <v>17</v>
      </c>
      <c r="D15">
        <v>17</v>
      </c>
      <c r="E15">
        <v>14</v>
      </c>
      <c r="F15">
        <v>14</v>
      </c>
      <c r="N15">
        <v>2</v>
      </c>
      <c r="P15">
        <v>2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25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238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476</v>
      </c>
      <c r="AA16">
        <f t="shared" si="8"/>
        <v>238</v>
      </c>
      <c r="AB16">
        <f t="shared" si="8"/>
        <v>0</v>
      </c>
    </row>
    <row r="17" spans="2:28" x14ac:dyDescent="0.25">
      <c r="B17" s="2">
        <f t="shared" si="3"/>
        <v>61</v>
      </c>
      <c r="C17">
        <v>22</v>
      </c>
      <c r="D17">
        <v>22</v>
      </c>
      <c r="E17">
        <v>17</v>
      </c>
      <c r="P17">
        <v>1</v>
      </c>
      <c r="R17">
        <v>2</v>
      </c>
      <c r="U17" s="2">
        <v>0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</row>
    <row r="18" spans="2:28" x14ac:dyDescent="0.25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417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1251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62</v>
      </c>
      <c r="S21">
        <v>128</v>
      </c>
      <c r="U21">
        <f>SUM(U12:U17)</f>
        <v>4049</v>
      </c>
      <c r="V21">
        <v>0.55000000000000004</v>
      </c>
      <c r="W21">
        <f>V21*U21</f>
        <v>2226.9500000000003</v>
      </c>
    </row>
    <row r="22" spans="2:28" x14ac:dyDescent="0.25">
      <c r="B22" s="2" t="s">
        <v>97</v>
      </c>
      <c r="D22" s="2" t="s">
        <v>98</v>
      </c>
      <c r="R22">
        <v>72</v>
      </c>
      <c r="S22">
        <v>128</v>
      </c>
      <c r="U22">
        <f>U18</f>
        <v>417</v>
      </c>
      <c r="V22">
        <v>0.6</v>
      </c>
      <c r="W22">
        <f>V22*U22</f>
        <v>250.2</v>
      </c>
    </row>
    <row r="23" spans="2:28" x14ac:dyDescent="0.25">
      <c r="B23" s="2">
        <f>E10*3/1000</f>
        <v>429</v>
      </c>
      <c r="C23">
        <f>G10-W23-B23</f>
        <v>1029.7999999999997</v>
      </c>
      <c r="D23" s="2">
        <f>C23/2</f>
        <v>514.89999999999986</v>
      </c>
      <c r="W23">
        <f>SUM(W21:W22)</f>
        <v>2477.15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23"/>
  <sheetViews>
    <sheetView workbookViewId="0">
      <selection activeCell="E6" sqref="E6"/>
    </sheetView>
  </sheetViews>
  <sheetFormatPr defaultRowHeight="15" x14ac:dyDescent="0.25"/>
  <cols>
    <col min="2" max="2" width="9.28515625" bestFit="1" customWidth="1"/>
    <col min="3" max="3" width="9.85546875" customWidth="1"/>
    <col min="4" max="8" width="7.7109375" customWidth="1"/>
    <col min="9" max="9" width="9" bestFit="1" customWidth="1"/>
    <col min="10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N1" t="s">
        <v>138</v>
      </c>
      <c r="O1" s="2" t="s">
        <v>30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I2" t="s">
        <v>16</v>
      </c>
      <c r="J2" t="s">
        <v>17</v>
      </c>
      <c r="K2" t="s">
        <v>136</v>
      </c>
      <c r="L2" t="s">
        <v>15</v>
      </c>
      <c r="M2" t="s">
        <v>137</v>
      </c>
      <c r="P2" s="17">
        <v>0.5</v>
      </c>
      <c r="S2" t="s">
        <v>64</v>
      </c>
    </row>
    <row r="3" spans="2:28" x14ac:dyDescent="0.25">
      <c r="B3" t="s">
        <v>95</v>
      </c>
      <c r="C3">
        <v>17</v>
      </c>
      <c r="D3">
        <v>24</v>
      </c>
      <c r="E3">
        <v>3000</v>
      </c>
      <c r="F3">
        <f>N3</f>
        <v>4.1782178217821785E-2</v>
      </c>
      <c r="G3">
        <f>F3*E3</f>
        <v>125.34653465346535</v>
      </c>
      <c r="I3">
        <f>C3*D3*E3</f>
        <v>1224000</v>
      </c>
      <c r="J3">
        <f>I3/$I$6</f>
        <v>0.50495049504950495</v>
      </c>
      <c r="K3">
        <f>$W$23*J3</f>
        <v>86.346534653465341</v>
      </c>
      <c r="L3">
        <f>K3/E3</f>
        <v>2.878217821782178E-2</v>
      </c>
      <c r="M3">
        <f>L3+0.003</f>
        <v>3.1782178217821783E-2</v>
      </c>
      <c r="N3">
        <f>M3+0.01</f>
        <v>4.1782178217821785E-2</v>
      </c>
      <c r="Q3">
        <f>S22/D3</f>
        <v>5</v>
      </c>
      <c r="R3">
        <v>5</v>
      </c>
      <c r="S3">
        <f t="shared" ref="S3:S9" si="0">E3/R3</f>
        <v>600</v>
      </c>
    </row>
    <row r="4" spans="2:28" x14ac:dyDescent="0.25">
      <c r="B4" t="s">
        <v>95</v>
      </c>
      <c r="C4">
        <v>20</v>
      </c>
      <c r="D4">
        <v>17</v>
      </c>
      <c r="E4">
        <v>2000</v>
      </c>
      <c r="F4">
        <f>N4</f>
        <v>3.6985148514851483E-2</v>
      </c>
      <c r="G4">
        <f>F4*E4</f>
        <v>73.970297029702962</v>
      </c>
      <c r="I4">
        <f>C4*D4*E4</f>
        <v>680000</v>
      </c>
      <c r="J4">
        <f>I4/$I$6</f>
        <v>0.28052805280528054</v>
      </c>
      <c r="K4">
        <f>$W$23*J4</f>
        <v>47.970297029702969</v>
      </c>
      <c r="L4">
        <f>K4/E4</f>
        <v>2.3985148514851486E-2</v>
      </c>
      <c r="M4">
        <f>L4+0.003</f>
        <v>2.6985148514851485E-2</v>
      </c>
      <c r="N4">
        <f>M4+0.01</f>
        <v>3.6985148514851483E-2</v>
      </c>
      <c r="Q4">
        <f>S22/D4</f>
        <v>7.0588235294117645</v>
      </c>
      <c r="R4">
        <v>7</v>
      </c>
      <c r="S4">
        <f t="shared" si="0"/>
        <v>285.71428571428572</v>
      </c>
    </row>
    <row r="5" spans="2:28" x14ac:dyDescent="0.25">
      <c r="B5" t="s">
        <v>95</v>
      </c>
      <c r="C5">
        <v>26</v>
      </c>
      <c r="D5">
        <v>10</v>
      </c>
      <c r="E5">
        <v>2000</v>
      </c>
      <c r="F5">
        <f>N5</f>
        <v>3.1341584158415842E-2</v>
      </c>
      <c r="G5">
        <f>F5*E5</f>
        <v>62.683168316831683</v>
      </c>
      <c r="I5">
        <f>C5*D5*E5</f>
        <v>520000</v>
      </c>
      <c r="J5">
        <f>I5/$I$6</f>
        <v>0.21452145214521451</v>
      </c>
      <c r="K5">
        <f>$W$23*J5</f>
        <v>36.683168316831683</v>
      </c>
      <c r="L5">
        <f>K5/E5</f>
        <v>1.8341584158415841E-2</v>
      </c>
      <c r="M5">
        <f>L5+0.003</f>
        <v>2.134158415841584E-2</v>
      </c>
      <c r="N5">
        <f>M5+0.01</f>
        <v>3.1341584158415842E-2</v>
      </c>
      <c r="Q5">
        <f>S22/D5</f>
        <v>12</v>
      </c>
      <c r="R5">
        <v>12</v>
      </c>
      <c r="S5">
        <f t="shared" si="0"/>
        <v>166.66666666666666</v>
      </c>
    </row>
    <row r="6" spans="2:28" x14ac:dyDescent="0.25">
      <c r="I6">
        <f>SUM(I3:I5)</f>
        <v>2424000</v>
      </c>
      <c r="J6">
        <f>SUM(J3:J5)</f>
        <v>1</v>
      </c>
      <c r="K6" s="2">
        <f>SUM(K3:K5)</f>
        <v>171</v>
      </c>
      <c r="M6" s="2">
        <f>E6*0.003</f>
        <v>0</v>
      </c>
      <c r="O6" s="2">
        <f>G6-K6-M6</f>
        <v>-171</v>
      </c>
      <c r="P6" s="2">
        <f>O6/2</f>
        <v>-85.5</v>
      </c>
      <c r="S6" t="e">
        <f t="shared" si="0"/>
        <v>#DIV/0!</v>
      </c>
    </row>
    <row r="7" spans="2:28" x14ac:dyDescent="0.25">
      <c r="S7" t="e">
        <f t="shared" si="0"/>
        <v>#DIV/0!</v>
      </c>
    </row>
    <row r="8" spans="2:28" x14ac:dyDescent="0.25">
      <c r="S8" t="e">
        <f t="shared" si="0"/>
        <v>#DIV/0!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S9" t="e">
        <f t="shared" si="0"/>
        <v>#DIV/0!</v>
      </c>
      <c r="U9" t="s">
        <v>47</v>
      </c>
      <c r="V9">
        <f t="shared" ref="V9:AB9" si="1">SUM(V12:V18)</f>
        <v>600</v>
      </c>
      <c r="W9">
        <f t="shared" si="1"/>
        <v>285</v>
      </c>
      <c r="X9">
        <f t="shared" si="1"/>
        <v>170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2:28" x14ac:dyDescent="0.25">
      <c r="E10" s="2">
        <f>SUM(E3:E9)</f>
        <v>7000</v>
      </c>
      <c r="G10" s="2">
        <f>SUM(G3:G9)</f>
        <v>262</v>
      </c>
      <c r="U10" t="s">
        <v>11</v>
      </c>
      <c r="V10">
        <f>S3</f>
        <v>600</v>
      </c>
      <c r="W10">
        <f>S4</f>
        <v>285.71428571428572</v>
      </c>
      <c r="X10">
        <f>S5</f>
        <v>166.66666666666666</v>
      </c>
      <c r="Y10" t="e">
        <f>S6</f>
        <v>#DIV/0!</v>
      </c>
      <c r="Z10" t="e">
        <f>S7</f>
        <v>#DIV/0!</v>
      </c>
      <c r="AA10" t="e">
        <f>S8</f>
        <v>#DIV/0!</v>
      </c>
      <c r="AB10" t="e">
        <f>S9</f>
        <v>#DIV/0!</v>
      </c>
    </row>
    <row r="11" spans="2:28" x14ac:dyDescent="0.25">
      <c r="B11" t="s">
        <v>96</v>
      </c>
      <c r="M11" s="2">
        <v>17</v>
      </c>
      <c r="N11" s="2">
        <v>20</v>
      </c>
      <c r="O11" s="2">
        <v>26</v>
      </c>
      <c r="U11" s="2" t="s">
        <v>7</v>
      </c>
      <c r="V11" s="2">
        <v>17</v>
      </c>
      <c r="W11" s="2">
        <v>20</v>
      </c>
      <c r="X11" s="2">
        <v>26</v>
      </c>
      <c r="Y11" s="2"/>
      <c r="Z11" s="2"/>
      <c r="AA11" s="2"/>
      <c r="AB11" s="2"/>
    </row>
    <row r="12" spans="2:28" x14ac:dyDescent="0.25">
      <c r="B12" s="2">
        <f t="shared" ref="B12:B18" si="2">SUM(C12:K12)</f>
        <v>71</v>
      </c>
      <c r="C12">
        <v>17</v>
      </c>
      <c r="D12">
        <v>17</v>
      </c>
      <c r="E12">
        <v>17</v>
      </c>
      <c r="F12">
        <v>20</v>
      </c>
      <c r="M12">
        <v>3</v>
      </c>
      <c r="N12">
        <v>1</v>
      </c>
      <c r="U12" s="2">
        <v>200</v>
      </c>
      <c r="V12">
        <f t="shared" ref="V12:AB12" si="3">$U$12*M12</f>
        <v>600</v>
      </c>
      <c r="W12">
        <f t="shared" si="3"/>
        <v>200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</row>
    <row r="13" spans="2:28" x14ac:dyDescent="0.25">
      <c r="B13" s="2">
        <f t="shared" si="2"/>
        <v>0</v>
      </c>
      <c r="U13" s="2">
        <v>0</v>
      </c>
      <c r="V13">
        <f t="shared" ref="V13:AB13" si="4">$U$13*M13</f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</row>
    <row r="14" spans="2:28" x14ac:dyDescent="0.25">
      <c r="B14" s="2">
        <f t="shared" si="2"/>
        <v>72</v>
      </c>
      <c r="C14">
        <v>26</v>
      </c>
      <c r="D14">
        <v>26</v>
      </c>
      <c r="E14">
        <v>20</v>
      </c>
      <c r="N14">
        <v>1</v>
      </c>
      <c r="O14">
        <v>2</v>
      </c>
      <c r="U14" s="2">
        <v>85</v>
      </c>
      <c r="V14">
        <f t="shared" ref="V14:AB14" si="5">$U$14*M14</f>
        <v>0</v>
      </c>
      <c r="W14">
        <f t="shared" si="5"/>
        <v>85</v>
      </c>
      <c r="X14">
        <f t="shared" si="5"/>
        <v>170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2:28" x14ac:dyDescent="0.25">
      <c r="B15" s="2">
        <f t="shared" si="2"/>
        <v>0</v>
      </c>
      <c r="U15" s="2">
        <v>0</v>
      </c>
      <c r="V15">
        <f t="shared" ref="V15:AB15" si="6">$U$15*M15</f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2:28" x14ac:dyDescent="0.25">
      <c r="B16" s="2">
        <f t="shared" si="2"/>
        <v>0</v>
      </c>
      <c r="U16" s="2">
        <v>0</v>
      </c>
      <c r="V16">
        <f t="shared" ref="V16:AB16" si="7">$U$16*M16</f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2:28" x14ac:dyDescent="0.25">
      <c r="B17" s="2">
        <f t="shared" si="2"/>
        <v>0</v>
      </c>
      <c r="U17" s="2">
        <v>0</v>
      </c>
      <c r="V17">
        <f t="shared" ref="V17:AB17" si="8">$U$17*M17</f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2:28" x14ac:dyDescent="0.25">
      <c r="B18" s="2">
        <f t="shared" si="2"/>
        <v>0</v>
      </c>
      <c r="U18" s="2">
        <v>0</v>
      </c>
      <c r="V18">
        <f t="shared" ref="V18:AB18" si="9">$U$18*M18</f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61</v>
      </c>
      <c r="S21">
        <v>120</v>
      </c>
      <c r="U21">
        <f>U13</f>
        <v>0</v>
      </c>
      <c r="V21">
        <v>0.55000000000000004</v>
      </c>
      <c r="W21">
        <f>V21*U21</f>
        <v>0</v>
      </c>
    </row>
    <row r="22" spans="2:28" x14ac:dyDescent="0.25">
      <c r="B22" s="2" t="s">
        <v>97</v>
      </c>
      <c r="D22" s="2" t="s">
        <v>98</v>
      </c>
      <c r="R22">
        <v>72</v>
      </c>
      <c r="S22">
        <v>120</v>
      </c>
      <c r="U22">
        <f>U12+U14</f>
        <v>285</v>
      </c>
      <c r="V22">
        <v>0.6</v>
      </c>
      <c r="W22">
        <f>V22*U22</f>
        <v>171</v>
      </c>
    </row>
    <row r="23" spans="2:28" x14ac:dyDescent="0.25">
      <c r="B23" s="2">
        <f>E10*3/1000</f>
        <v>21</v>
      </c>
      <c r="C23">
        <f>G10-W23-B23</f>
        <v>70</v>
      </c>
      <c r="D23" s="2">
        <f>C23/2</f>
        <v>35</v>
      </c>
      <c r="W23">
        <f>SUM(W21:W22)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3"/>
  <sheetViews>
    <sheetView workbookViewId="0">
      <selection activeCell="G13" sqref="G13"/>
    </sheetView>
  </sheetViews>
  <sheetFormatPr defaultRowHeight="15" x14ac:dyDescent="0.25"/>
  <cols>
    <col min="2" max="2" width="9.28515625" bestFit="1" customWidth="1"/>
    <col min="3" max="3" width="9.85546875" customWidth="1"/>
    <col min="4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25">
      <c r="B3" t="s">
        <v>95</v>
      </c>
      <c r="C3">
        <v>13</v>
      </c>
      <c r="D3">
        <v>17</v>
      </c>
      <c r="E3">
        <v>0</v>
      </c>
      <c r="F3">
        <v>25.4</v>
      </c>
      <c r="G3">
        <f t="shared" ref="G3:G9" si="0">F3*E3/1000</f>
        <v>0</v>
      </c>
      <c r="R3">
        <v>7</v>
      </c>
      <c r="S3">
        <f t="shared" ref="S3:S9" si="1">E3/R3</f>
        <v>0</v>
      </c>
    </row>
    <row r="4" spans="2:28" x14ac:dyDescent="0.25">
      <c r="B4" t="s">
        <v>95</v>
      </c>
      <c r="C4">
        <v>14</v>
      </c>
      <c r="D4">
        <v>17</v>
      </c>
      <c r="E4">
        <v>0</v>
      </c>
      <c r="F4">
        <v>28.4</v>
      </c>
      <c r="G4">
        <f t="shared" si="0"/>
        <v>0</v>
      </c>
      <c r="K4" s="2"/>
      <c r="M4" s="2"/>
      <c r="R4">
        <v>7</v>
      </c>
      <c r="S4">
        <f t="shared" si="1"/>
        <v>0</v>
      </c>
    </row>
    <row r="5" spans="2:28" x14ac:dyDescent="0.25">
      <c r="B5" t="s">
        <v>95</v>
      </c>
      <c r="C5">
        <v>15</v>
      </c>
      <c r="D5">
        <v>17</v>
      </c>
      <c r="E5">
        <v>0</v>
      </c>
      <c r="F5">
        <v>30.15</v>
      </c>
      <c r="G5">
        <f t="shared" si="0"/>
        <v>0</v>
      </c>
      <c r="K5" s="2"/>
      <c r="M5" s="2"/>
      <c r="R5">
        <v>7</v>
      </c>
      <c r="S5">
        <f t="shared" si="1"/>
        <v>0</v>
      </c>
    </row>
    <row r="6" spans="2:28" x14ac:dyDescent="0.25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25">
      <c r="B7" t="s">
        <v>95</v>
      </c>
      <c r="C7">
        <v>20</v>
      </c>
      <c r="D7">
        <v>10</v>
      </c>
      <c r="E7">
        <v>10000</v>
      </c>
      <c r="F7">
        <v>24.7</v>
      </c>
      <c r="G7">
        <f t="shared" si="0"/>
        <v>247</v>
      </c>
      <c r="R7">
        <v>12</v>
      </c>
      <c r="S7">
        <f t="shared" si="1"/>
        <v>833.33333333333337</v>
      </c>
    </row>
    <row r="8" spans="2:28" x14ac:dyDescent="0.25">
      <c r="B8" t="s">
        <v>95</v>
      </c>
      <c r="C8">
        <v>22</v>
      </c>
      <c r="D8">
        <v>10</v>
      </c>
      <c r="E8">
        <v>15000</v>
      </c>
      <c r="F8">
        <v>24.349999999999998</v>
      </c>
      <c r="G8">
        <f t="shared" si="0"/>
        <v>365.24999999999994</v>
      </c>
      <c r="R8">
        <v>12</v>
      </c>
      <c r="S8">
        <f t="shared" si="1"/>
        <v>1250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B9" t="s">
        <v>95</v>
      </c>
      <c r="C9">
        <v>24</v>
      </c>
      <c r="D9">
        <v>10</v>
      </c>
      <c r="E9">
        <v>10000</v>
      </c>
      <c r="F9">
        <v>30.4</v>
      </c>
      <c r="G9">
        <f t="shared" si="0"/>
        <v>304</v>
      </c>
      <c r="R9">
        <v>12</v>
      </c>
      <c r="S9">
        <f t="shared" si="1"/>
        <v>833.33333333333337</v>
      </c>
      <c r="U9" t="s">
        <v>47</v>
      </c>
      <c r="V9">
        <f t="shared" ref="V9:AB9" si="2">SUM(V12:V18)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834</v>
      </c>
      <c r="AA9">
        <f t="shared" si="2"/>
        <v>1251</v>
      </c>
      <c r="AB9">
        <f t="shared" si="2"/>
        <v>834</v>
      </c>
    </row>
    <row r="10" spans="2:28" x14ac:dyDescent="0.25">
      <c r="E10" s="2">
        <f>SUM(E3:E9)</f>
        <v>35000</v>
      </c>
      <c r="G10" s="2">
        <f>SUM(G3:G9)</f>
        <v>916.25</v>
      </c>
      <c r="U10" t="s">
        <v>11</v>
      </c>
      <c r="V10">
        <f>S3</f>
        <v>0</v>
      </c>
      <c r="W10">
        <f>S4</f>
        <v>0</v>
      </c>
      <c r="X10">
        <f>S5</f>
        <v>0</v>
      </c>
      <c r="Y10">
        <f>S6</f>
        <v>0</v>
      </c>
      <c r="Z10">
        <f>S7</f>
        <v>833.33333333333337</v>
      </c>
      <c r="AA10">
        <f>S8</f>
        <v>1250</v>
      </c>
      <c r="AB10">
        <f>S9</f>
        <v>833.33333333333337</v>
      </c>
    </row>
    <row r="11" spans="2:28" x14ac:dyDescent="0.25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25">
      <c r="B12" s="2">
        <f t="shared" ref="B12:B18" si="3">SUM(C12:K12)</f>
        <v>0</v>
      </c>
      <c r="U12" s="2">
        <v>0</v>
      </c>
      <c r="V12">
        <f t="shared" ref="V12:AB12" si="4">$U$12*M12</f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25">
      <c r="B13" s="2">
        <f t="shared" si="3"/>
        <v>0</v>
      </c>
      <c r="U13" s="2">
        <v>0</v>
      </c>
      <c r="V13">
        <f t="shared" ref="V13:AB13" si="5">$U$13*M13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25">
      <c r="B14" s="2">
        <f t="shared" si="3"/>
        <v>0</v>
      </c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25">
      <c r="B15" s="2">
        <f t="shared" si="3"/>
        <v>0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25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417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834</v>
      </c>
      <c r="AA16">
        <f t="shared" si="8"/>
        <v>417</v>
      </c>
      <c r="AB16">
        <f t="shared" si="8"/>
        <v>0</v>
      </c>
    </row>
    <row r="17" spans="2:28" x14ac:dyDescent="0.25">
      <c r="B17" s="2">
        <f t="shared" si="3"/>
        <v>68</v>
      </c>
      <c r="C17">
        <v>22</v>
      </c>
      <c r="D17">
        <v>22</v>
      </c>
      <c r="E17">
        <v>24</v>
      </c>
      <c r="R17">
        <v>2</v>
      </c>
      <c r="S17">
        <v>1</v>
      </c>
      <c r="U17" s="2">
        <v>417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834</v>
      </c>
      <c r="AB17">
        <f t="shared" si="9"/>
        <v>417</v>
      </c>
    </row>
    <row r="18" spans="2:28" x14ac:dyDescent="0.25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139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417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62</v>
      </c>
      <c r="S21">
        <v>128</v>
      </c>
      <c r="U21">
        <f>U16</f>
        <v>417</v>
      </c>
      <c r="V21">
        <v>0.55000000000000004</v>
      </c>
      <c r="W21">
        <f>V21*U21</f>
        <v>229.35000000000002</v>
      </c>
    </row>
    <row r="22" spans="2:28" x14ac:dyDescent="0.25">
      <c r="B22" s="2" t="s">
        <v>97</v>
      </c>
      <c r="D22" s="2" t="s">
        <v>98</v>
      </c>
      <c r="R22">
        <v>72</v>
      </c>
      <c r="S22">
        <v>128</v>
      </c>
      <c r="U22">
        <f>SUM(U17:U18)</f>
        <v>556</v>
      </c>
      <c r="V22">
        <v>0.6</v>
      </c>
      <c r="W22">
        <f>V22*U22</f>
        <v>333.59999999999997</v>
      </c>
    </row>
    <row r="23" spans="2:28" x14ac:dyDescent="0.25">
      <c r="B23" s="2">
        <f>E10*3/1000</f>
        <v>105</v>
      </c>
      <c r="C23">
        <f>G10-W23-B23</f>
        <v>248.29999999999995</v>
      </c>
      <c r="D23" s="2">
        <f>C23/2</f>
        <v>124.14999999999998</v>
      </c>
      <c r="W23">
        <f>SUM(W21:W22)</f>
        <v>562.95000000000005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1"/>
  <sheetViews>
    <sheetView workbookViewId="0">
      <selection activeCell="K10" sqref="K10"/>
    </sheetView>
  </sheetViews>
  <sheetFormatPr defaultRowHeight="15" x14ac:dyDescent="0.25"/>
  <cols>
    <col min="10" max="10" width="9.7109375" bestFit="1" customWidth="1"/>
  </cols>
  <sheetData>
    <row r="3" spans="3:13" x14ac:dyDescent="0.25">
      <c r="C3">
        <v>115</v>
      </c>
      <c r="D3">
        <v>115</v>
      </c>
      <c r="E3">
        <v>1.06</v>
      </c>
    </row>
    <row r="4" spans="3:13" x14ac:dyDescent="0.25">
      <c r="C4">
        <v>18</v>
      </c>
      <c r="D4">
        <v>23</v>
      </c>
    </row>
    <row r="5" spans="3:13" x14ac:dyDescent="0.25">
      <c r="C5">
        <f>C3/C4</f>
        <v>6.3888888888888893</v>
      </c>
      <c r="D5">
        <f>D3/D4</f>
        <v>5</v>
      </c>
    </row>
    <row r="7" spans="3:13" x14ac:dyDescent="0.25">
      <c r="C7">
        <v>6</v>
      </c>
      <c r="D7">
        <v>5</v>
      </c>
      <c r="E7">
        <f>C7*D7</f>
        <v>30</v>
      </c>
      <c r="G7">
        <v>1000</v>
      </c>
      <c r="H7">
        <f>G7/E7</f>
        <v>33.333333333333336</v>
      </c>
      <c r="J7">
        <v>34</v>
      </c>
      <c r="K7">
        <f>E3*J7</f>
        <v>36.04</v>
      </c>
      <c r="M7">
        <f>J7*E7</f>
        <v>1020</v>
      </c>
    </row>
    <row r="9" spans="3:13" x14ac:dyDescent="0.25">
      <c r="J9" t="s">
        <v>6</v>
      </c>
      <c r="K9">
        <v>38</v>
      </c>
    </row>
    <row r="10" spans="3:13" x14ac:dyDescent="0.25">
      <c r="J10" t="s">
        <v>5</v>
      </c>
      <c r="K10">
        <v>41</v>
      </c>
    </row>
    <row r="11" spans="3:13" x14ac:dyDescent="0.25">
      <c r="J11" t="s">
        <v>4</v>
      </c>
      <c r="K11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21"/>
  <sheetViews>
    <sheetView workbookViewId="0">
      <selection activeCell="Q21" sqref="Q21"/>
    </sheetView>
  </sheetViews>
  <sheetFormatPr defaultRowHeight="15" x14ac:dyDescent="0.25"/>
  <cols>
    <col min="2" max="2" width="7.7109375" bestFit="1" customWidth="1"/>
    <col min="3" max="3" width="4" bestFit="1" customWidth="1"/>
    <col min="4" max="4" width="6" bestFit="1" customWidth="1"/>
    <col min="5" max="5" width="4" bestFit="1" customWidth="1"/>
    <col min="6" max="7" width="3" bestFit="1" customWidth="1"/>
    <col min="8" max="8" width="8" customWidth="1"/>
    <col min="9" max="9" width="3" bestFit="1" customWidth="1"/>
    <col min="10" max="10" width="10.7109375" customWidth="1"/>
    <col min="11" max="11" width="5" bestFit="1" customWidth="1"/>
    <col min="12" max="12" width="6" bestFit="1" customWidth="1"/>
    <col min="13" max="13" width="8" bestFit="1" customWidth="1"/>
    <col min="17" max="17" width="5.7109375" bestFit="1" customWidth="1"/>
    <col min="18" max="18" width="6.140625" bestFit="1" customWidth="1"/>
    <col min="19" max="19" width="5.7109375" customWidth="1"/>
    <col min="20" max="21" width="4" bestFit="1" customWidth="1"/>
  </cols>
  <sheetData>
    <row r="1" spans="2:21" x14ac:dyDescent="0.25">
      <c r="E1" t="s">
        <v>42</v>
      </c>
      <c r="Q1" t="s">
        <v>6</v>
      </c>
      <c r="R1" t="s">
        <v>44</v>
      </c>
      <c r="S1" t="s">
        <v>45</v>
      </c>
    </row>
    <row r="2" spans="2:21" x14ac:dyDescent="0.25">
      <c r="B2" t="s">
        <v>36</v>
      </c>
      <c r="E2">
        <f>O20</f>
        <v>715</v>
      </c>
      <c r="J2">
        <v>15</v>
      </c>
      <c r="K2">
        <v>18</v>
      </c>
      <c r="L2">
        <v>5000</v>
      </c>
      <c r="M2">
        <f>J2*K2*L2</f>
        <v>1350000</v>
      </c>
      <c r="N2">
        <f>M2/$M$5</f>
        <v>0.23076923076923078</v>
      </c>
      <c r="O2">
        <f>$E$3*N2</f>
        <v>103.95</v>
      </c>
      <c r="P2">
        <f>O2/L2*1000</f>
        <v>20.79</v>
      </c>
      <c r="Q2">
        <f>P2+2</f>
        <v>22.79</v>
      </c>
      <c r="R2">
        <f t="shared" ref="R2:S4" si="0">Q2+4</f>
        <v>26.79</v>
      </c>
      <c r="S2">
        <f t="shared" si="0"/>
        <v>30.79</v>
      </c>
    </row>
    <row r="3" spans="2:21" x14ac:dyDescent="0.25">
      <c r="E3">
        <f>E2*D5</f>
        <v>450.45</v>
      </c>
      <c r="J3">
        <v>16</v>
      </c>
      <c r="K3">
        <v>18</v>
      </c>
      <c r="L3">
        <v>10000</v>
      </c>
      <c r="M3">
        <f>J3*K3*L3</f>
        <v>2880000</v>
      </c>
      <c r="N3">
        <f>M3/$M$5</f>
        <v>0.49230769230769234</v>
      </c>
      <c r="O3">
        <f>$E$3*N3</f>
        <v>221.76000000000002</v>
      </c>
      <c r="P3">
        <f>O3/L3*1000</f>
        <v>22.176000000000002</v>
      </c>
      <c r="Q3">
        <f>P3+2</f>
        <v>24.176000000000002</v>
      </c>
      <c r="R3">
        <f t="shared" si="0"/>
        <v>28.176000000000002</v>
      </c>
      <c r="S3">
        <f t="shared" si="0"/>
        <v>32.176000000000002</v>
      </c>
    </row>
    <row r="4" spans="2:21" x14ac:dyDescent="0.25">
      <c r="B4" t="s">
        <v>37</v>
      </c>
      <c r="E4" t="s">
        <v>43</v>
      </c>
      <c r="J4">
        <v>18</v>
      </c>
      <c r="K4">
        <v>18</v>
      </c>
      <c r="L4">
        <v>5000</v>
      </c>
      <c r="M4">
        <f>J4*K4*L4</f>
        <v>1620000</v>
      </c>
      <c r="N4">
        <f>M4/$M$5</f>
        <v>0.27692307692307694</v>
      </c>
      <c r="O4">
        <f>$E$3*N4</f>
        <v>124.74000000000001</v>
      </c>
      <c r="P4">
        <f>O4/L4*1000</f>
        <v>24.948</v>
      </c>
      <c r="Q4">
        <f>P4+2</f>
        <v>26.948</v>
      </c>
      <c r="R4">
        <f t="shared" si="0"/>
        <v>30.948</v>
      </c>
      <c r="S4">
        <f t="shared" si="0"/>
        <v>34.948</v>
      </c>
    </row>
    <row r="5" spans="2:21" x14ac:dyDescent="0.25">
      <c r="B5">
        <v>72</v>
      </c>
      <c r="C5">
        <v>126</v>
      </c>
      <c r="D5">
        <v>0.63</v>
      </c>
      <c r="M5">
        <f>SUM(M2:M4)</f>
        <v>5850000</v>
      </c>
      <c r="N5">
        <f>SUM(N2:N4)</f>
        <v>1</v>
      </c>
      <c r="O5">
        <f>SUM(O2:O4)</f>
        <v>450.45000000000005</v>
      </c>
    </row>
    <row r="7" spans="2:21" s="1" customFormat="1" ht="45" customHeight="1" x14ac:dyDescent="0.25">
      <c r="B7" s="1" t="s">
        <v>38</v>
      </c>
      <c r="H7" s="1" t="s">
        <v>24</v>
      </c>
      <c r="J7" s="1" t="s">
        <v>40</v>
      </c>
    </row>
    <row r="8" spans="2:21" x14ac:dyDescent="0.25">
      <c r="B8">
        <v>15</v>
      </c>
      <c r="C8">
        <v>18</v>
      </c>
      <c r="D8">
        <v>5000</v>
      </c>
      <c r="H8">
        <f>$C$5/C8</f>
        <v>7</v>
      </c>
      <c r="J8">
        <f>D8/H8</f>
        <v>714.28571428571433</v>
      </c>
      <c r="K8">
        <v>715</v>
      </c>
      <c r="O8" t="s">
        <v>41</v>
      </c>
      <c r="Q8">
        <f>Q12-Q10</f>
        <v>0</v>
      </c>
      <c r="U8">
        <f>U12-U10</f>
        <v>0</v>
      </c>
    </row>
    <row r="9" spans="2:21" x14ac:dyDescent="0.25">
      <c r="B9">
        <v>16</v>
      </c>
      <c r="C9">
        <v>18</v>
      </c>
      <c r="D9">
        <v>10000</v>
      </c>
      <c r="H9">
        <f>$C$5/C9</f>
        <v>7</v>
      </c>
      <c r="J9">
        <f>D9/H9</f>
        <v>1428.5714285714287</v>
      </c>
      <c r="K9">
        <v>1429</v>
      </c>
    </row>
    <row r="10" spans="2:21" x14ac:dyDescent="0.25">
      <c r="B10">
        <v>18</v>
      </c>
      <c r="C10">
        <v>18</v>
      </c>
      <c r="D10">
        <v>5000</v>
      </c>
      <c r="H10">
        <f>$C$5/C10</f>
        <v>7</v>
      </c>
      <c r="J10">
        <f>D10/H10</f>
        <v>714.28571428571433</v>
      </c>
      <c r="K10">
        <v>715</v>
      </c>
      <c r="O10" t="s">
        <v>11</v>
      </c>
      <c r="R10">
        <f>K8</f>
        <v>715</v>
      </c>
      <c r="S10">
        <f>K9</f>
        <v>1429</v>
      </c>
      <c r="T10">
        <f>K10</f>
        <v>715</v>
      </c>
    </row>
    <row r="12" spans="2:21" x14ac:dyDescent="0.25">
      <c r="B12" t="s">
        <v>39</v>
      </c>
      <c r="O12" t="s">
        <v>37</v>
      </c>
      <c r="Q12">
        <f>SUM(Q16:Q18)</f>
        <v>0</v>
      </c>
      <c r="R12">
        <f>SUM(R16:R18)</f>
        <v>715</v>
      </c>
      <c r="S12">
        <f>SUM(S16:S18)</f>
        <v>1430</v>
      </c>
      <c r="T12">
        <f>SUM(T16:T18)</f>
        <v>715</v>
      </c>
      <c r="U12">
        <f>SUM(U16:U18)</f>
        <v>0</v>
      </c>
    </row>
    <row r="14" spans="2:21" x14ac:dyDescent="0.25">
      <c r="I14">
        <v>12</v>
      </c>
      <c r="J14">
        <v>15</v>
      </c>
      <c r="K14">
        <v>16</v>
      </c>
      <c r="L14">
        <v>18</v>
      </c>
      <c r="M14">
        <v>24</v>
      </c>
      <c r="R14">
        <v>15</v>
      </c>
      <c r="S14">
        <v>16</v>
      </c>
      <c r="T14">
        <v>18</v>
      </c>
    </row>
    <row r="16" spans="2:21" x14ac:dyDescent="0.25">
      <c r="B16">
        <f>SUM(C16:G16)</f>
        <v>72</v>
      </c>
      <c r="C16">
        <v>20</v>
      </c>
      <c r="D16">
        <v>20</v>
      </c>
      <c r="E16">
        <v>16</v>
      </c>
      <c r="F16">
        <v>16</v>
      </c>
      <c r="Q16">
        <f>$O$16*I16</f>
        <v>0</v>
      </c>
      <c r="R16">
        <f>$O$16*J16</f>
        <v>0</v>
      </c>
      <c r="S16">
        <f>$O$16*K16</f>
        <v>0</v>
      </c>
      <c r="T16">
        <f>$O$16*L16</f>
        <v>0</v>
      </c>
      <c r="U16">
        <f>$O$16*M16</f>
        <v>0</v>
      </c>
    </row>
    <row r="17" spans="2:21" x14ac:dyDescent="0.25">
      <c r="B17">
        <f>SUM(C17:G17)</f>
        <v>65</v>
      </c>
      <c r="C17">
        <v>18</v>
      </c>
      <c r="D17">
        <v>16</v>
      </c>
      <c r="E17">
        <v>16</v>
      </c>
      <c r="F17">
        <v>15</v>
      </c>
      <c r="J17">
        <v>1</v>
      </c>
      <c r="K17">
        <v>2</v>
      </c>
      <c r="L17">
        <v>1</v>
      </c>
      <c r="O17">
        <v>715</v>
      </c>
      <c r="Q17">
        <f>$O$17*I17</f>
        <v>0</v>
      </c>
      <c r="R17">
        <f>$O$17*J17</f>
        <v>715</v>
      </c>
      <c r="S17">
        <f>$O$17*K17</f>
        <v>1430</v>
      </c>
      <c r="T17">
        <f>$O$17*L17</f>
        <v>715</v>
      </c>
      <c r="U17">
        <f>$O$17*M17</f>
        <v>0</v>
      </c>
    </row>
    <row r="18" spans="2:21" x14ac:dyDescent="0.25">
      <c r="B18">
        <f>SUM(C18:G18)</f>
        <v>68</v>
      </c>
      <c r="C18">
        <v>18</v>
      </c>
      <c r="D18">
        <v>18</v>
      </c>
      <c r="E18">
        <v>16</v>
      </c>
      <c r="F18">
        <v>16</v>
      </c>
      <c r="Q18">
        <f>$O$18*I18</f>
        <v>0</v>
      </c>
      <c r="R18">
        <f>$O$18*J18</f>
        <v>0</v>
      </c>
      <c r="S18">
        <f>$O$18*K18</f>
        <v>0</v>
      </c>
      <c r="T18">
        <f>$O$18*L18</f>
        <v>0</v>
      </c>
      <c r="U18">
        <f>$O$18*M18</f>
        <v>0</v>
      </c>
    </row>
    <row r="19" spans="2:21" x14ac:dyDescent="0.25">
      <c r="B19">
        <f>SUM(C19:G19)</f>
        <v>62</v>
      </c>
      <c r="C19">
        <v>16</v>
      </c>
      <c r="D19">
        <v>16</v>
      </c>
      <c r="E19">
        <v>15</v>
      </c>
      <c r="F19">
        <v>15</v>
      </c>
    </row>
    <row r="20" spans="2:21" x14ac:dyDescent="0.25">
      <c r="O20">
        <f>SUM(O16:O19)</f>
        <v>715</v>
      </c>
    </row>
    <row r="21" spans="2:21" x14ac:dyDescent="0.25">
      <c r="O21" t="s">
        <v>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Q27"/>
  <sheetViews>
    <sheetView topLeftCell="B1" workbookViewId="0">
      <selection activeCell="N12" sqref="N12"/>
    </sheetView>
  </sheetViews>
  <sheetFormatPr defaultRowHeight="15" x14ac:dyDescent="0.25"/>
  <cols>
    <col min="14" max="14" width="23.7109375" bestFit="1" customWidth="1"/>
    <col min="15" max="15" width="10.140625" bestFit="1" customWidth="1"/>
  </cols>
  <sheetData>
    <row r="1" spans="3:17" x14ac:dyDescent="0.25">
      <c r="G1" t="s">
        <v>24</v>
      </c>
      <c r="J1" t="s">
        <v>49</v>
      </c>
    </row>
    <row r="2" spans="3:17" x14ac:dyDescent="0.25">
      <c r="C2">
        <v>62</v>
      </c>
      <c r="D2">
        <v>126</v>
      </c>
      <c r="E2">
        <v>0.56999999999999995</v>
      </c>
      <c r="G2">
        <f>$D$2/D5</f>
        <v>7</v>
      </c>
      <c r="I2">
        <f>SUM(H15)</f>
        <v>715</v>
      </c>
      <c r="J2">
        <f>I2*E2</f>
        <v>407.54999999999995</v>
      </c>
    </row>
    <row r="3" spans="3:17" x14ac:dyDescent="0.25">
      <c r="C3">
        <v>72</v>
      </c>
      <c r="D3">
        <v>126</v>
      </c>
      <c r="E3">
        <v>0.63</v>
      </c>
      <c r="G3">
        <f>$D$2/D6</f>
        <v>7</v>
      </c>
      <c r="I3">
        <f>SUM(H16:H17)</f>
        <v>835</v>
      </c>
      <c r="J3">
        <f>I3*E3</f>
        <v>526.04999999999995</v>
      </c>
    </row>
    <row r="4" spans="3:17" x14ac:dyDescent="0.25">
      <c r="G4" t="s">
        <v>46</v>
      </c>
      <c r="J4" s="2">
        <f>SUM(J2:J3)</f>
        <v>933.59999999999991</v>
      </c>
      <c r="K4" t="s">
        <v>16</v>
      </c>
      <c r="L4" t="s">
        <v>17</v>
      </c>
      <c r="M4" t="s">
        <v>50</v>
      </c>
      <c r="N4" t="s">
        <v>51</v>
      </c>
      <c r="O4" t="s">
        <v>28</v>
      </c>
      <c r="P4" t="s">
        <v>52</v>
      </c>
      <c r="Q4" t="s">
        <v>53</v>
      </c>
    </row>
    <row r="5" spans="3:17" x14ac:dyDescent="0.25">
      <c r="C5">
        <v>15</v>
      </c>
      <c r="D5">
        <v>18</v>
      </c>
      <c r="E5">
        <v>10000</v>
      </c>
      <c r="G5">
        <f>E5/$G$2</f>
        <v>1428.5714285714287</v>
      </c>
      <c r="H5">
        <v>1429</v>
      </c>
      <c r="K5">
        <f>C5*D5*E5</f>
        <v>2700000</v>
      </c>
      <c r="L5">
        <f>K5/$K$8</f>
        <v>0.23076923076923078</v>
      </c>
      <c r="M5">
        <f>$J$4*L5</f>
        <v>215.44615384615383</v>
      </c>
      <c r="N5">
        <f>M5/E5*1000</f>
        <v>21.544615384615383</v>
      </c>
      <c r="O5">
        <f>N5+2</f>
        <v>23.544615384615383</v>
      </c>
      <c r="P5">
        <f t="shared" ref="P5:Q7" si="0">O5+4</f>
        <v>27.544615384615383</v>
      </c>
      <c r="Q5">
        <f t="shared" si="0"/>
        <v>31.544615384615383</v>
      </c>
    </row>
    <row r="6" spans="3:17" x14ac:dyDescent="0.25">
      <c r="C6">
        <v>16</v>
      </c>
      <c r="D6">
        <v>18</v>
      </c>
      <c r="E6">
        <v>20000</v>
      </c>
      <c r="G6">
        <f>E6/$G$2</f>
        <v>2857.1428571428573</v>
      </c>
      <c r="H6">
        <v>2858</v>
      </c>
      <c r="K6">
        <f>C6*D6*E6</f>
        <v>5760000</v>
      </c>
      <c r="L6">
        <f>K6/$K$8</f>
        <v>0.49230769230769234</v>
      </c>
      <c r="M6">
        <f>$J$4*L6</f>
        <v>459.61846153846153</v>
      </c>
      <c r="N6">
        <f>M6/E6*1000</f>
        <v>22.980923076923077</v>
      </c>
      <c r="O6">
        <f>N6+2</f>
        <v>24.980923076923077</v>
      </c>
      <c r="P6">
        <f t="shared" si="0"/>
        <v>28.980923076923077</v>
      </c>
      <c r="Q6">
        <f t="shared" si="0"/>
        <v>32.980923076923077</v>
      </c>
    </row>
    <row r="7" spans="3:17" x14ac:dyDescent="0.25">
      <c r="C7">
        <v>18</v>
      </c>
      <c r="D7">
        <v>18</v>
      </c>
      <c r="E7">
        <v>10000</v>
      </c>
      <c r="G7">
        <f>E7/$G$2</f>
        <v>1428.5714285714287</v>
      </c>
      <c r="H7">
        <v>1429</v>
      </c>
      <c r="K7">
        <f>C7*D7*E7</f>
        <v>3240000</v>
      </c>
      <c r="L7">
        <f>K7/$K$8</f>
        <v>0.27692307692307694</v>
      </c>
      <c r="M7">
        <f>$J$4*L7</f>
        <v>258.5353846153846</v>
      </c>
      <c r="N7">
        <f>M7/E7*1000</f>
        <v>25.853538461538459</v>
      </c>
      <c r="O7">
        <f>N7+2</f>
        <v>27.853538461538459</v>
      </c>
      <c r="P7">
        <f t="shared" si="0"/>
        <v>31.853538461538459</v>
      </c>
      <c r="Q7">
        <f t="shared" si="0"/>
        <v>35.853538461538463</v>
      </c>
    </row>
    <row r="8" spans="3:17" x14ac:dyDescent="0.25">
      <c r="K8">
        <f>SUM(K5:K7)</f>
        <v>11700000</v>
      </c>
      <c r="L8">
        <f>SUM(L5:L7)</f>
        <v>1</v>
      </c>
      <c r="M8">
        <f>SUM(M5:M7)</f>
        <v>933.59999999999991</v>
      </c>
    </row>
    <row r="9" spans="3:17" x14ac:dyDescent="0.25">
      <c r="I9" t="s">
        <v>9</v>
      </c>
    </row>
    <row r="10" spans="3:17" x14ac:dyDescent="0.25">
      <c r="I10" t="s">
        <v>48</v>
      </c>
      <c r="M10">
        <f>M12-M11</f>
        <v>477</v>
      </c>
    </row>
    <row r="11" spans="3:17" x14ac:dyDescent="0.25">
      <c r="C11">
        <f>SUM(D11:G11)</f>
        <v>62</v>
      </c>
      <c r="D11">
        <v>15</v>
      </c>
      <c r="E11">
        <v>15</v>
      </c>
      <c r="F11">
        <v>16</v>
      </c>
      <c r="G11">
        <v>16</v>
      </c>
      <c r="I11" t="s">
        <v>11</v>
      </c>
      <c r="J11">
        <f>H5</f>
        <v>1429</v>
      </c>
      <c r="K11">
        <f>H6</f>
        <v>2858</v>
      </c>
      <c r="L11">
        <f>H7</f>
        <v>1429</v>
      </c>
    </row>
    <row r="12" spans="3:17" x14ac:dyDescent="0.25">
      <c r="C12">
        <f>SUM(D12:G12)</f>
        <v>72</v>
      </c>
      <c r="D12">
        <v>18</v>
      </c>
      <c r="E12">
        <v>18</v>
      </c>
      <c r="F12">
        <v>18</v>
      </c>
      <c r="G12">
        <v>18</v>
      </c>
      <c r="I12" t="s">
        <v>47</v>
      </c>
      <c r="J12">
        <f>SUM(J15:J17)</f>
        <v>1430</v>
      </c>
      <c r="K12">
        <f>SUM(K15:K17)</f>
        <v>2861</v>
      </c>
      <c r="L12">
        <f>SUM(L15:L17)</f>
        <v>1432</v>
      </c>
      <c r="M12">
        <f>SUM(M15:M17)</f>
        <v>477</v>
      </c>
    </row>
    <row r="13" spans="3:17" x14ac:dyDescent="0.25">
      <c r="C13">
        <f>SUM(D13:G13)</f>
        <v>72</v>
      </c>
      <c r="D13">
        <v>16</v>
      </c>
      <c r="E13">
        <v>16</v>
      </c>
      <c r="F13">
        <v>16</v>
      </c>
      <c r="G13">
        <v>24</v>
      </c>
    </row>
    <row r="14" spans="3:17" x14ac:dyDescent="0.25">
      <c r="H14" t="s">
        <v>7</v>
      </c>
      <c r="J14">
        <v>15</v>
      </c>
      <c r="K14">
        <v>16</v>
      </c>
      <c r="L14">
        <v>18</v>
      </c>
      <c r="M14">
        <v>24</v>
      </c>
    </row>
    <row r="15" spans="3:17" x14ac:dyDescent="0.25">
      <c r="C15">
        <v>2</v>
      </c>
      <c r="D15">
        <v>2</v>
      </c>
      <c r="G15">
        <v>62</v>
      </c>
      <c r="H15">
        <v>715</v>
      </c>
      <c r="J15">
        <f>C15*$H$15</f>
        <v>1430</v>
      </c>
      <c r="K15">
        <f>D15*$H$15</f>
        <v>1430</v>
      </c>
      <c r="L15">
        <f>E15*$H$15</f>
        <v>0</v>
      </c>
      <c r="M15">
        <f>F15*$H$15</f>
        <v>0</v>
      </c>
    </row>
    <row r="16" spans="3:17" x14ac:dyDescent="0.25">
      <c r="E16">
        <v>4</v>
      </c>
      <c r="G16">
        <v>72</v>
      </c>
      <c r="H16">
        <v>358</v>
      </c>
      <c r="J16">
        <f>$H$16*C16</f>
        <v>0</v>
      </c>
      <c r="K16">
        <f>$H$16*D16</f>
        <v>0</v>
      </c>
      <c r="L16">
        <f>$H$16*E16</f>
        <v>1432</v>
      </c>
      <c r="M16">
        <f>$H$16*F16</f>
        <v>0</v>
      </c>
    </row>
    <row r="17" spans="3:15" x14ac:dyDescent="0.25">
      <c r="D17">
        <v>3</v>
      </c>
      <c r="F17">
        <v>1</v>
      </c>
      <c r="G17">
        <v>72</v>
      </c>
      <c r="H17">
        <v>477</v>
      </c>
      <c r="J17">
        <f>$H$17*C17</f>
        <v>0</v>
      </c>
      <c r="K17">
        <f>$H$17*D17</f>
        <v>1431</v>
      </c>
      <c r="L17">
        <f>$H$17*E17</f>
        <v>0</v>
      </c>
      <c r="M17">
        <f>$H$17*F17</f>
        <v>477</v>
      </c>
    </row>
    <row r="18" spans="3:15" x14ac:dyDescent="0.25">
      <c r="C18">
        <v>15</v>
      </c>
      <c r="D18">
        <v>16</v>
      </c>
      <c r="E18">
        <v>18</v>
      </c>
      <c r="F18">
        <v>24</v>
      </c>
    </row>
    <row r="20" spans="3:15" x14ac:dyDescent="0.25">
      <c r="C20" t="s">
        <v>54</v>
      </c>
    </row>
    <row r="22" spans="3:15" s="1" customFormat="1" ht="45" customHeight="1" x14ac:dyDescent="0.25">
      <c r="C22" s="1" t="s">
        <v>1</v>
      </c>
      <c r="D22" s="1" t="s">
        <v>2</v>
      </c>
      <c r="E22" s="1" t="s">
        <v>3</v>
      </c>
      <c r="F22" s="1" t="s">
        <v>16</v>
      </c>
      <c r="G22" s="1" t="s">
        <v>17</v>
      </c>
      <c r="H22" s="1" t="s">
        <v>50</v>
      </c>
      <c r="I22" s="1" t="s">
        <v>55</v>
      </c>
      <c r="J22" s="1" t="s">
        <v>56</v>
      </c>
      <c r="K22" s="1" t="s">
        <v>52</v>
      </c>
      <c r="L22" s="1" t="s">
        <v>57</v>
      </c>
      <c r="M22" s="1" t="s">
        <v>58</v>
      </c>
      <c r="N22" s="1" t="s">
        <v>59</v>
      </c>
      <c r="O22" s="1" t="s">
        <v>30</v>
      </c>
    </row>
    <row r="23" spans="3:15" x14ac:dyDescent="0.25">
      <c r="C23">
        <v>15</v>
      </c>
      <c r="D23">
        <v>18</v>
      </c>
      <c r="E23">
        <v>10000</v>
      </c>
      <c r="F23">
        <f>C23*D23*E23</f>
        <v>2700000</v>
      </c>
      <c r="G23">
        <f>F23/$F$27</f>
        <v>0.20544117808189161</v>
      </c>
      <c r="H23">
        <f>G23*$J$4</f>
        <v>191.79988385725397</v>
      </c>
      <c r="I23">
        <f>H23/E23*1000</f>
        <v>19.179988385725398</v>
      </c>
      <c r="J23">
        <f>I23+2</f>
        <v>21.179988385725398</v>
      </c>
      <c r="K23">
        <f t="shared" ref="K23:L25" si="1">J23+4</f>
        <v>25.179988385725398</v>
      </c>
      <c r="L23">
        <f t="shared" si="1"/>
        <v>29.179988385725398</v>
      </c>
      <c r="M23">
        <f>L23*E23/1000</f>
        <v>291.79988385725397</v>
      </c>
      <c r="N23">
        <f>J23*E23/1000</f>
        <v>211.79988385725397</v>
      </c>
    </row>
    <row r="24" spans="3:15" x14ac:dyDescent="0.25">
      <c r="C24">
        <v>16</v>
      </c>
      <c r="D24">
        <v>18</v>
      </c>
      <c r="E24">
        <v>20000</v>
      </c>
      <c r="F24">
        <f>C24*D24*E24</f>
        <v>5760000</v>
      </c>
      <c r="G24">
        <f>F24/$F$27</f>
        <v>0.43827451324136874</v>
      </c>
      <c r="H24">
        <f>G24*$J$4</f>
        <v>409.17308556214181</v>
      </c>
      <c r="I24">
        <f>H24/E24*1000</f>
        <v>20.45865427810709</v>
      </c>
      <c r="J24">
        <f>I24+2</f>
        <v>22.45865427810709</v>
      </c>
      <c r="K24">
        <f t="shared" si="1"/>
        <v>26.45865427810709</v>
      </c>
      <c r="L24">
        <f t="shared" si="1"/>
        <v>30.45865427810709</v>
      </c>
      <c r="M24">
        <f>L24*E24/1000</f>
        <v>609.17308556214186</v>
      </c>
      <c r="N24">
        <f>J24*E24/1000</f>
        <v>449.17308556214181</v>
      </c>
    </row>
    <row r="25" spans="3:15" x14ac:dyDescent="0.25">
      <c r="C25">
        <v>18</v>
      </c>
      <c r="D25">
        <v>18</v>
      </c>
      <c r="E25">
        <v>10000</v>
      </c>
      <c r="F25">
        <f>C25*D25*E25</f>
        <v>3240000</v>
      </c>
      <c r="G25">
        <f>F25/$F$27</f>
        <v>0.24652941369826992</v>
      </c>
      <c r="H25">
        <f>G25*$J$4</f>
        <v>230.15986062870476</v>
      </c>
      <c r="I25">
        <f>H25/E25*1000</f>
        <v>23.015986062870475</v>
      </c>
      <c r="J25">
        <f>I25+2</f>
        <v>25.015986062870475</v>
      </c>
      <c r="K25">
        <f t="shared" si="1"/>
        <v>29.015986062870475</v>
      </c>
      <c r="L25">
        <f t="shared" si="1"/>
        <v>33.015986062870475</v>
      </c>
      <c r="M25">
        <f>L25*E25/1000</f>
        <v>330.15986062870479</v>
      </c>
      <c r="N25">
        <f>J25*E25/1000</f>
        <v>250.15986062870473</v>
      </c>
    </row>
    <row r="26" spans="3:15" x14ac:dyDescent="0.25">
      <c r="C26">
        <v>24</v>
      </c>
      <c r="D26">
        <v>126</v>
      </c>
      <c r="E26">
        <v>477</v>
      </c>
      <c r="F26">
        <f>C26*D26*E26</f>
        <v>1442448</v>
      </c>
      <c r="G26">
        <f>F26/$F$27</f>
        <v>0.10975489497846977</v>
      </c>
      <c r="H26" s="2">
        <f>G26*$J$4</f>
        <v>102.46716995189936</v>
      </c>
    </row>
    <row r="27" spans="3:15" x14ac:dyDescent="0.25">
      <c r="F27">
        <f>SUM(F23:F26)</f>
        <v>13142448</v>
      </c>
      <c r="G27">
        <f>SUM(G23:G26)</f>
        <v>1</v>
      </c>
      <c r="H27">
        <f>SUM(H23:H26)</f>
        <v>933.59999999999991</v>
      </c>
      <c r="M27">
        <f>SUM(M23:M26)</f>
        <v>1231.1328300481007</v>
      </c>
      <c r="N27">
        <f>SUM(N23:N26)</f>
        <v>911.13283004810046</v>
      </c>
      <c r="O27">
        <f>M27-N27</f>
        <v>320.00000000000023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Gala</vt:lpstr>
      <vt:lpstr>Gala2</vt:lpstr>
      <vt:lpstr>Gala3</vt:lpstr>
      <vt:lpstr>Gala-Armando</vt:lpstr>
      <vt:lpstr>Gala-Armando+++</vt:lpstr>
      <vt:lpstr>Gala-Armando-Euros-35</vt:lpstr>
      <vt:lpstr>Cransa</vt:lpstr>
      <vt:lpstr>Arturo</vt:lpstr>
      <vt:lpstr>2 planchas</vt:lpstr>
      <vt:lpstr>Jimena-Armando</vt:lpstr>
      <vt:lpstr>Jimena-C-125</vt:lpstr>
      <vt:lpstr>Jimena-C-150</vt:lpstr>
      <vt:lpstr>Alex-Cola-39 Semanal</vt:lpstr>
      <vt:lpstr>Oscar</vt:lpstr>
      <vt:lpstr>Oscar2</vt:lpstr>
      <vt:lpstr>William</vt:lpstr>
      <vt:lpstr>Cristy</vt:lpstr>
      <vt:lpstr>Guido-C-125</vt:lpstr>
      <vt:lpstr>Guido-Cola</vt:lpstr>
      <vt:lpstr>Farin-Cola</vt:lpstr>
      <vt:lpstr>Oscar-Cola</vt:lpstr>
      <vt:lpstr>Oscar-C-125</vt:lpstr>
      <vt:lpstr>Oscar-C-150</vt:lpstr>
      <vt:lpstr>William-Cola</vt:lpstr>
      <vt:lpstr>William-C-125</vt:lpstr>
      <vt:lpstr>William-C-150</vt:lpstr>
      <vt:lpstr>Mega-Cola</vt:lpstr>
      <vt:lpstr>Mega-C-125</vt:lpstr>
      <vt:lpstr>Mega-C-150</vt:lpstr>
      <vt:lpstr>Monte-Cola</vt:lpstr>
      <vt:lpstr>Monte-C-125</vt:lpstr>
      <vt:lpstr>Monte-C-150</vt:lpstr>
      <vt:lpstr>Liliana-Cola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Ильнур Тактабаев</cp:lastModifiedBy>
  <cp:lastPrinted>2021-05-25T20:50:32Z</cp:lastPrinted>
  <dcterms:created xsi:type="dcterms:W3CDTF">2021-02-10T18:05:06Z</dcterms:created>
  <dcterms:modified xsi:type="dcterms:W3CDTF">2024-05-20T06:06:02Z</dcterms:modified>
</cp:coreProperties>
</file>