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OSPanel\domains\plant-backend\trash\"/>
    </mc:Choice>
  </mc:AlternateContent>
  <xr:revisionPtr revIDLastSave="0" documentId="13_ncr:1_{F4A73289-4EC6-4E0C-A69B-AF511F36F3DF}" xr6:coauthVersionLast="47" xr6:coauthVersionMax="47" xr10:uidLastSave="{00000000-0000-0000-0000-000000000000}"/>
  <bookViews>
    <workbookView xWindow="30612" yWindow="-108" windowWidth="30936" windowHeight="16776" firstSheet="26" activeTab="30" xr2:uid="{00000000-000D-0000-FFFF-FFFF00000000}"/>
  </bookViews>
  <sheets>
    <sheet name="Gala" sheetId="3" r:id="rId1"/>
    <sheet name="Gala2" sheetId="11" r:id="rId2"/>
    <sheet name="Gala3" sheetId="13" r:id="rId3"/>
    <sheet name="Gala-Armando" sheetId="27" r:id="rId4"/>
    <sheet name="Gala-Armando+++" sheetId="28" r:id="rId5"/>
    <sheet name="Gala-Armando-Euros-35" sheetId="29" r:id="rId6"/>
    <sheet name="Cransa" sheetId="4" r:id="rId7"/>
    <sheet name="Arturo" sheetId="5" r:id="rId8"/>
    <sheet name="2 planchas" sheetId="6" r:id="rId9"/>
    <sheet name="Jimena-Armando" sheetId="7" r:id="rId10"/>
    <sheet name="Jimena-C-125" sheetId="14" r:id="rId11"/>
    <sheet name="Jimena-C-150" sheetId="15" r:id="rId12"/>
    <sheet name="Alex-Cola-39 Semanal" sheetId="16" r:id="rId13"/>
    <sheet name="Oscar" sheetId="8" r:id="rId14"/>
    <sheet name="Oscar2" sheetId="12" r:id="rId15"/>
    <sheet name="William" sheetId="9" r:id="rId16"/>
    <sheet name="Cristy" sheetId="10" r:id="rId17"/>
    <sheet name="Guido-C-125" sheetId="17" r:id="rId18"/>
    <sheet name="Guido-Cola" sheetId="19" r:id="rId19"/>
    <sheet name="Farin-Cola" sheetId="20" r:id="rId20"/>
    <sheet name="Oscar-Cola" sheetId="21" r:id="rId21"/>
    <sheet name="Oscar-C-125" sheetId="22" r:id="rId22"/>
    <sheet name="Oscar-C-150" sheetId="23" r:id="rId23"/>
    <sheet name="William-Cola" sheetId="24" r:id="rId24"/>
    <sheet name="William-C-125" sheetId="25" r:id="rId25"/>
    <sheet name="William-C-150" sheetId="26" r:id="rId26"/>
    <sheet name="Mega-Cola" sheetId="30" r:id="rId27"/>
    <sheet name="Mega-C-125" sheetId="31" r:id="rId28"/>
    <sheet name="Mega-C-150" sheetId="32" r:id="rId29"/>
    <sheet name="Monte-Cola" sheetId="33" r:id="rId30"/>
    <sheet name="Monte-C-125" sheetId="34" r:id="rId31"/>
    <sheet name="Monte-C-125 граф" sheetId="41" r:id="rId32"/>
    <sheet name="Monte-C-150" sheetId="35" r:id="rId33"/>
    <sheet name="Liliana-Cola" sheetId="36" r:id="rId34"/>
    <sheet name="мой расчет" sheetId="37" r:id="rId35"/>
    <sheet name="мой расчет (2)" sheetId="38" r:id="rId36"/>
    <sheet name="Лист1" sheetId="39" r:id="rId37"/>
    <sheet name="мой расчет 4" sheetId="40" r:id="rId38"/>
  </sheets>
  <definedNames>
    <definedName name="solver_adj" localSheetId="34" hidden="1">'мой расчет'!$D$12:$K$12</definedName>
    <definedName name="solver_adj" localSheetId="35" hidden="1">'мой расчет (2)'!$D$12:$K$12</definedName>
    <definedName name="solver_adj" localSheetId="37" hidden="1">'мой расчет 4'!$D$13:$K$13</definedName>
    <definedName name="solver_cvg" localSheetId="34" hidden="1">0.0001</definedName>
    <definedName name="solver_cvg" localSheetId="35" hidden="1">0.0001</definedName>
    <definedName name="solver_cvg" localSheetId="37" hidden="1">0.0001</definedName>
    <definedName name="solver_drv" localSheetId="34" hidden="1">1</definedName>
    <definedName name="solver_drv" localSheetId="35" hidden="1">1</definedName>
    <definedName name="solver_drv" localSheetId="37" hidden="1">1</definedName>
    <definedName name="solver_eng" localSheetId="34" hidden="1">1</definedName>
    <definedName name="solver_eng" localSheetId="35" hidden="1">1</definedName>
    <definedName name="solver_eng" localSheetId="37" hidden="1">1</definedName>
    <definedName name="solver_est" localSheetId="34" hidden="1">1</definedName>
    <definedName name="solver_est" localSheetId="35" hidden="1">1</definedName>
    <definedName name="solver_est" localSheetId="37" hidden="1">1</definedName>
    <definedName name="solver_itr" localSheetId="34" hidden="1">2147483647</definedName>
    <definedName name="solver_itr" localSheetId="35" hidden="1">2147483647</definedName>
    <definedName name="solver_itr" localSheetId="37" hidden="1">2147483647</definedName>
    <definedName name="solver_lhs1" localSheetId="34" hidden="1">'мой расчет'!$B$19</definedName>
    <definedName name="solver_lhs1" localSheetId="35" hidden="1">'мой расчет (2)'!$B$20</definedName>
    <definedName name="solver_lhs1" localSheetId="37" hidden="1">'мой расчет 4'!$B$21</definedName>
    <definedName name="solver_lhs2" localSheetId="34" hidden="1">'мой расчет'!$B$20</definedName>
    <definedName name="solver_lhs2" localSheetId="35" hidden="1">'мой расчет (2)'!$B$21</definedName>
    <definedName name="solver_lhs2" localSheetId="37" hidden="1">'мой расчет 4'!$B$22</definedName>
    <definedName name="solver_lhs3" localSheetId="34" hidden="1">'мой расчет'!$B$21</definedName>
    <definedName name="solver_lhs3" localSheetId="35" hidden="1">'мой расчет (2)'!$B$22</definedName>
    <definedName name="solver_lhs3" localSheetId="37" hidden="1">'мой расчет 4'!$B$23</definedName>
    <definedName name="solver_lhs4" localSheetId="34" hidden="1">'мой расчет'!$D$12:$K$12</definedName>
    <definedName name="solver_lhs4" localSheetId="35" hidden="1">'мой расчет (2)'!$D$12:$K$12</definedName>
    <definedName name="solver_lhs4" localSheetId="37" hidden="1">'мой расчет 4'!$D$13:$K$13</definedName>
    <definedName name="solver_lhs5" localSheetId="34" hidden="1">'мой расчет'!$D$12:$K$12</definedName>
    <definedName name="solver_lhs5" localSheetId="35" hidden="1">'мой расчет (2)'!$D$12:$K$12</definedName>
    <definedName name="solver_lhs5" localSheetId="37" hidden="1">'мой расчет 4'!$D$13:$K$13</definedName>
    <definedName name="solver_mip" localSheetId="34" hidden="1">2147483647</definedName>
    <definedName name="solver_mip" localSheetId="35" hidden="1">2147483647</definedName>
    <definedName name="solver_mip" localSheetId="37" hidden="1">2147483647</definedName>
    <definedName name="solver_mni" localSheetId="34" hidden="1">30</definedName>
    <definedName name="solver_mni" localSheetId="35" hidden="1">30</definedName>
    <definedName name="solver_mni" localSheetId="37" hidden="1">30</definedName>
    <definedName name="solver_mrt" localSheetId="34" hidden="1">0.075</definedName>
    <definedName name="solver_mrt" localSheetId="35" hidden="1">0.075</definedName>
    <definedName name="solver_mrt" localSheetId="37" hidden="1">0.075</definedName>
    <definedName name="solver_msl" localSheetId="34" hidden="1">2</definedName>
    <definedName name="solver_msl" localSheetId="35" hidden="1">2</definedName>
    <definedName name="solver_msl" localSheetId="37" hidden="1">2</definedName>
    <definedName name="solver_neg" localSheetId="34" hidden="1">1</definedName>
    <definedName name="solver_neg" localSheetId="35" hidden="1">1</definedName>
    <definedName name="solver_neg" localSheetId="37" hidden="1">1</definedName>
    <definedName name="solver_nod" localSheetId="34" hidden="1">2147483647</definedName>
    <definedName name="solver_nod" localSheetId="35" hidden="1">2147483647</definedName>
    <definedName name="solver_nod" localSheetId="37" hidden="1">2147483647</definedName>
    <definedName name="solver_num" localSheetId="34" hidden="1">4</definedName>
    <definedName name="solver_num" localSheetId="35" hidden="1">4</definedName>
    <definedName name="solver_num" localSheetId="37" hidden="1">4</definedName>
    <definedName name="solver_nwt" localSheetId="34" hidden="1">1</definedName>
    <definedName name="solver_nwt" localSheetId="35" hidden="1">1</definedName>
    <definedName name="solver_nwt" localSheetId="37" hidden="1">1</definedName>
    <definedName name="solver_opt" localSheetId="34" hidden="1">'мой расчет'!$D$7</definedName>
    <definedName name="solver_opt" localSheetId="35" hidden="1">'мой расчет (2)'!$C$15</definedName>
    <definedName name="solver_opt" localSheetId="37" hidden="1">'мой расчет 4'!$C$16</definedName>
    <definedName name="solver_pre" localSheetId="34" hidden="1">0.000001</definedName>
    <definedName name="solver_pre" localSheetId="35" hidden="1">0.000001</definedName>
    <definedName name="solver_pre" localSheetId="37" hidden="1">0.000001</definedName>
    <definedName name="solver_rbv" localSheetId="34" hidden="1">1</definedName>
    <definedName name="solver_rbv" localSheetId="35" hidden="1">1</definedName>
    <definedName name="solver_rbv" localSheetId="37" hidden="1">1</definedName>
    <definedName name="solver_rel1" localSheetId="34" hidden="1">1</definedName>
    <definedName name="solver_rel1" localSheetId="35" hidden="1">2</definedName>
    <definedName name="solver_rel1" localSheetId="37" hidden="1">2</definedName>
    <definedName name="solver_rel2" localSheetId="34" hidden="1">1</definedName>
    <definedName name="solver_rel2" localSheetId="35" hidden="1">2</definedName>
    <definedName name="solver_rel2" localSheetId="37" hidden="1">2</definedName>
    <definedName name="solver_rel3" localSheetId="34" hidden="1">1</definedName>
    <definedName name="solver_rel3" localSheetId="35" hidden="1">2</definedName>
    <definedName name="solver_rel3" localSheetId="37" hidden="1">2</definedName>
    <definedName name="solver_rel4" localSheetId="34" hidden="1">4</definedName>
    <definedName name="solver_rel4" localSheetId="35" hidden="1">4</definedName>
    <definedName name="solver_rel4" localSheetId="37" hidden="1">4</definedName>
    <definedName name="solver_rel5" localSheetId="34" hidden="1">3</definedName>
    <definedName name="solver_rel5" localSheetId="35" hidden="1">3</definedName>
    <definedName name="solver_rel5" localSheetId="37" hidden="1">3</definedName>
    <definedName name="solver_rhs1" localSheetId="34" hidden="1">'мой расчет'!$D$19</definedName>
    <definedName name="solver_rhs1" localSheetId="35" hidden="1">'мой расчет (2)'!$D$20</definedName>
    <definedName name="solver_rhs1" localSheetId="37" hidden="1">'мой расчет 4'!$D$21</definedName>
    <definedName name="solver_rhs2" localSheetId="34" hidden="1">'мой расчет'!$D$20</definedName>
    <definedName name="solver_rhs2" localSheetId="35" hidden="1">'мой расчет (2)'!$D$21</definedName>
    <definedName name="solver_rhs2" localSheetId="37" hidden="1">'мой расчет 4'!$D$22</definedName>
    <definedName name="solver_rhs3" localSheetId="34" hidden="1">'мой расчет'!$D$21</definedName>
    <definedName name="solver_rhs3" localSheetId="35" hidden="1">'мой расчет (2)'!$D$22</definedName>
    <definedName name="solver_rhs3" localSheetId="37" hidden="1">'мой расчет 4'!$D$23</definedName>
    <definedName name="solver_rhs4" localSheetId="34" hidden="1">"целое"</definedName>
    <definedName name="solver_rhs4" localSheetId="35" hidden="1">"целое"</definedName>
    <definedName name="solver_rhs4" localSheetId="37" hidden="1">"целое"</definedName>
    <definedName name="solver_rhs5" localSheetId="34" hidden="1">0</definedName>
    <definedName name="solver_rhs5" localSheetId="35" hidden="1">0</definedName>
    <definedName name="solver_rhs5" localSheetId="37" hidden="1">0</definedName>
    <definedName name="solver_rlx" localSheetId="34" hidden="1">2</definedName>
    <definedName name="solver_rlx" localSheetId="35" hidden="1">2</definedName>
    <definedName name="solver_rlx" localSheetId="37" hidden="1">2</definedName>
    <definedName name="solver_rsd" localSheetId="34" hidden="1">0</definedName>
    <definedName name="solver_rsd" localSheetId="35" hidden="1">0</definedName>
    <definedName name="solver_rsd" localSheetId="37" hidden="1">0</definedName>
    <definedName name="solver_scl" localSheetId="34" hidden="1">1</definedName>
    <definedName name="solver_scl" localSheetId="35" hidden="1">1</definedName>
    <definedName name="solver_scl" localSheetId="37" hidden="1">1</definedName>
    <definedName name="solver_sho" localSheetId="34" hidden="1">2</definedName>
    <definedName name="solver_sho" localSheetId="35" hidden="1">2</definedName>
    <definedName name="solver_sho" localSheetId="37" hidden="1">2</definedName>
    <definedName name="solver_ssz" localSheetId="34" hidden="1">100</definedName>
    <definedName name="solver_ssz" localSheetId="35" hidden="1">100</definedName>
    <definedName name="solver_ssz" localSheetId="37" hidden="1">100</definedName>
    <definedName name="solver_tim" localSheetId="34" hidden="1">2147483647</definedName>
    <definedName name="solver_tim" localSheetId="35" hidden="1">2147483647</definedName>
    <definedName name="solver_tim" localSheetId="37" hidden="1">2147483647</definedName>
    <definedName name="solver_tol" localSheetId="34" hidden="1">0.01</definedName>
    <definedName name="solver_tol" localSheetId="35" hidden="1">0.01</definedName>
    <definedName name="solver_tol" localSheetId="37" hidden="1">0.01</definedName>
    <definedName name="solver_typ" localSheetId="34" hidden="1">2</definedName>
    <definedName name="solver_typ" localSheetId="35" hidden="1">2</definedName>
    <definedName name="solver_typ" localSheetId="37" hidden="1">2</definedName>
    <definedName name="solver_val" localSheetId="34" hidden="1">0</definedName>
    <definedName name="solver_val" localSheetId="35" hidden="1">0</definedName>
    <definedName name="solver_val" localSheetId="37" hidden="1">0</definedName>
    <definedName name="solver_ver" localSheetId="34" hidden="1">3</definedName>
    <definedName name="solver_ver" localSheetId="35" hidden="1">3</definedName>
    <definedName name="solver_ver" localSheetId="37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41" l="1"/>
  <c r="R43" i="34"/>
  <c r="B48" i="34"/>
  <c r="B42" i="41"/>
  <c r="B36" i="41"/>
  <c r="B30" i="41"/>
  <c r="B24" i="41"/>
  <c r="B18" i="41"/>
  <c r="B12" i="41"/>
  <c r="B6" i="41"/>
  <c r="V40" i="34"/>
  <c r="Q47" i="34"/>
  <c r="P47" i="34"/>
  <c r="O47" i="34"/>
  <c r="N47" i="34"/>
  <c r="M47" i="34"/>
  <c r="L47" i="34"/>
  <c r="Q46" i="34"/>
  <c r="P46" i="34"/>
  <c r="O46" i="34"/>
  <c r="N46" i="34"/>
  <c r="M46" i="34"/>
  <c r="L46" i="34"/>
  <c r="Q45" i="34"/>
  <c r="P45" i="34"/>
  <c r="O45" i="34"/>
  <c r="N45" i="34"/>
  <c r="M45" i="34"/>
  <c r="L45" i="34"/>
  <c r="Q44" i="34"/>
  <c r="P44" i="34"/>
  <c r="O44" i="34"/>
  <c r="N44" i="34"/>
  <c r="M44" i="34"/>
  <c r="L44" i="34"/>
  <c r="Q43" i="34"/>
  <c r="P43" i="34"/>
  <c r="O43" i="34"/>
  <c r="N43" i="34"/>
  <c r="M43" i="34"/>
  <c r="L43" i="34"/>
  <c r="T43" i="34" s="1"/>
  <c r="I44" i="34"/>
  <c r="I45" i="34"/>
  <c r="I46" i="34"/>
  <c r="I47" i="34"/>
  <c r="I43" i="34"/>
  <c r="I36" i="34"/>
  <c r="I39" i="34"/>
  <c r="I40" i="34" s="1"/>
  <c r="Q38" i="34"/>
  <c r="P38" i="34"/>
  <c r="O38" i="34"/>
  <c r="N38" i="34"/>
  <c r="M38" i="34"/>
  <c r="L38" i="34"/>
  <c r="I38" i="34"/>
  <c r="Q37" i="34"/>
  <c r="P37" i="34"/>
  <c r="O37" i="34"/>
  <c r="N37" i="34"/>
  <c r="M37" i="34"/>
  <c r="L37" i="34"/>
  <c r="I37" i="34"/>
  <c r="Q36" i="34"/>
  <c r="P36" i="34"/>
  <c r="O36" i="34"/>
  <c r="N36" i="34"/>
  <c r="M36" i="34"/>
  <c r="L36" i="34"/>
  <c r="Q35" i="34"/>
  <c r="P35" i="34"/>
  <c r="O35" i="34"/>
  <c r="N35" i="34"/>
  <c r="M35" i="34"/>
  <c r="L35" i="34"/>
  <c r="I35" i="34"/>
  <c r="Q34" i="34"/>
  <c r="P34" i="34"/>
  <c r="O34" i="34"/>
  <c r="O39" i="34" s="1"/>
  <c r="O40" i="34" s="1"/>
  <c r="N34" i="34"/>
  <c r="N39" i="34" s="1"/>
  <c r="N40" i="34" s="1"/>
  <c r="M34" i="34"/>
  <c r="M39" i="34" s="1"/>
  <c r="M40" i="34" s="1"/>
  <c r="L34" i="34"/>
  <c r="I34" i="34"/>
  <c r="N6" i="34"/>
  <c r="N7" i="34"/>
  <c r="N4" i="34"/>
  <c r="N5" i="34"/>
  <c r="N3" i="34"/>
  <c r="B25" i="37"/>
  <c r="X9" i="37"/>
  <c r="D21" i="37" s="1"/>
  <c r="X7" i="37"/>
  <c r="D19" i="37" s="1"/>
  <c r="X8" i="37"/>
  <c r="D19" i="35"/>
  <c r="E19" i="35"/>
  <c r="B39" i="40"/>
  <c r="E55" i="39"/>
  <c r="J55" i="39"/>
  <c r="E54" i="39"/>
  <c r="E56" i="39" s="1"/>
  <c r="E57" i="39" s="1"/>
  <c r="E58" i="39" s="1"/>
  <c r="E59" i="39" s="1"/>
  <c r="E60" i="39" s="1"/>
  <c r="J54" i="39"/>
  <c r="J56" i="39"/>
  <c r="Z21" i="38"/>
  <c r="Z8" i="40"/>
  <c r="B23" i="40" s="1"/>
  <c r="Z9" i="40"/>
  <c r="Z10" i="40"/>
  <c r="D23" i="40" s="1"/>
  <c r="Z7" i="40"/>
  <c r="B22" i="40" s="1"/>
  <c r="W11" i="40"/>
  <c r="X11" i="40"/>
  <c r="D11" i="40"/>
  <c r="F26" i="40"/>
  <c r="D21" i="40"/>
  <c r="B2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Y4" i="40"/>
  <c r="AA7" i="40" s="1"/>
  <c r="J46" i="39"/>
  <c r="J41" i="39"/>
  <c r="J42" i="39" s="1"/>
  <c r="J43" i="39" s="1"/>
  <c r="J44" i="39" s="1"/>
  <c r="J45" i="39" s="1"/>
  <c r="I45" i="39"/>
  <c r="I39" i="39"/>
  <c r="I40" i="39"/>
  <c r="I41" i="39" s="1"/>
  <c r="H44" i="39"/>
  <c r="H39" i="39"/>
  <c r="H40" i="39"/>
  <c r="H41" i="39"/>
  <c r="H42" i="39"/>
  <c r="H43" i="39" s="1"/>
  <c r="H49" i="39" s="1"/>
  <c r="G43" i="39"/>
  <c r="G49" i="39"/>
  <c r="K49" i="39"/>
  <c r="L49" i="39"/>
  <c r="M49" i="39"/>
  <c r="G41" i="39"/>
  <c r="G42" i="39"/>
  <c r="F41" i="39"/>
  <c r="F42" i="39" s="1"/>
  <c r="E41" i="39"/>
  <c r="F40" i="39"/>
  <c r="G40" i="39"/>
  <c r="K40" i="39"/>
  <c r="L40" i="39"/>
  <c r="M40" i="39"/>
  <c r="E40" i="39"/>
  <c r="F39" i="39"/>
  <c r="G39" i="39"/>
  <c r="J39" i="39"/>
  <c r="J40" i="39" s="1"/>
  <c r="K39" i="39"/>
  <c r="L39" i="39"/>
  <c r="M39" i="39"/>
  <c r="E39" i="39"/>
  <c r="C20" i="39"/>
  <c r="B17" i="39"/>
  <c r="C17" i="39"/>
  <c r="FY35" i="39"/>
  <c r="FW35" i="39"/>
  <c r="FU35" i="39"/>
  <c r="FR35" i="39"/>
  <c r="FP35" i="39"/>
  <c r="FN35" i="39"/>
  <c r="FK35" i="39"/>
  <c r="FI35" i="39"/>
  <c r="FG35" i="39"/>
  <c r="FE35" i="39"/>
  <c r="FC35" i="39"/>
  <c r="FA35" i="39"/>
  <c r="EX35" i="39"/>
  <c r="EV35" i="39"/>
  <c r="ET35" i="39"/>
  <c r="EQ35" i="39"/>
  <c r="EO35" i="39"/>
  <c r="EM35" i="39"/>
  <c r="EK35" i="39"/>
  <c r="EI35" i="39"/>
  <c r="EG35" i="39"/>
  <c r="ED35" i="39"/>
  <c r="EB35" i="39"/>
  <c r="DZ35" i="39"/>
  <c r="DW35" i="39"/>
  <c r="DU35" i="39"/>
  <c r="DS35" i="39"/>
  <c r="DQ35" i="39"/>
  <c r="DO35" i="39"/>
  <c r="DM35" i="39"/>
  <c r="DJ35" i="39"/>
  <c r="DH35" i="39"/>
  <c r="DF35" i="39"/>
  <c r="DC35" i="39"/>
  <c r="DA35" i="39"/>
  <c r="CY35" i="39"/>
  <c r="CW35" i="39"/>
  <c r="CU35" i="39"/>
  <c r="CS35" i="39"/>
  <c r="CP35" i="39"/>
  <c r="CN35" i="39"/>
  <c r="CL35" i="39"/>
  <c r="CI35" i="39"/>
  <c r="CG35" i="39"/>
  <c r="CE35" i="39"/>
  <c r="CC35" i="39"/>
  <c r="CA35" i="39"/>
  <c r="BY35" i="39"/>
  <c r="BV35" i="39"/>
  <c r="BT35" i="39"/>
  <c r="BR35" i="39"/>
  <c r="BO35" i="39"/>
  <c r="BM35" i="39"/>
  <c r="BK35" i="39"/>
  <c r="BI35" i="39"/>
  <c r="BG35" i="39"/>
  <c r="BE35" i="39"/>
  <c r="BB35" i="39"/>
  <c r="AZ35" i="39"/>
  <c r="AX35" i="39"/>
  <c r="AU35" i="39"/>
  <c r="AS35" i="39"/>
  <c r="AQ35" i="39"/>
  <c r="AO35" i="39"/>
  <c r="AM35" i="39"/>
  <c r="AK35" i="39"/>
  <c r="AH35" i="39"/>
  <c r="AF35" i="39"/>
  <c r="AD35" i="39"/>
  <c r="AA35" i="39"/>
  <c r="Y35" i="39"/>
  <c r="W35" i="39"/>
  <c r="U35" i="39"/>
  <c r="S35" i="39"/>
  <c r="Q35" i="39"/>
  <c r="N35" i="39"/>
  <c r="L35" i="39"/>
  <c r="J35" i="39"/>
  <c r="G35" i="39"/>
  <c r="E35" i="39"/>
  <c r="C35" i="39"/>
  <c r="A32" i="39"/>
  <c r="A31" i="39"/>
  <c r="A30" i="39"/>
  <c r="A29" i="39"/>
  <c r="A28" i="39"/>
  <c r="A27" i="39"/>
  <c r="A26" i="39"/>
  <c r="A25" i="39"/>
  <c r="A24" i="39"/>
  <c r="A23" i="39"/>
  <c r="B19" i="39"/>
  <c r="C18" i="39"/>
  <c r="C19" i="39" s="1"/>
  <c r="B18" i="39"/>
  <c r="A11" i="39"/>
  <c r="A10" i="39"/>
  <c r="A9" i="39"/>
  <c r="A8" i="39"/>
  <c r="A7" i="39"/>
  <c r="A6" i="39"/>
  <c r="A5" i="39"/>
  <c r="A4" i="39"/>
  <c r="A3" i="39"/>
  <c r="A2" i="39"/>
  <c r="F25" i="38"/>
  <c r="X19" i="37"/>
  <c r="X20" i="37"/>
  <c r="X21" i="37" s="1"/>
  <c r="X18" i="37"/>
  <c r="X17" i="37"/>
  <c r="X16" i="37"/>
  <c r="D20" i="37"/>
  <c r="C16" i="38"/>
  <c r="C3" i="37"/>
  <c r="C25" i="37" s="1"/>
  <c r="B26" i="37" s="1"/>
  <c r="D25" i="37" s="1"/>
  <c r="C17" i="38"/>
  <c r="B19" i="37"/>
  <c r="B20" i="37"/>
  <c r="B21" i="37"/>
  <c r="D20" i="38"/>
  <c r="B2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5" i="38" s="1"/>
  <c r="Y9" i="38"/>
  <c r="X9" i="38"/>
  <c r="D22" i="38" s="1"/>
  <c r="X8" i="38"/>
  <c r="B22" i="38" s="1"/>
  <c r="X7" i="38"/>
  <c r="X4" i="38" s="1"/>
  <c r="Z9" i="38" s="1"/>
  <c r="W4" i="38"/>
  <c r="Y8" i="38" s="1"/>
  <c r="R9" i="34"/>
  <c r="R44" i="34" l="1"/>
  <c r="T44" i="34" s="1"/>
  <c r="P39" i="34"/>
  <c r="P40" i="34" s="1"/>
  <c r="Q39" i="34"/>
  <c r="Q40" i="34" s="1"/>
  <c r="L39" i="34"/>
  <c r="L40" i="34" s="1"/>
  <c r="R47" i="34"/>
  <c r="T47" i="34" s="1"/>
  <c r="R45" i="34"/>
  <c r="T45" i="34" s="1"/>
  <c r="R46" i="34"/>
  <c r="T46" i="34" s="1"/>
  <c r="AA8" i="40"/>
  <c r="C16" i="40"/>
  <c r="C17" i="40" s="1"/>
  <c r="AA10" i="40"/>
  <c r="AA11" i="40"/>
  <c r="Z4" i="40"/>
  <c r="AB8" i="40" s="1"/>
  <c r="C18" i="40"/>
  <c r="D22" i="40"/>
  <c r="J49" i="39"/>
  <c r="I42" i="39"/>
  <c r="I43" i="39" s="1"/>
  <c r="I44" i="39" s="1"/>
  <c r="I49" i="39"/>
  <c r="F49" i="39"/>
  <c r="E49" i="39"/>
  <c r="X22" i="37"/>
  <c r="X23" i="37" s="1"/>
  <c r="X24" i="37" s="1"/>
  <c r="X25" i="37" s="1"/>
  <c r="X26" i="37" s="1"/>
  <c r="B21" i="38"/>
  <c r="Z7" i="38"/>
  <c r="D21" i="38"/>
  <c r="Z8" i="38"/>
  <c r="Y7" i="38"/>
  <c r="Y10" i="38" s="1"/>
  <c r="W4" i="37"/>
  <c r="U10" i="37"/>
  <c r="T10" i="37"/>
  <c r="S10" i="37"/>
  <c r="R10" i="37"/>
  <c r="Q10" i="37"/>
  <c r="P10" i="37"/>
  <c r="O10" i="37"/>
  <c r="N10" i="37"/>
  <c r="M10" i="37"/>
  <c r="L10" i="37"/>
  <c r="K10" i="37"/>
  <c r="V10" i="37"/>
  <c r="E10" i="37"/>
  <c r="F10" i="37"/>
  <c r="G10" i="37"/>
  <c r="H10" i="37"/>
  <c r="I10" i="37"/>
  <c r="J10" i="37"/>
  <c r="D10" i="37"/>
  <c r="A15" i="33"/>
  <c r="J15" i="33" s="1"/>
  <c r="D70" i="33"/>
  <c r="U15" i="26"/>
  <c r="E11" i="26"/>
  <c r="O19" i="36"/>
  <c r="O22" i="36"/>
  <c r="S21" i="36"/>
  <c r="R21" i="36"/>
  <c r="Q21" i="36"/>
  <c r="P21" i="36"/>
  <c r="O21" i="36"/>
  <c r="M21" i="36"/>
  <c r="S20" i="36"/>
  <c r="R20" i="36"/>
  <c r="Q20" i="36"/>
  <c r="P20" i="36"/>
  <c r="O20" i="36"/>
  <c r="M20" i="36"/>
  <c r="S19" i="36"/>
  <c r="R19" i="36"/>
  <c r="Q19" i="36"/>
  <c r="P19" i="36"/>
  <c r="M19" i="36"/>
  <c r="S18" i="36"/>
  <c r="R18" i="36"/>
  <c r="Q18" i="36"/>
  <c r="P18" i="36"/>
  <c r="O18" i="36"/>
  <c r="M18" i="36"/>
  <c r="S17" i="36"/>
  <c r="S22" i="36" s="1"/>
  <c r="R17" i="36"/>
  <c r="R22" i="36" s="1"/>
  <c r="Q17" i="36"/>
  <c r="Q22" i="36" s="1"/>
  <c r="P17" i="36"/>
  <c r="P22" i="36" s="1"/>
  <c r="O17" i="36"/>
  <c r="M17" i="36"/>
  <c r="S16" i="36"/>
  <c r="R16" i="36"/>
  <c r="Q16" i="36"/>
  <c r="P16" i="36"/>
  <c r="O16" i="36"/>
  <c r="U23" i="35"/>
  <c r="T23" i="35"/>
  <c r="S23" i="35"/>
  <c r="R23" i="35"/>
  <c r="V22" i="35"/>
  <c r="U22" i="35"/>
  <c r="T22" i="35"/>
  <c r="S22" i="35"/>
  <c r="R22" i="35"/>
  <c r="P22" i="35"/>
  <c r="V21" i="35"/>
  <c r="U21" i="35"/>
  <c r="T21" i="35"/>
  <c r="S21" i="35"/>
  <c r="R21" i="35"/>
  <c r="P21" i="35"/>
  <c r="V20" i="35"/>
  <c r="U20" i="35"/>
  <c r="T20" i="35"/>
  <c r="S20" i="35"/>
  <c r="R20" i="35"/>
  <c r="P20" i="35"/>
  <c r="V19" i="35"/>
  <c r="U19" i="35"/>
  <c r="T19" i="35"/>
  <c r="S19" i="35"/>
  <c r="R19" i="35"/>
  <c r="P19" i="35"/>
  <c r="V18" i="35"/>
  <c r="V23" i="35" s="1"/>
  <c r="U18" i="35"/>
  <c r="T18" i="35"/>
  <c r="S18" i="35"/>
  <c r="R18" i="35"/>
  <c r="P18" i="35"/>
  <c r="V17" i="35"/>
  <c r="U17" i="35"/>
  <c r="T17" i="35"/>
  <c r="S17" i="35"/>
  <c r="R17" i="35"/>
  <c r="P19" i="34"/>
  <c r="P20" i="34"/>
  <c r="P21" i="34"/>
  <c r="P22" i="34"/>
  <c r="P18" i="34"/>
  <c r="S17" i="34"/>
  <c r="T17" i="34"/>
  <c r="U17" i="34"/>
  <c r="V17" i="34"/>
  <c r="R17" i="34"/>
  <c r="I42" i="33"/>
  <c r="I41" i="33"/>
  <c r="H42" i="33"/>
  <c r="D41" i="33"/>
  <c r="E41" i="33"/>
  <c r="F41" i="33"/>
  <c r="G41" i="33"/>
  <c r="H41" i="33"/>
  <c r="C41" i="33"/>
  <c r="G40" i="33"/>
  <c r="C37" i="33"/>
  <c r="D37" i="33"/>
  <c r="E37" i="33"/>
  <c r="F37" i="33"/>
  <c r="G37" i="33"/>
  <c r="H37" i="33"/>
  <c r="C38" i="33"/>
  <c r="D38" i="33"/>
  <c r="E38" i="33"/>
  <c r="F38" i="33"/>
  <c r="G38" i="33"/>
  <c r="H38" i="33"/>
  <c r="C39" i="33"/>
  <c r="D39" i="33"/>
  <c r="E39" i="33"/>
  <c r="F39" i="33"/>
  <c r="G39" i="33"/>
  <c r="H39" i="33"/>
  <c r="C40" i="33"/>
  <c r="D40" i="33"/>
  <c r="E40" i="33"/>
  <c r="F40" i="33"/>
  <c r="H40" i="33"/>
  <c r="F36" i="33"/>
  <c r="D36" i="33"/>
  <c r="E36" i="33"/>
  <c r="G36" i="33"/>
  <c r="H36" i="33"/>
  <c r="D35" i="33"/>
  <c r="E35" i="33"/>
  <c r="F35" i="33"/>
  <c r="G35" i="33"/>
  <c r="H35" i="33"/>
  <c r="C36" i="33"/>
  <c r="A49" i="33"/>
  <c r="D66" i="33" s="1"/>
  <c r="A50" i="33"/>
  <c r="A51" i="33"/>
  <c r="A52" i="33"/>
  <c r="A54" i="33" s="1"/>
  <c r="A53" i="33"/>
  <c r="A36" i="33"/>
  <c r="I36" i="33" s="1"/>
  <c r="A37" i="33"/>
  <c r="A38" i="33"/>
  <c r="A39" i="33"/>
  <c r="I39" i="33" s="1"/>
  <c r="A40" i="33"/>
  <c r="I38" i="33"/>
  <c r="C48" i="33"/>
  <c r="D48" i="33"/>
  <c r="E48" i="33"/>
  <c r="F48" i="33"/>
  <c r="G48" i="33"/>
  <c r="H48" i="33"/>
  <c r="C35" i="33"/>
  <c r="H45" i="33"/>
  <c r="G45" i="33"/>
  <c r="F45" i="33"/>
  <c r="E45" i="33"/>
  <c r="D45" i="33"/>
  <c r="C45" i="33"/>
  <c r="H32" i="33"/>
  <c r="G32" i="33"/>
  <c r="F32" i="33"/>
  <c r="E32" i="33"/>
  <c r="D32" i="33"/>
  <c r="C32" i="33"/>
  <c r="G22" i="33"/>
  <c r="H22" i="33"/>
  <c r="A28" i="33"/>
  <c r="O4" i="33"/>
  <c r="U4" i="33"/>
  <c r="T5" i="33"/>
  <c r="T6" i="33"/>
  <c r="T7" i="33"/>
  <c r="T8" i="33"/>
  <c r="T9" i="33"/>
  <c r="T4" i="33"/>
  <c r="S12" i="32"/>
  <c r="R11" i="32"/>
  <c r="J49" i="33"/>
  <c r="P13" i="36"/>
  <c r="O12" i="36"/>
  <c r="J65" i="33"/>
  <c r="E4" i="33"/>
  <c r="E61" i="33"/>
  <c r="G61" i="33" s="1"/>
  <c r="D71" i="33"/>
  <c r="D72" i="33"/>
  <c r="D73" i="33"/>
  <c r="D74" i="33"/>
  <c r="D75" i="33"/>
  <c r="B71" i="33"/>
  <c r="B72" i="33"/>
  <c r="B73" i="33"/>
  <c r="B74" i="33"/>
  <c r="B75" i="33"/>
  <c r="B70" i="33"/>
  <c r="E5" i="33"/>
  <c r="E6" i="33"/>
  <c r="E7" i="33"/>
  <c r="E8" i="33"/>
  <c r="E9" i="33"/>
  <c r="A70" i="33"/>
  <c r="C71" i="33"/>
  <c r="C72" i="33"/>
  <c r="C73" i="33"/>
  <c r="C74" i="33"/>
  <c r="C75" i="33"/>
  <c r="C70" i="33"/>
  <c r="A71" i="33"/>
  <c r="A72" i="33"/>
  <c r="A73" i="33"/>
  <c r="A74" i="33"/>
  <c r="A75" i="33"/>
  <c r="D21" i="34"/>
  <c r="S20" i="26"/>
  <c r="D19" i="32"/>
  <c r="S12" i="30"/>
  <c r="M14" i="33"/>
  <c r="M15" i="33" s="1"/>
  <c r="C49" i="33" s="1"/>
  <c r="N14" i="33"/>
  <c r="O14" i="33"/>
  <c r="O15" i="33" s="1"/>
  <c r="E23" i="33" s="1"/>
  <c r="P14" i="33"/>
  <c r="Q14" i="33"/>
  <c r="Q18" i="33" s="1"/>
  <c r="G26" i="33" s="1"/>
  <c r="R14" i="33"/>
  <c r="J11" i="34"/>
  <c r="R11" i="34" s="1"/>
  <c r="O15" i="34"/>
  <c r="W15" i="34" s="1"/>
  <c r="N15" i="34"/>
  <c r="M15" i="34"/>
  <c r="L15" i="34"/>
  <c r="K15" i="34"/>
  <c r="J15" i="34"/>
  <c r="O14" i="34"/>
  <c r="N14" i="34"/>
  <c r="M14" i="34"/>
  <c r="L14" i="34"/>
  <c r="K14" i="34"/>
  <c r="J14" i="34"/>
  <c r="O13" i="34"/>
  <c r="N13" i="34"/>
  <c r="M13" i="34"/>
  <c r="L13" i="34"/>
  <c r="K13" i="34"/>
  <c r="J13" i="34"/>
  <c r="O12" i="34"/>
  <c r="N12" i="34"/>
  <c r="M12" i="34"/>
  <c r="L12" i="34"/>
  <c r="K12" i="34"/>
  <c r="J12" i="34"/>
  <c r="R12" i="34" s="1"/>
  <c r="R19" i="34" s="1"/>
  <c r="O11" i="34"/>
  <c r="N11" i="34"/>
  <c r="M11" i="34"/>
  <c r="U11" i="34" s="1"/>
  <c r="U18" i="34" s="1"/>
  <c r="L11" i="34"/>
  <c r="K11" i="34"/>
  <c r="J12" i="35"/>
  <c r="K12" i="35"/>
  <c r="L12" i="35"/>
  <c r="M12" i="35"/>
  <c r="N12" i="35"/>
  <c r="O12" i="35"/>
  <c r="J13" i="35"/>
  <c r="K13" i="35"/>
  <c r="L13" i="35"/>
  <c r="M13" i="35"/>
  <c r="N13" i="35"/>
  <c r="O13" i="35"/>
  <c r="J14" i="35"/>
  <c r="K14" i="35"/>
  <c r="L14" i="35"/>
  <c r="M14" i="35"/>
  <c r="N14" i="35"/>
  <c r="O14" i="35"/>
  <c r="J15" i="35"/>
  <c r="K15" i="35"/>
  <c r="L15" i="35"/>
  <c r="M15" i="35"/>
  <c r="N15" i="35"/>
  <c r="O15" i="35"/>
  <c r="K11" i="35"/>
  <c r="L11" i="35"/>
  <c r="M11" i="35"/>
  <c r="N11" i="35"/>
  <c r="O11" i="35"/>
  <c r="J11" i="35"/>
  <c r="E4" i="36"/>
  <c r="E3" i="36"/>
  <c r="M14" i="36"/>
  <c r="D9" i="36" s="1"/>
  <c r="E9" i="36" s="1"/>
  <c r="P10" i="36"/>
  <c r="O10" i="36"/>
  <c r="Q13" i="36"/>
  <c r="O13" i="36"/>
  <c r="Q12" i="36"/>
  <c r="P12" i="36"/>
  <c r="A13" i="36"/>
  <c r="A12" i="36"/>
  <c r="C5" i="36"/>
  <c r="I5" i="36" s="1"/>
  <c r="R18" i="34" l="1"/>
  <c r="AB10" i="40"/>
  <c r="AB7" i="40"/>
  <c r="C15" i="37"/>
  <c r="C16" i="37" s="1"/>
  <c r="Z10" i="38"/>
  <c r="X4" i="37"/>
  <c r="E66" i="33"/>
  <c r="U12" i="33"/>
  <c r="J66" i="33"/>
  <c r="I49" i="33"/>
  <c r="A41" i="33"/>
  <c r="H44" i="33"/>
  <c r="H43" i="33" s="1"/>
  <c r="I37" i="33"/>
  <c r="E44" i="33"/>
  <c r="E43" i="33" s="1"/>
  <c r="I40" i="33"/>
  <c r="C44" i="33"/>
  <c r="C43" i="33" s="1"/>
  <c r="I45" i="33"/>
  <c r="F22" i="33"/>
  <c r="E22" i="33"/>
  <c r="G44" i="33"/>
  <c r="G43" i="33" s="1"/>
  <c r="F44" i="33"/>
  <c r="F43" i="33" s="1"/>
  <c r="I23" i="33"/>
  <c r="D22" i="33"/>
  <c r="C22" i="33"/>
  <c r="C23" i="33"/>
  <c r="I32" i="33"/>
  <c r="V4" i="33"/>
  <c r="F66" i="33"/>
  <c r="R19" i="33"/>
  <c r="P15" i="33"/>
  <c r="F23" i="33" s="1"/>
  <c r="R15" i="33"/>
  <c r="H23" i="33" s="1"/>
  <c r="Q19" i="33"/>
  <c r="Q17" i="33"/>
  <c r="G25" i="33" s="1"/>
  <c r="Q16" i="33"/>
  <c r="Q15" i="33"/>
  <c r="G23" i="33" s="1"/>
  <c r="P19" i="33"/>
  <c r="F27" i="33" s="1"/>
  <c r="P18" i="33"/>
  <c r="F26" i="33" s="1"/>
  <c r="P17" i="33"/>
  <c r="F25" i="33" s="1"/>
  <c r="P16" i="33"/>
  <c r="F24" i="33" s="1"/>
  <c r="O18" i="33"/>
  <c r="O16" i="33"/>
  <c r="E24" i="33" s="1"/>
  <c r="N19" i="33"/>
  <c r="D27" i="33" s="1"/>
  <c r="N15" i="33"/>
  <c r="D23" i="33" s="1"/>
  <c r="M19" i="33"/>
  <c r="C27" i="33" s="1"/>
  <c r="M18" i="33"/>
  <c r="C26" i="33" s="1"/>
  <c r="M17" i="33"/>
  <c r="C25" i="33" s="1"/>
  <c r="M16" i="33"/>
  <c r="C24" i="33" s="1"/>
  <c r="O19" i="33"/>
  <c r="E27" i="33" s="1"/>
  <c r="O17" i="33"/>
  <c r="E25" i="33" s="1"/>
  <c r="N18" i="33"/>
  <c r="D26" i="33" s="1"/>
  <c r="N17" i="33"/>
  <c r="D25" i="33" s="1"/>
  <c r="N16" i="33"/>
  <c r="R18" i="33"/>
  <c r="H26" i="33" s="1"/>
  <c r="R17" i="33"/>
  <c r="H25" i="33" s="1"/>
  <c r="R16" i="33"/>
  <c r="H24" i="33" s="1"/>
  <c r="O9" i="36"/>
  <c r="Q9" i="36"/>
  <c r="Q8" i="36" s="1"/>
  <c r="E5" i="36"/>
  <c r="F4" i="36" s="1"/>
  <c r="G4" i="36" s="1"/>
  <c r="H4" i="36" s="1"/>
  <c r="I4" i="36" s="1"/>
  <c r="J4" i="36" s="1"/>
  <c r="K4" i="36" s="1"/>
  <c r="P9" i="36"/>
  <c r="E10" i="28"/>
  <c r="AB11" i="40" l="1"/>
  <c r="F31" i="33"/>
  <c r="F30" i="33" s="1"/>
  <c r="D50" i="33"/>
  <c r="D24" i="33"/>
  <c r="D31" i="33" s="1"/>
  <c r="D30" i="33" s="1"/>
  <c r="G53" i="33"/>
  <c r="G27" i="33"/>
  <c r="C31" i="33"/>
  <c r="C30" i="33" s="1"/>
  <c r="E52" i="33"/>
  <c r="E26" i="33"/>
  <c r="E31" i="33" s="1"/>
  <c r="E30" i="33" s="1"/>
  <c r="H53" i="33"/>
  <c r="H27" i="33"/>
  <c r="H31" i="33" s="1"/>
  <c r="H30" i="33" s="1"/>
  <c r="G50" i="33"/>
  <c r="G24" i="33"/>
  <c r="M20" i="33"/>
  <c r="L15" i="33"/>
  <c r="K4" i="33" s="1"/>
  <c r="R20" i="33"/>
  <c r="O20" i="33"/>
  <c r="Q20" i="33"/>
  <c r="P20" i="33"/>
  <c r="N20" i="33"/>
  <c r="L16" i="33"/>
  <c r="L17" i="33"/>
  <c r="L19" i="33"/>
  <c r="L18" i="33"/>
  <c r="C52" i="33"/>
  <c r="C50" i="33"/>
  <c r="C51" i="33"/>
  <c r="C53" i="33"/>
  <c r="F3" i="36"/>
  <c r="W15" i="35"/>
  <c r="V15" i="35"/>
  <c r="U15" i="35"/>
  <c r="T15" i="35"/>
  <c r="S15" i="35"/>
  <c r="R15" i="35"/>
  <c r="A15" i="35"/>
  <c r="W14" i="35"/>
  <c r="V14" i="35"/>
  <c r="U14" i="35"/>
  <c r="T14" i="35"/>
  <c r="S14" i="35"/>
  <c r="R14" i="35"/>
  <c r="A14" i="35"/>
  <c r="W13" i="35"/>
  <c r="V13" i="35"/>
  <c r="U13" i="35"/>
  <c r="T13" i="35"/>
  <c r="S13" i="35"/>
  <c r="R13" i="35"/>
  <c r="A13" i="35"/>
  <c r="W12" i="35"/>
  <c r="V12" i="35"/>
  <c r="U12" i="35"/>
  <c r="T12" i="35"/>
  <c r="S12" i="35"/>
  <c r="R12" i="35"/>
  <c r="A12" i="35"/>
  <c r="W11" i="35"/>
  <c r="V11" i="35"/>
  <c r="U11" i="35"/>
  <c r="T11" i="35"/>
  <c r="S11" i="35"/>
  <c r="R11" i="35"/>
  <c r="A11" i="35"/>
  <c r="V9" i="35"/>
  <c r="U9" i="35"/>
  <c r="T9" i="35"/>
  <c r="S9" i="35"/>
  <c r="R9" i="35"/>
  <c r="E7" i="35"/>
  <c r="E6" i="35"/>
  <c r="E5" i="35"/>
  <c r="E4" i="35"/>
  <c r="E3" i="35"/>
  <c r="A15" i="34"/>
  <c r="A14" i="34"/>
  <c r="A13" i="34"/>
  <c r="A12" i="34"/>
  <c r="A11" i="34"/>
  <c r="D19" i="34"/>
  <c r="E19" i="34" s="1"/>
  <c r="V15" i="34"/>
  <c r="V22" i="34" s="1"/>
  <c r="U15" i="34"/>
  <c r="U22" i="34" s="1"/>
  <c r="T15" i="34"/>
  <c r="T22" i="34" s="1"/>
  <c r="S15" i="34"/>
  <c r="S22" i="34" s="1"/>
  <c r="R15" i="34"/>
  <c r="R22" i="34" s="1"/>
  <c r="W14" i="34"/>
  <c r="V14" i="34"/>
  <c r="V21" i="34" s="1"/>
  <c r="U14" i="34"/>
  <c r="U21" i="34" s="1"/>
  <c r="T14" i="34"/>
  <c r="T21" i="34" s="1"/>
  <c r="S14" i="34"/>
  <c r="S21" i="34" s="1"/>
  <c r="R14" i="34"/>
  <c r="R21" i="34" s="1"/>
  <c r="W13" i="34"/>
  <c r="V13" i="34"/>
  <c r="V20" i="34" s="1"/>
  <c r="U13" i="34"/>
  <c r="U20" i="34" s="1"/>
  <c r="T13" i="34"/>
  <c r="T20" i="34" s="1"/>
  <c r="S13" i="34"/>
  <c r="S20" i="34" s="1"/>
  <c r="R13" i="34"/>
  <c r="W12" i="34"/>
  <c r="V12" i="34"/>
  <c r="V19" i="34" s="1"/>
  <c r="U12" i="34"/>
  <c r="U19" i="34" s="1"/>
  <c r="T12" i="34"/>
  <c r="T19" i="34" s="1"/>
  <c r="S12" i="34"/>
  <c r="S19" i="34" s="1"/>
  <c r="W11" i="34"/>
  <c r="V11" i="34"/>
  <c r="V18" i="34" s="1"/>
  <c r="T11" i="34"/>
  <c r="T18" i="34" s="1"/>
  <c r="S11" i="34"/>
  <c r="S18" i="34" s="1"/>
  <c r="V9" i="34"/>
  <c r="U9" i="34"/>
  <c r="T9" i="34"/>
  <c r="S9" i="34"/>
  <c r="E7" i="34"/>
  <c r="E6" i="34"/>
  <c r="E5" i="34"/>
  <c r="E4" i="34"/>
  <c r="E3" i="34"/>
  <c r="H52" i="33"/>
  <c r="H51" i="33"/>
  <c r="H50" i="33"/>
  <c r="H49" i="33"/>
  <c r="F53" i="33"/>
  <c r="E53" i="33"/>
  <c r="D53" i="33"/>
  <c r="A19" i="33"/>
  <c r="J19" i="33" s="1"/>
  <c r="G52" i="33"/>
  <c r="F52" i="33"/>
  <c r="D52" i="33"/>
  <c r="A18" i="33"/>
  <c r="J18" i="33" s="1"/>
  <c r="G51" i="33"/>
  <c r="F51" i="33"/>
  <c r="E51" i="33"/>
  <c r="D51" i="33"/>
  <c r="A17" i="33"/>
  <c r="J17" i="33" s="1"/>
  <c r="F50" i="33"/>
  <c r="E50" i="33"/>
  <c r="A16" i="33"/>
  <c r="J16" i="33" s="1"/>
  <c r="G49" i="33"/>
  <c r="F49" i="33"/>
  <c r="E49" i="33"/>
  <c r="D49" i="33"/>
  <c r="C8" i="32"/>
  <c r="E19" i="32"/>
  <c r="V15" i="32"/>
  <c r="U15" i="32"/>
  <c r="T15" i="32"/>
  <c r="S15" i="32"/>
  <c r="R15" i="32"/>
  <c r="A15" i="32"/>
  <c r="V14" i="32"/>
  <c r="U14" i="32"/>
  <c r="T14" i="32"/>
  <c r="S14" i="32"/>
  <c r="R14" i="32"/>
  <c r="A14" i="32"/>
  <c r="V13" i="32"/>
  <c r="U13" i="32"/>
  <c r="T13" i="32"/>
  <c r="S13" i="32"/>
  <c r="R13" i="32"/>
  <c r="A13" i="32"/>
  <c r="V12" i="32"/>
  <c r="U12" i="32"/>
  <c r="T12" i="32"/>
  <c r="R12" i="32"/>
  <c r="A12" i="32"/>
  <c r="V11" i="32"/>
  <c r="V8" i="32" s="1"/>
  <c r="V7" i="32" s="1"/>
  <c r="U11" i="32"/>
  <c r="T11" i="32"/>
  <c r="S11" i="32"/>
  <c r="A11" i="32"/>
  <c r="V9" i="32"/>
  <c r="U9" i="32"/>
  <c r="T9" i="32"/>
  <c r="S9" i="32"/>
  <c r="R9" i="32"/>
  <c r="E7" i="32"/>
  <c r="E6" i="32"/>
  <c r="E5" i="32"/>
  <c r="E4" i="32"/>
  <c r="E8" i="32" s="1"/>
  <c r="F6" i="32" s="1"/>
  <c r="E3" i="32"/>
  <c r="A15" i="31"/>
  <c r="A14" i="31"/>
  <c r="A13" i="31"/>
  <c r="A12" i="31"/>
  <c r="A11" i="31"/>
  <c r="D19" i="31"/>
  <c r="E19" i="31" s="1"/>
  <c r="V15" i="31"/>
  <c r="U15" i="31"/>
  <c r="T15" i="31"/>
  <c r="S15" i="31"/>
  <c r="R15" i="31"/>
  <c r="V14" i="31"/>
  <c r="U14" i="31"/>
  <c r="T14" i="31"/>
  <c r="S14" i="31"/>
  <c r="R14" i="31"/>
  <c r="V13" i="31"/>
  <c r="U13" i="31"/>
  <c r="T13" i="31"/>
  <c r="S13" i="31"/>
  <c r="R13" i="31"/>
  <c r="V12" i="31"/>
  <c r="U12" i="31"/>
  <c r="T12" i="31"/>
  <c r="S12" i="31"/>
  <c r="R12" i="31"/>
  <c r="V11" i="31"/>
  <c r="U11" i="31"/>
  <c r="T11" i="31"/>
  <c r="S11" i="31"/>
  <c r="R11" i="31"/>
  <c r="V9" i="31"/>
  <c r="U9" i="31"/>
  <c r="T9" i="31"/>
  <c r="S9" i="31"/>
  <c r="R9" i="31"/>
  <c r="E7" i="31"/>
  <c r="E6" i="31"/>
  <c r="E5" i="31"/>
  <c r="E4" i="31"/>
  <c r="E3" i="31"/>
  <c r="E7" i="30"/>
  <c r="E6" i="30"/>
  <c r="F6" i="30" s="1"/>
  <c r="E5" i="30"/>
  <c r="F5" i="30" s="1"/>
  <c r="E4" i="30"/>
  <c r="E8" i="30" s="1"/>
  <c r="E3" i="30"/>
  <c r="D19" i="30"/>
  <c r="E19" i="30" s="1"/>
  <c r="V15" i="30"/>
  <c r="U15" i="30"/>
  <c r="T15" i="30"/>
  <c r="S15" i="30"/>
  <c r="R15" i="30"/>
  <c r="V14" i="30"/>
  <c r="U14" i="30"/>
  <c r="T14" i="30"/>
  <c r="S14" i="30"/>
  <c r="R14" i="30"/>
  <c r="V13" i="30"/>
  <c r="U13" i="30"/>
  <c r="T13" i="30"/>
  <c r="S13" i="30"/>
  <c r="R13" i="30"/>
  <c r="V12" i="30"/>
  <c r="U12" i="30"/>
  <c r="T12" i="30"/>
  <c r="R12" i="30"/>
  <c r="V11" i="30"/>
  <c r="U11" i="30"/>
  <c r="T11" i="30"/>
  <c r="S11" i="30"/>
  <c r="R11" i="30"/>
  <c r="V9" i="30"/>
  <c r="U9" i="30"/>
  <c r="T9" i="30"/>
  <c r="S9" i="30"/>
  <c r="R9" i="30"/>
  <c r="A15" i="30"/>
  <c r="A14" i="30"/>
  <c r="A13" i="30"/>
  <c r="A12" i="30"/>
  <c r="A11" i="30"/>
  <c r="S23" i="34" l="1"/>
  <c r="V23" i="34"/>
  <c r="U23" i="34"/>
  <c r="R20" i="34"/>
  <c r="R23" i="34" s="1"/>
  <c r="R8" i="34"/>
  <c r="T23" i="34"/>
  <c r="D44" i="33"/>
  <c r="G31" i="33"/>
  <c r="G30" i="33" s="1"/>
  <c r="I30" i="33" s="1"/>
  <c r="I50" i="33"/>
  <c r="I24" i="33"/>
  <c r="I53" i="33"/>
  <c r="I27" i="33"/>
  <c r="I52" i="33"/>
  <c r="I26" i="33"/>
  <c r="I51" i="33"/>
  <c r="I25" i="33"/>
  <c r="K7" i="33"/>
  <c r="F58" i="33" s="1"/>
  <c r="K8" i="33"/>
  <c r="G58" i="33" s="1"/>
  <c r="K6" i="33"/>
  <c r="E58" i="33" s="1"/>
  <c r="K5" i="33"/>
  <c r="D58" i="33" s="1"/>
  <c r="C58" i="33"/>
  <c r="L4" i="33"/>
  <c r="C57" i="33"/>
  <c r="C56" i="33" s="1"/>
  <c r="G57" i="33"/>
  <c r="E10" i="33"/>
  <c r="F57" i="33"/>
  <c r="H57" i="33"/>
  <c r="H56" i="33" s="1"/>
  <c r="D57" i="33"/>
  <c r="E57" i="33"/>
  <c r="W8" i="35"/>
  <c r="W7" i="35" s="1"/>
  <c r="T8" i="35"/>
  <c r="T7" i="35" s="1"/>
  <c r="V8" i="35"/>
  <c r="V7" i="35" s="1"/>
  <c r="G6" i="30"/>
  <c r="H6" i="30" s="1"/>
  <c r="I6" i="30" s="1"/>
  <c r="J6" i="30" s="1"/>
  <c r="L6" i="30" s="1"/>
  <c r="M6" i="30" s="1"/>
  <c r="G5" i="30"/>
  <c r="H5" i="30" s="1"/>
  <c r="I5" i="30" s="1"/>
  <c r="J5" i="30" s="1"/>
  <c r="L5" i="30" s="1"/>
  <c r="M5" i="30" s="1"/>
  <c r="F4" i="30"/>
  <c r="G4" i="30" s="1"/>
  <c r="H4" i="30" s="1"/>
  <c r="I4" i="30" s="1"/>
  <c r="J4" i="30" s="1"/>
  <c r="L4" i="30" s="1"/>
  <c r="M4" i="30" s="1"/>
  <c r="F3" i="30"/>
  <c r="F7" i="30"/>
  <c r="G7" i="30" s="1"/>
  <c r="H7" i="30" s="1"/>
  <c r="I7" i="30" s="1"/>
  <c r="J7" i="30" s="1"/>
  <c r="L7" i="30" s="1"/>
  <c r="M7" i="30" s="1"/>
  <c r="F7" i="32"/>
  <c r="R8" i="32"/>
  <c r="R7" i="32" s="1"/>
  <c r="F4" i="35"/>
  <c r="G4" i="35" s="1"/>
  <c r="H4" i="35" s="1"/>
  <c r="I4" i="35" s="1"/>
  <c r="J4" i="35" s="1"/>
  <c r="L4" i="35" s="1"/>
  <c r="M4" i="35" s="1"/>
  <c r="F5" i="32"/>
  <c r="S8" i="32"/>
  <c r="S7" i="32" s="1"/>
  <c r="E8" i="34"/>
  <c r="F5" i="34" s="1"/>
  <c r="G5" i="34" s="1"/>
  <c r="H5" i="34" s="1"/>
  <c r="I5" i="34" s="1"/>
  <c r="J5" i="34" s="1"/>
  <c r="L5" i="34" s="1"/>
  <c r="M5" i="34" s="1"/>
  <c r="F7" i="34"/>
  <c r="G7" i="34" s="1"/>
  <c r="H7" i="34" s="1"/>
  <c r="I7" i="34" s="1"/>
  <c r="J7" i="34" s="1"/>
  <c r="L7" i="34" s="1"/>
  <c r="M7" i="34" s="1"/>
  <c r="E8" i="35"/>
  <c r="F5" i="35" s="1"/>
  <c r="G5" i="35" s="1"/>
  <c r="H5" i="35" s="1"/>
  <c r="I5" i="35" s="1"/>
  <c r="J5" i="35" s="1"/>
  <c r="L5" i="35" s="1"/>
  <c r="M5" i="35" s="1"/>
  <c r="U8" i="35"/>
  <c r="U7" i="35" s="1"/>
  <c r="E8" i="31"/>
  <c r="T8" i="32"/>
  <c r="T7" i="32" s="1"/>
  <c r="F6" i="35"/>
  <c r="G6" i="35" s="1"/>
  <c r="H6" i="35" s="1"/>
  <c r="I6" i="35" s="1"/>
  <c r="J6" i="35" s="1"/>
  <c r="L6" i="35" s="1"/>
  <c r="M6" i="35" s="1"/>
  <c r="R8" i="35"/>
  <c r="R7" i="35" s="1"/>
  <c r="F4" i="32"/>
  <c r="F3" i="32"/>
  <c r="U8" i="32"/>
  <c r="U7" i="32" s="1"/>
  <c r="F7" i="35"/>
  <c r="G7" i="35" s="1"/>
  <c r="H7" i="35" s="1"/>
  <c r="I7" i="35" s="1"/>
  <c r="J7" i="35" s="1"/>
  <c r="L7" i="35" s="1"/>
  <c r="M7" i="35" s="1"/>
  <c r="S8" i="35"/>
  <c r="S7" i="35" s="1"/>
  <c r="F5" i="36"/>
  <c r="G3" i="36"/>
  <c r="W8" i="34"/>
  <c r="W7" i="34" s="1"/>
  <c r="S8" i="34"/>
  <c r="S7" i="34" s="1"/>
  <c r="R7" i="34"/>
  <c r="T8" i="34"/>
  <c r="T7" i="34" s="1"/>
  <c r="U8" i="34"/>
  <c r="U7" i="34" s="1"/>
  <c r="V8" i="34"/>
  <c r="V7" i="34" s="1"/>
  <c r="G7" i="32"/>
  <c r="H7" i="32" s="1"/>
  <c r="I7" i="32" s="1"/>
  <c r="J7" i="32" s="1"/>
  <c r="L7" i="32" s="1"/>
  <c r="M7" i="32" s="1"/>
  <c r="G3" i="32"/>
  <c r="H3" i="32" s="1"/>
  <c r="I3" i="32" s="1"/>
  <c r="J3" i="32" s="1"/>
  <c r="L3" i="32" s="1"/>
  <c r="M3" i="32" s="1"/>
  <c r="M8" i="32" s="1"/>
  <c r="G4" i="32"/>
  <c r="H4" i="32" s="1"/>
  <c r="I4" i="32" s="1"/>
  <c r="J4" i="32" s="1"/>
  <c r="L4" i="32" s="1"/>
  <c r="M4" i="32" s="1"/>
  <c r="G5" i="32"/>
  <c r="H5" i="32" s="1"/>
  <c r="I5" i="32" s="1"/>
  <c r="J5" i="32" s="1"/>
  <c r="L5" i="32" s="1"/>
  <c r="M5" i="32" s="1"/>
  <c r="G6" i="32"/>
  <c r="H6" i="32" s="1"/>
  <c r="I6" i="32" s="1"/>
  <c r="J6" i="32" s="1"/>
  <c r="L6" i="32" s="1"/>
  <c r="M6" i="32" s="1"/>
  <c r="F8" i="32"/>
  <c r="V8" i="31"/>
  <c r="V7" i="31" s="1"/>
  <c r="T8" i="31"/>
  <c r="T7" i="31" s="1"/>
  <c r="R8" i="31"/>
  <c r="R7" i="31" s="1"/>
  <c r="U8" i="31"/>
  <c r="U7" i="31" s="1"/>
  <c r="S8" i="31"/>
  <c r="S7" i="31" s="1"/>
  <c r="F6" i="31"/>
  <c r="G6" i="31" s="1"/>
  <c r="H6" i="31" s="1"/>
  <c r="I6" i="31" s="1"/>
  <c r="J6" i="31" s="1"/>
  <c r="L6" i="31" s="1"/>
  <c r="M6" i="31" s="1"/>
  <c r="G5" i="31"/>
  <c r="H5" i="31" s="1"/>
  <c r="I5" i="31" s="1"/>
  <c r="J5" i="31" s="1"/>
  <c r="L5" i="31" s="1"/>
  <c r="M5" i="31" s="1"/>
  <c r="F4" i="31"/>
  <c r="G4" i="31" s="1"/>
  <c r="H4" i="31" s="1"/>
  <c r="I4" i="31" s="1"/>
  <c r="J4" i="31" s="1"/>
  <c r="L4" i="31" s="1"/>
  <c r="M4" i="31" s="1"/>
  <c r="F5" i="31"/>
  <c r="F7" i="31"/>
  <c r="G7" i="31" s="1"/>
  <c r="H7" i="31" s="1"/>
  <c r="I7" i="31" s="1"/>
  <c r="J7" i="31" s="1"/>
  <c r="L7" i="31" s="1"/>
  <c r="M7" i="31" s="1"/>
  <c r="F3" i="31"/>
  <c r="F8" i="31" s="1"/>
  <c r="U8" i="30"/>
  <c r="T8" i="30"/>
  <c r="R8" i="30"/>
  <c r="V8" i="30"/>
  <c r="V7" i="30" s="1"/>
  <c r="S8" i="30"/>
  <c r="U22" i="29"/>
  <c r="W22" i="29" s="1"/>
  <c r="U21" i="29"/>
  <c r="W21" i="29"/>
  <c r="AB18" i="29"/>
  <c r="AA18" i="29"/>
  <c r="Z18" i="29"/>
  <c r="Y18" i="29"/>
  <c r="X18" i="29"/>
  <c r="W18" i="29"/>
  <c r="V18" i="29"/>
  <c r="B18" i="29"/>
  <c r="AB17" i="29"/>
  <c r="AA17" i="29"/>
  <c r="Z17" i="29"/>
  <c r="Y17" i="29"/>
  <c r="X17" i="29"/>
  <c r="W17" i="29"/>
  <c r="V17" i="29"/>
  <c r="B17" i="29"/>
  <c r="AB16" i="29"/>
  <c r="AA16" i="29"/>
  <c r="Z16" i="29"/>
  <c r="Y16" i="29"/>
  <c r="X16" i="29"/>
  <c r="W16" i="29"/>
  <c r="V16" i="29"/>
  <c r="B16" i="29"/>
  <c r="AB15" i="29"/>
  <c r="AA15" i="29"/>
  <c r="Z15" i="29"/>
  <c r="Y15" i="29"/>
  <c r="X15" i="29"/>
  <c r="W15" i="29"/>
  <c r="V15" i="29"/>
  <c r="B15" i="29"/>
  <c r="AB14" i="29"/>
  <c r="AA14" i="29"/>
  <c r="Z14" i="29"/>
  <c r="Y14" i="29"/>
  <c r="X14" i="29"/>
  <c r="W14" i="29"/>
  <c r="V14" i="29"/>
  <c r="B14" i="29"/>
  <c r="AB13" i="29"/>
  <c r="AA13" i="29"/>
  <c r="Z13" i="29"/>
  <c r="Y13" i="29"/>
  <c r="X13" i="29"/>
  <c r="W13" i="29"/>
  <c r="V13" i="29"/>
  <c r="B13" i="29"/>
  <c r="AB12" i="29"/>
  <c r="AA12" i="29"/>
  <c r="Z12" i="29"/>
  <c r="Z9" i="29" s="1"/>
  <c r="Y12" i="29"/>
  <c r="Y9" i="29" s="1"/>
  <c r="X12" i="29"/>
  <c r="W12" i="29"/>
  <c r="V12" i="29"/>
  <c r="V9" i="29" s="1"/>
  <c r="B12" i="29"/>
  <c r="E10" i="29"/>
  <c r="B23" i="29" s="1"/>
  <c r="AB9" i="29"/>
  <c r="AA9" i="29"/>
  <c r="S9" i="29"/>
  <c r="AB10" i="29" s="1"/>
  <c r="G9" i="29"/>
  <c r="S8" i="29"/>
  <c r="AA10" i="29" s="1"/>
  <c r="G8" i="29"/>
  <c r="S7" i="29"/>
  <c r="Z10" i="29" s="1"/>
  <c r="G7" i="29"/>
  <c r="S6" i="29"/>
  <c r="Y10" i="29" s="1"/>
  <c r="G6" i="29"/>
  <c r="S5" i="29"/>
  <c r="X10" i="29" s="1"/>
  <c r="G5" i="29"/>
  <c r="S4" i="29"/>
  <c r="W10" i="29" s="1"/>
  <c r="G4" i="29"/>
  <c r="S3" i="29"/>
  <c r="V10" i="29" s="1"/>
  <c r="G3" i="29"/>
  <c r="F3" i="34" l="1"/>
  <c r="F4" i="34"/>
  <c r="G4" i="34" s="1"/>
  <c r="H4" i="34" s="1"/>
  <c r="I4" i="34" s="1"/>
  <c r="J4" i="34" s="1"/>
  <c r="L4" i="34" s="1"/>
  <c r="M4" i="34" s="1"/>
  <c r="D43" i="33"/>
  <c r="I43" i="33" s="1"/>
  <c r="I44" i="33"/>
  <c r="I31" i="33"/>
  <c r="L7" i="33"/>
  <c r="L5" i="33"/>
  <c r="I28" i="33"/>
  <c r="I58" i="33"/>
  <c r="I54" i="33"/>
  <c r="G66" i="33" s="1"/>
  <c r="H66" i="33" s="1"/>
  <c r="H67" i="33" s="1"/>
  <c r="K10" i="33"/>
  <c r="L6" i="33"/>
  <c r="F4" i="33"/>
  <c r="G4" i="33" s="1"/>
  <c r="H4" i="33" s="1"/>
  <c r="I4" i="33" s="1"/>
  <c r="J4" i="33" s="1"/>
  <c r="U15" i="33"/>
  <c r="L8" i="33"/>
  <c r="I57" i="33"/>
  <c r="E56" i="33"/>
  <c r="G56" i="33"/>
  <c r="F8" i="33"/>
  <c r="G8" i="33" s="1"/>
  <c r="H8" i="33" s="1"/>
  <c r="I8" i="33" s="1"/>
  <c r="J8" i="33" s="1"/>
  <c r="F7" i="33"/>
  <c r="G7" i="33" s="1"/>
  <c r="H7" i="33" s="1"/>
  <c r="I7" i="33" s="1"/>
  <c r="J7" i="33" s="1"/>
  <c r="F56" i="33"/>
  <c r="D56" i="33"/>
  <c r="I56" i="33" s="1"/>
  <c r="F6" i="33"/>
  <c r="G6" i="33" s="1"/>
  <c r="F5" i="33"/>
  <c r="G5" i="33" s="1"/>
  <c r="H5" i="33" s="1"/>
  <c r="I5" i="33" s="1"/>
  <c r="J5" i="33" s="1"/>
  <c r="F6" i="34"/>
  <c r="G6" i="34" s="1"/>
  <c r="H6" i="34" s="1"/>
  <c r="I6" i="34" s="1"/>
  <c r="J6" i="34" s="1"/>
  <c r="L6" i="34" s="1"/>
  <c r="M6" i="34" s="1"/>
  <c r="F8" i="30"/>
  <c r="F3" i="35"/>
  <c r="G3" i="30"/>
  <c r="H3" i="30" s="1"/>
  <c r="I3" i="30" s="1"/>
  <c r="J3" i="30" s="1"/>
  <c r="L3" i="30" s="1"/>
  <c r="M3" i="30" s="1"/>
  <c r="M8" i="30" s="1"/>
  <c r="H3" i="36"/>
  <c r="I3" i="36" s="1"/>
  <c r="J3" i="36" s="1"/>
  <c r="K3" i="36" s="1"/>
  <c r="K5" i="36" s="1"/>
  <c r="G5" i="36"/>
  <c r="G3" i="34"/>
  <c r="H3" i="34" s="1"/>
  <c r="I3" i="34" s="1"/>
  <c r="J3" i="34" s="1"/>
  <c r="L3" i="34" s="1"/>
  <c r="M3" i="34" s="1"/>
  <c r="M8" i="34" s="1"/>
  <c r="F9" i="33"/>
  <c r="G9" i="33" s="1"/>
  <c r="G3" i="31"/>
  <c r="H3" i="31" s="1"/>
  <c r="I3" i="31" s="1"/>
  <c r="J3" i="31" s="1"/>
  <c r="L3" i="31" s="1"/>
  <c r="M3" i="31" s="1"/>
  <c r="M8" i="31" s="1"/>
  <c r="W23" i="29"/>
  <c r="X9" i="29"/>
  <c r="W9" i="29"/>
  <c r="G10" i="29"/>
  <c r="M6" i="28"/>
  <c r="B23" i="28"/>
  <c r="U22" i="28"/>
  <c r="U21" i="28"/>
  <c r="W21" i="28" s="1"/>
  <c r="I5" i="28"/>
  <c r="I4" i="28"/>
  <c r="I3" i="28"/>
  <c r="Q5" i="28"/>
  <c r="Q4" i="28"/>
  <c r="Q3" i="28"/>
  <c r="B12" i="28"/>
  <c r="B13" i="28"/>
  <c r="B14" i="28"/>
  <c r="AB18" i="28"/>
  <c r="AA18" i="28"/>
  <c r="Z18" i="28"/>
  <c r="Y18" i="28"/>
  <c r="X18" i="28"/>
  <c r="W18" i="28"/>
  <c r="V18" i="28"/>
  <c r="B18" i="28"/>
  <c r="AB17" i="28"/>
  <c r="AA17" i="28"/>
  <c r="Z17" i="28"/>
  <c r="Y17" i="28"/>
  <c r="X17" i="28"/>
  <c r="W17" i="28"/>
  <c r="V17" i="28"/>
  <c r="B17" i="28"/>
  <c r="AB16" i="28"/>
  <c r="AA16" i="28"/>
  <c r="Z16" i="28"/>
  <c r="Y16" i="28"/>
  <c r="X16" i="28"/>
  <c r="W16" i="28"/>
  <c r="V16" i="28"/>
  <c r="B16" i="28"/>
  <c r="AB15" i="28"/>
  <c r="AA15" i="28"/>
  <c r="Z15" i="28"/>
  <c r="Y15" i="28"/>
  <c r="X15" i="28"/>
  <c r="W15" i="28"/>
  <c r="V15" i="28"/>
  <c r="B15" i="28"/>
  <c r="AB14" i="28"/>
  <c r="AA14" i="28"/>
  <c r="Z14" i="28"/>
  <c r="Y14" i="28"/>
  <c r="X14" i="28"/>
  <c r="W14" i="28"/>
  <c r="V14" i="28"/>
  <c r="AB13" i="28"/>
  <c r="AA13" i="28"/>
  <c r="Z13" i="28"/>
  <c r="Y13" i="28"/>
  <c r="X13" i="28"/>
  <c r="W13" i="28"/>
  <c r="V13" i="28"/>
  <c r="AB12" i="28"/>
  <c r="AA12" i="28"/>
  <c r="Z12" i="28"/>
  <c r="Y12" i="28"/>
  <c r="X12" i="28"/>
  <c r="W12" i="28"/>
  <c r="V12" i="28"/>
  <c r="V10" i="28"/>
  <c r="S9" i="28"/>
  <c r="AB10" i="28" s="1"/>
  <c r="S8" i="28"/>
  <c r="AA10" i="28" s="1"/>
  <c r="S7" i="28"/>
  <c r="Z10" i="28" s="1"/>
  <c r="S6" i="28"/>
  <c r="Y10" i="28" s="1"/>
  <c r="S5" i="28"/>
  <c r="X10" i="28" s="1"/>
  <c r="S4" i="28"/>
  <c r="W10" i="28" s="1"/>
  <c r="S3" i="28"/>
  <c r="L10" i="33" l="1"/>
  <c r="H6" i="33"/>
  <c r="I6" i="33" s="1"/>
  <c r="J6" i="33" s="1"/>
  <c r="G10" i="33"/>
  <c r="F10" i="33"/>
  <c r="F8" i="35"/>
  <c r="G3" i="35"/>
  <c r="H3" i="35" s="1"/>
  <c r="I3" i="35" s="1"/>
  <c r="J3" i="35" s="1"/>
  <c r="L3" i="35" s="1"/>
  <c r="M3" i="35" s="1"/>
  <c r="M8" i="35" s="1"/>
  <c r="F8" i="34"/>
  <c r="L5" i="36"/>
  <c r="M5" i="36" s="1"/>
  <c r="C23" i="29"/>
  <c r="D23" i="29" s="1"/>
  <c r="W22" i="28"/>
  <c r="W23" i="28" s="1"/>
  <c r="I6" i="28"/>
  <c r="J4" i="28" s="1"/>
  <c r="Y9" i="28"/>
  <c r="AA9" i="28"/>
  <c r="X9" i="28"/>
  <c r="V9" i="28"/>
  <c r="W9" i="28"/>
  <c r="AB9" i="28"/>
  <c r="Z9" i="28"/>
  <c r="P8" i="19"/>
  <c r="P7" i="19"/>
  <c r="P6" i="19"/>
  <c r="P5" i="19"/>
  <c r="P4" i="19"/>
  <c r="P3" i="19"/>
  <c r="D8" i="19"/>
  <c r="L8" i="19" s="1"/>
  <c r="M8" i="19" s="1"/>
  <c r="H10" i="33" l="1"/>
  <c r="K5" i="28"/>
  <c r="K4" i="28"/>
  <c r="L4" i="28"/>
  <c r="M4" i="28" s="1"/>
  <c r="N4" i="28" s="1"/>
  <c r="F4" i="28" s="1"/>
  <c r="G4" i="28" s="1"/>
  <c r="J3" i="28"/>
  <c r="K3" i="28" s="1"/>
  <c r="J5" i="28"/>
  <c r="I10" i="33" l="1"/>
  <c r="J10" i="33"/>
  <c r="L5" i="28"/>
  <c r="M5" i="28" s="1"/>
  <c r="N5" i="28" s="1"/>
  <c r="F5" i="28" s="1"/>
  <c r="G5" i="28" s="1"/>
  <c r="J6" i="28"/>
  <c r="K6" i="28"/>
  <c r="O6" i="28" s="1"/>
  <c r="P6" i="28" s="1"/>
  <c r="L3" i="28"/>
  <c r="M3" i="28" s="1"/>
  <c r="N3" i="28" s="1"/>
  <c r="F3" i="28" s="1"/>
  <c r="G3" i="28" s="1"/>
  <c r="G10" i="28" s="1"/>
  <c r="C23" i="28" s="1"/>
  <c r="D23" i="28" s="1"/>
  <c r="L8" i="16"/>
  <c r="O3" i="16"/>
  <c r="O4" i="16"/>
  <c r="O5" i="16"/>
  <c r="O6" i="16"/>
  <c r="O8" i="16" s="1"/>
  <c r="O7" i="16"/>
  <c r="D8" i="16"/>
  <c r="U22" i="27" l="1"/>
  <c r="W22" i="27" s="1"/>
  <c r="U21" i="27"/>
  <c r="W21" i="27" s="1"/>
  <c r="W23" i="27" s="1"/>
  <c r="B12" i="27"/>
  <c r="AB18" i="27"/>
  <c r="AA18" i="27"/>
  <c r="Z18" i="27"/>
  <c r="Y18" i="27"/>
  <c r="X18" i="27"/>
  <c r="W18" i="27"/>
  <c r="AB17" i="27"/>
  <c r="AA17" i="27"/>
  <c r="Z17" i="27"/>
  <c r="Y17" i="27"/>
  <c r="X17" i="27"/>
  <c r="W17" i="27"/>
  <c r="V18" i="27"/>
  <c r="V17" i="27"/>
  <c r="S6" i="27"/>
  <c r="Y10" i="27" s="1"/>
  <c r="S5" i="27"/>
  <c r="X10" i="27" s="1"/>
  <c r="Y16" i="27"/>
  <c r="X16" i="27"/>
  <c r="Y15" i="27"/>
  <c r="X15" i="27"/>
  <c r="Y14" i="27"/>
  <c r="X14" i="27"/>
  <c r="Y13" i="27"/>
  <c r="X13" i="27"/>
  <c r="Y12" i="27"/>
  <c r="X12" i="27"/>
  <c r="B18" i="27"/>
  <c r="B17" i="27"/>
  <c r="G6" i="27"/>
  <c r="G5" i="27"/>
  <c r="G8" i="27"/>
  <c r="G7" i="27"/>
  <c r="G4" i="27"/>
  <c r="AB16" i="27"/>
  <c r="AA16" i="27"/>
  <c r="Z16" i="27"/>
  <c r="W16" i="27"/>
  <c r="V16" i="27"/>
  <c r="B16" i="27"/>
  <c r="AB15" i="27"/>
  <c r="AA15" i="27"/>
  <c r="Z15" i="27"/>
  <c r="W15" i="27"/>
  <c r="V15" i="27"/>
  <c r="B15" i="27"/>
  <c r="AB14" i="27"/>
  <c r="AA14" i="27"/>
  <c r="Z14" i="27"/>
  <c r="W14" i="27"/>
  <c r="V14" i="27"/>
  <c r="B14" i="27"/>
  <c r="AB13" i="27"/>
  <c r="AA13" i="27"/>
  <c r="Z13" i="27"/>
  <c r="W13" i="27"/>
  <c r="V13" i="27"/>
  <c r="B13" i="27"/>
  <c r="AB12" i="27"/>
  <c r="AA12" i="27"/>
  <c r="Z12" i="27"/>
  <c r="W12" i="27"/>
  <c r="V12" i="27"/>
  <c r="E10" i="27"/>
  <c r="B23" i="27" s="1"/>
  <c r="S9" i="27"/>
  <c r="AB10" i="27" s="1"/>
  <c r="G9" i="27"/>
  <c r="S8" i="27"/>
  <c r="AA10" i="27" s="1"/>
  <c r="S7" i="27"/>
  <c r="Z10" i="27" s="1"/>
  <c r="S4" i="27"/>
  <c r="W10" i="27" s="1"/>
  <c r="S3" i="27"/>
  <c r="V10" i="27" s="1"/>
  <c r="G3" i="27"/>
  <c r="Z9" i="27" l="1"/>
  <c r="AA9" i="27"/>
  <c r="W9" i="27"/>
  <c r="AB9" i="27"/>
  <c r="X9" i="27"/>
  <c r="Y9" i="27"/>
  <c r="V9" i="27"/>
  <c r="G10" i="27"/>
  <c r="C23" i="27" s="1"/>
  <c r="D23" i="27" l="1"/>
  <c r="Y19" i="26"/>
  <c r="X19" i="26"/>
  <c r="W19" i="26"/>
  <c r="V19" i="26"/>
  <c r="U19" i="26"/>
  <c r="B19" i="26"/>
  <c r="Y18" i="26"/>
  <c r="X18" i="26"/>
  <c r="W18" i="26"/>
  <c r="V18" i="26"/>
  <c r="U18" i="26"/>
  <c r="B18" i="26"/>
  <c r="Y17" i="26"/>
  <c r="X17" i="26"/>
  <c r="W17" i="26"/>
  <c r="V17" i="26"/>
  <c r="U17" i="26"/>
  <c r="B17" i="26"/>
  <c r="Y16" i="26"/>
  <c r="X16" i="26"/>
  <c r="W16" i="26"/>
  <c r="V16" i="26"/>
  <c r="U16" i="26"/>
  <c r="B16" i="26"/>
  <c r="Y15" i="26"/>
  <c r="X15" i="26"/>
  <c r="W15" i="26"/>
  <c r="V15" i="26"/>
  <c r="U12" i="26"/>
  <c r="B15" i="26"/>
  <c r="U13" i="26"/>
  <c r="X12" i="26"/>
  <c r="F11" i="26"/>
  <c r="D8" i="26"/>
  <c r="H7" i="26"/>
  <c r="G7" i="26"/>
  <c r="Y13" i="26" s="1"/>
  <c r="E7" i="26"/>
  <c r="H6" i="26"/>
  <c r="G6" i="26"/>
  <c r="X13" i="26" s="1"/>
  <c r="E6" i="26"/>
  <c r="H5" i="26"/>
  <c r="G5" i="26"/>
  <c r="W13" i="26" s="1"/>
  <c r="E5" i="26"/>
  <c r="H4" i="26"/>
  <c r="G4" i="26"/>
  <c r="V13" i="26" s="1"/>
  <c r="E4" i="26"/>
  <c r="H3" i="26"/>
  <c r="H8" i="26" s="1"/>
  <c r="G3" i="26"/>
  <c r="E3" i="26"/>
  <c r="X13" i="25"/>
  <c r="H7" i="25"/>
  <c r="G7" i="25"/>
  <c r="Y13" i="25" s="1"/>
  <c r="E7" i="25"/>
  <c r="H6" i="25"/>
  <c r="G6" i="25"/>
  <c r="E6" i="25"/>
  <c r="I7" i="26" l="1"/>
  <c r="I6" i="26"/>
  <c r="J6" i="26" s="1"/>
  <c r="K6" i="26" s="1"/>
  <c r="L6" i="26" s="1"/>
  <c r="M6" i="26" s="1"/>
  <c r="Y12" i="26"/>
  <c r="I5" i="26"/>
  <c r="J5" i="26" s="1"/>
  <c r="K5" i="26" s="1"/>
  <c r="L5" i="26" s="1"/>
  <c r="M5" i="26" s="1"/>
  <c r="V12" i="26"/>
  <c r="I3" i="26"/>
  <c r="I4" i="26"/>
  <c r="J4" i="26" s="1"/>
  <c r="K4" i="26" s="1"/>
  <c r="L4" i="26" s="1"/>
  <c r="M4" i="26" s="1"/>
  <c r="W12" i="26"/>
  <c r="J7" i="26"/>
  <c r="K7" i="26" s="1"/>
  <c r="L7" i="26" s="1"/>
  <c r="M7" i="26" s="1"/>
  <c r="J3" i="26"/>
  <c r="K10" i="26"/>
  <c r="L10" i="26" s="1"/>
  <c r="M10" i="26" s="1"/>
  <c r="D8" i="25"/>
  <c r="S20" i="25"/>
  <c r="E11" i="25" s="1"/>
  <c r="F11" i="25" s="1"/>
  <c r="Y19" i="25"/>
  <c r="X19" i="25"/>
  <c r="W19" i="25"/>
  <c r="V19" i="25"/>
  <c r="U19" i="25"/>
  <c r="B19" i="25"/>
  <c r="Y18" i="25"/>
  <c r="X18" i="25"/>
  <c r="W18" i="25"/>
  <c r="V18" i="25"/>
  <c r="U18" i="25"/>
  <c r="B18" i="25"/>
  <c r="Y17" i="25"/>
  <c r="X17" i="25"/>
  <c r="W17" i="25"/>
  <c r="V17" i="25"/>
  <c r="U17" i="25"/>
  <c r="B17" i="25"/>
  <c r="Y16" i="25"/>
  <c r="X16" i="25"/>
  <c r="W16" i="25"/>
  <c r="V16" i="25"/>
  <c r="U16" i="25"/>
  <c r="B16" i="25"/>
  <c r="Y15" i="25"/>
  <c r="X15" i="25"/>
  <c r="W15" i="25"/>
  <c r="V15" i="25"/>
  <c r="U15" i="25"/>
  <c r="B15" i="25"/>
  <c r="H5" i="25"/>
  <c r="G5" i="25"/>
  <c r="W13" i="25" s="1"/>
  <c r="E5" i="25"/>
  <c r="H4" i="25"/>
  <c r="G4" i="25"/>
  <c r="V13" i="25" s="1"/>
  <c r="E4" i="25"/>
  <c r="H3" i="25"/>
  <c r="G3" i="25"/>
  <c r="U13" i="25" s="1"/>
  <c r="E3" i="25"/>
  <c r="D8" i="24"/>
  <c r="K10" i="24" s="1"/>
  <c r="L10" i="24" s="1"/>
  <c r="M10" i="24" s="1"/>
  <c r="H7" i="24"/>
  <c r="G7" i="24"/>
  <c r="Y13" i="24" s="1"/>
  <c r="E7" i="24"/>
  <c r="H6" i="24"/>
  <c r="G6" i="24"/>
  <c r="E6" i="24"/>
  <c r="S20" i="24"/>
  <c r="E11" i="24" s="1"/>
  <c r="F11" i="24" s="1"/>
  <c r="Y19" i="24"/>
  <c r="X19" i="24"/>
  <c r="W19" i="24"/>
  <c r="V19" i="24"/>
  <c r="U19" i="24"/>
  <c r="B19" i="24"/>
  <c r="Y18" i="24"/>
  <c r="X18" i="24"/>
  <c r="W18" i="24"/>
  <c r="V18" i="24"/>
  <c r="U18" i="24"/>
  <c r="B18" i="24"/>
  <c r="Y17" i="24"/>
  <c r="X17" i="24"/>
  <c r="W17" i="24"/>
  <c r="V17" i="24"/>
  <c r="U17" i="24"/>
  <c r="B17" i="24"/>
  <c r="Y16" i="24"/>
  <c r="X16" i="24"/>
  <c r="W16" i="24"/>
  <c r="V16" i="24"/>
  <c r="U16" i="24"/>
  <c r="B16" i="24"/>
  <c r="Y15" i="24"/>
  <c r="X15" i="24"/>
  <c r="W15" i="24"/>
  <c r="V15" i="24"/>
  <c r="U15" i="24"/>
  <c r="B15" i="24"/>
  <c r="X13" i="24"/>
  <c r="H5" i="24"/>
  <c r="G5" i="24"/>
  <c r="W13" i="24" s="1"/>
  <c r="E5" i="24"/>
  <c r="H4" i="24"/>
  <c r="G4" i="24"/>
  <c r="V13" i="24" s="1"/>
  <c r="E4" i="24"/>
  <c r="H3" i="24"/>
  <c r="H8" i="24" s="1"/>
  <c r="G3" i="24"/>
  <c r="U13" i="24" s="1"/>
  <c r="E3" i="24"/>
  <c r="S20" i="23"/>
  <c r="E11" i="23" s="1"/>
  <c r="F11" i="23" s="1"/>
  <c r="Y19" i="23"/>
  <c r="X19" i="23"/>
  <c r="W19" i="23"/>
  <c r="V19" i="23"/>
  <c r="U19" i="23"/>
  <c r="B19" i="23"/>
  <c r="Y18" i="23"/>
  <c r="X18" i="23"/>
  <c r="W18" i="23"/>
  <c r="V18" i="23"/>
  <c r="U18" i="23"/>
  <c r="B18" i="23"/>
  <c r="Y17" i="23"/>
  <c r="X17" i="23"/>
  <c r="W17" i="23"/>
  <c r="V17" i="23"/>
  <c r="U17" i="23"/>
  <c r="B17" i="23"/>
  <c r="Y16" i="23"/>
  <c r="X16" i="23"/>
  <c r="W16" i="23"/>
  <c r="V16" i="23"/>
  <c r="U16" i="23"/>
  <c r="B16" i="23"/>
  <c r="Y15" i="23"/>
  <c r="Y12" i="23" s="1"/>
  <c r="X15" i="23"/>
  <c r="X12" i="23" s="1"/>
  <c r="W15" i="23"/>
  <c r="V15" i="23"/>
  <c r="U15" i="23"/>
  <c r="U12" i="23" s="1"/>
  <c r="B15" i="23"/>
  <c r="X13" i="23"/>
  <c r="V13" i="23"/>
  <c r="U13" i="23"/>
  <c r="H5" i="23"/>
  <c r="G5" i="23"/>
  <c r="W13" i="23" s="1"/>
  <c r="E5" i="23"/>
  <c r="H4" i="23"/>
  <c r="G4" i="23"/>
  <c r="E4" i="23"/>
  <c r="H3" i="23"/>
  <c r="H8" i="23" s="1"/>
  <c r="G3" i="23"/>
  <c r="E3" i="23"/>
  <c r="S20" i="22"/>
  <c r="E11" i="22" s="1"/>
  <c r="F11" i="22" s="1"/>
  <c r="Y19" i="22"/>
  <c r="X19" i="22"/>
  <c r="W19" i="22"/>
  <c r="V19" i="22"/>
  <c r="U19" i="22"/>
  <c r="B19" i="22"/>
  <c r="Y18" i="22"/>
  <c r="X18" i="22"/>
  <c r="W18" i="22"/>
  <c r="V18" i="22"/>
  <c r="U18" i="22"/>
  <c r="B18" i="22"/>
  <c r="Y17" i="22"/>
  <c r="X17" i="22"/>
  <c r="W17" i="22"/>
  <c r="V17" i="22"/>
  <c r="U17" i="22"/>
  <c r="B17" i="22"/>
  <c r="Y16" i="22"/>
  <c r="X16" i="22"/>
  <c r="W16" i="22"/>
  <c r="V16" i="22"/>
  <c r="U16" i="22"/>
  <c r="B16" i="22"/>
  <c r="Y15" i="22"/>
  <c r="X15" i="22"/>
  <c r="W15" i="22"/>
  <c r="V15" i="22"/>
  <c r="U15" i="22"/>
  <c r="B15" i="22"/>
  <c r="X13" i="22"/>
  <c r="W13" i="22"/>
  <c r="H4" i="22"/>
  <c r="G4" i="22"/>
  <c r="V13" i="22" s="1"/>
  <c r="E4" i="22"/>
  <c r="H3" i="22"/>
  <c r="G3" i="22"/>
  <c r="U13" i="22" s="1"/>
  <c r="E3" i="22"/>
  <c r="S20" i="21"/>
  <c r="E11" i="21" s="1"/>
  <c r="F11" i="21" s="1"/>
  <c r="Y19" i="21"/>
  <c r="X19" i="21"/>
  <c r="W19" i="21"/>
  <c r="V19" i="21"/>
  <c r="U19" i="21"/>
  <c r="B19" i="21"/>
  <c r="Y18" i="21"/>
  <c r="X18" i="21"/>
  <c r="W18" i="21"/>
  <c r="V18" i="21"/>
  <c r="U18" i="21"/>
  <c r="B18" i="21"/>
  <c r="Y17" i="21"/>
  <c r="X17" i="21"/>
  <c r="W17" i="21"/>
  <c r="V17" i="21"/>
  <c r="U17" i="21"/>
  <c r="B17" i="21"/>
  <c r="Y16" i="21"/>
  <c r="X16" i="21"/>
  <c r="W16" i="21"/>
  <c r="V16" i="21"/>
  <c r="U16" i="21"/>
  <c r="B16" i="21"/>
  <c r="Y15" i="21"/>
  <c r="X15" i="21"/>
  <c r="W15" i="21"/>
  <c r="V15" i="21"/>
  <c r="U15" i="21"/>
  <c r="B15" i="21"/>
  <c r="X13" i="21"/>
  <c r="H5" i="21"/>
  <c r="G5" i="21"/>
  <c r="W13" i="21" s="1"/>
  <c r="E5" i="21"/>
  <c r="V13" i="21"/>
  <c r="U13" i="21"/>
  <c r="I8" i="26" l="1"/>
  <c r="V12" i="23"/>
  <c r="H8" i="25"/>
  <c r="I6" i="25" s="1"/>
  <c r="J6" i="25" s="1"/>
  <c r="K6" i="25" s="1"/>
  <c r="L6" i="25" s="1"/>
  <c r="M6" i="25" s="1"/>
  <c r="W12" i="23"/>
  <c r="K10" i="25"/>
  <c r="L10" i="25" s="1"/>
  <c r="M10" i="25" s="1"/>
  <c r="W12" i="22"/>
  <c r="J8" i="26"/>
  <c r="K3" i="26"/>
  <c r="L3" i="26" s="1"/>
  <c r="M3" i="26" s="1"/>
  <c r="X12" i="25"/>
  <c r="V12" i="25"/>
  <c r="U12" i="25"/>
  <c r="Y12" i="25"/>
  <c r="W12" i="25"/>
  <c r="I7" i="25"/>
  <c r="J7" i="25" s="1"/>
  <c r="K7" i="25" s="1"/>
  <c r="L7" i="25" s="1"/>
  <c r="M7" i="25" s="1"/>
  <c r="I4" i="25"/>
  <c r="J4" i="25" s="1"/>
  <c r="K4" i="25" s="1"/>
  <c r="L4" i="25" s="1"/>
  <c r="M4" i="25" s="1"/>
  <c r="V12" i="24"/>
  <c r="Y12" i="24"/>
  <c r="W12" i="24"/>
  <c r="U12" i="24"/>
  <c r="X12" i="24"/>
  <c r="I7" i="24"/>
  <c r="J7" i="24" s="1"/>
  <c r="K7" i="24" s="1"/>
  <c r="L7" i="24" s="1"/>
  <c r="M7" i="24" s="1"/>
  <c r="I4" i="23"/>
  <c r="J4" i="23" s="1"/>
  <c r="K4" i="23" s="1"/>
  <c r="L4" i="23" s="1"/>
  <c r="I5" i="23"/>
  <c r="J5" i="23" s="1"/>
  <c r="K5" i="23" s="1"/>
  <c r="L5" i="23" s="1"/>
  <c r="I3" i="23"/>
  <c r="V12" i="22"/>
  <c r="U12" i="22"/>
  <c r="Y12" i="22"/>
  <c r="X12" i="22"/>
  <c r="H8" i="22"/>
  <c r="I4" i="22" s="1"/>
  <c r="J4" i="22" s="1"/>
  <c r="K4" i="22" s="1"/>
  <c r="L4" i="22" s="1"/>
  <c r="W12" i="21"/>
  <c r="X12" i="21"/>
  <c r="Y12" i="21"/>
  <c r="V12" i="21"/>
  <c r="U12" i="21"/>
  <c r="H8" i="21"/>
  <c r="I5" i="21" s="1"/>
  <c r="J5" i="21" s="1"/>
  <c r="K5" i="21" s="1"/>
  <c r="L5" i="21" s="1"/>
  <c r="M5" i="23" l="1"/>
  <c r="N5" i="23"/>
  <c r="M4" i="23"/>
  <c r="N4" i="23"/>
  <c r="I3" i="25"/>
  <c r="I8" i="23"/>
  <c r="I5" i="25"/>
  <c r="J5" i="25" s="1"/>
  <c r="K5" i="25" s="1"/>
  <c r="L5" i="25" s="1"/>
  <c r="M5" i="25" s="1"/>
  <c r="M5" i="21"/>
  <c r="N5" i="21"/>
  <c r="M4" i="22"/>
  <c r="N4" i="22"/>
  <c r="I8" i="25"/>
  <c r="J3" i="25"/>
  <c r="K3" i="25" s="1"/>
  <c r="L3" i="25" s="1"/>
  <c r="M3" i="25" s="1"/>
  <c r="I5" i="24"/>
  <c r="J5" i="24" s="1"/>
  <c r="K5" i="24" s="1"/>
  <c r="L5" i="24" s="1"/>
  <c r="M5" i="24" s="1"/>
  <c r="I6" i="24"/>
  <c r="J6" i="24" s="1"/>
  <c r="K6" i="24" s="1"/>
  <c r="L6" i="24" s="1"/>
  <c r="M6" i="24" s="1"/>
  <c r="I3" i="24"/>
  <c r="I8" i="24" s="1"/>
  <c r="I4" i="24"/>
  <c r="J4" i="24" s="1"/>
  <c r="K4" i="24" s="1"/>
  <c r="L4" i="24" s="1"/>
  <c r="M4" i="24" s="1"/>
  <c r="J3" i="23"/>
  <c r="I3" i="22"/>
  <c r="J3" i="22" s="1"/>
  <c r="K3" i="22" s="1"/>
  <c r="L3" i="22" s="1"/>
  <c r="S20" i="20"/>
  <c r="E11" i="20" s="1"/>
  <c r="F11" i="20" s="1"/>
  <c r="Y19" i="20"/>
  <c r="X19" i="20"/>
  <c r="W19" i="20"/>
  <c r="V19" i="20"/>
  <c r="U19" i="20"/>
  <c r="B19" i="20"/>
  <c r="Y18" i="20"/>
  <c r="X18" i="20"/>
  <c r="W18" i="20"/>
  <c r="V18" i="20"/>
  <c r="U18" i="20"/>
  <c r="B18" i="20"/>
  <c r="Y17" i="20"/>
  <c r="X17" i="20"/>
  <c r="W17" i="20"/>
  <c r="V17" i="20"/>
  <c r="U17" i="20"/>
  <c r="B17" i="20"/>
  <c r="Y16" i="20"/>
  <c r="X16" i="20"/>
  <c r="W16" i="20"/>
  <c r="V16" i="20"/>
  <c r="U16" i="20"/>
  <c r="B16" i="20"/>
  <c r="Y15" i="20"/>
  <c r="X15" i="20"/>
  <c r="W15" i="20"/>
  <c r="V15" i="20"/>
  <c r="U15" i="20"/>
  <c r="B15" i="20"/>
  <c r="H6" i="20"/>
  <c r="G6" i="20"/>
  <c r="X13" i="20" s="1"/>
  <c r="E6" i="20"/>
  <c r="H5" i="20"/>
  <c r="G5" i="20"/>
  <c r="W13" i="20" s="1"/>
  <c r="E5" i="20"/>
  <c r="H4" i="20"/>
  <c r="G4" i="20"/>
  <c r="V13" i="20" s="1"/>
  <c r="E4" i="20"/>
  <c r="H3" i="20"/>
  <c r="G3" i="20"/>
  <c r="U13" i="20" s="1"/>
  <c r="E3" i="20"/>
  <c r="M3" i="22" l="1"/>
  <c r="N3" i="22"/>
  <c r="J8" i="25"/>
  <c r="J3" i="24"/>
  <c r="K3" i="23"/>
  <c r="L3" i="23" s="1"/>
  <c r="J8" i="23"/>
  <c r="J8" i="22"/>
  <c r="I8" i="22"/>
  <c r="I8" i="21"/>
  <c r="U12" i="20"/>
  <c r="W12" i="20"/>
  <c r="X12" i="20"/>
  <c r="Y12" i="20"/>
  <c r="V12" i="20"/>
  <c r="H8" i="20"/>
  <c r="I4" i="20" s="1"/>
  <c r="J4" i="20" s="1"/>
  <c r="K4" i="20" s="1"/>
  <c r="L4" i="20" s="1"/>
  <c r="M4" i="20" s="1"/>
  <c r="S20" i="19"/>
  <c r="E11" i="19" s="1"/>
  <c r="F11" i="19" s="1"/>
  <c r="Y19" i="19"/>
  <c r="X19" i="19"/>
  <c r="W19" i="19"/>
  <c r="V19" i="19"/>
  <c r="U19" i="19"/>
  <c r="B19" i="19"/>
  <c r="Y18" i="19"/>
  <c r="X18" i="19"/>
  <c r="W18" i="19"/>
  <c r="V18" i="19"/>
  <c r="U18" i="19"/>
  <c r="B18" i="19"/>
  <c r="Y17" i="19"/>
  <c r="X17" i="19"/>
  <c r="W17" i="19"/>
  <c r="V17" i="19"/>
  <c r="U17" i="19"/>
  <c r="B17" i="19"/>
  <c r="Y16" i="19"/>
  <c r="X16" i="19"/>
  <c r="W16" i="19"/>
  <c r="V16" i="19"/>
  <c r="U16" i="19"/>
  <c r="B16" i="19"/>
  <c r="Y15" i="19"/>
  <c r="X15" i="19"/>
  <c r="W15" i="19"/>
  <c r="V15" i="19"/>
  <c r="U15" i="19"/>
  <c r="B15" i="19"/>
  <c r="H7" i="19"/>
  <c r="G7" i="19"/>
  <c r="X13" i="19" s="1"/>
  <c r="E7" i="19"/>
  <c r="H6" i="19"/>
  <c r="G6" i="19"/>
  <c r="E6" i="19"/>
  <c r="H5" i="19"/>
  <c r="G5" i="19"/>
  <c r="E5" i="19"/>
  <c r="H4" i="19"/>
  <c r="G4" i="19"/>
  <c r="V13" i="19" s="1"/>
  <c r="E4" i="19"/>
  <c r="H3" i="19"/>
  <c r="G3" i="19"/>
  <c r="U13" i="19" s="1"/>
  <c r="E3" i="19"/>
  <c r="S20" i="17"/>
  <c r="E11" i="17" s="1"/>
  <c r="F11" i="17" s="1"/>
  <c r="Y19" i="17"/>
  <c r="X19" i="17"/>
  <c r="W19" i="17"/>
  <c r="V19" i="17"/>
  <c r="U19" i="17"/>
  <c r="B19" i="17"/>
  <c r="Y18" i="17"/>
  <c r="X18" i="17"/>
  <c r="W18" i="17"/>
  <c r="V18" i="17"/>
  <c r="U18" i="17"/>
  <c r="B18" i="17"/>
  <c r="Y17" i="17"/>
  <c r="X17" i="17"/>
  <c r="W17" i="17"/>
  <c r="V17" i="17"/>
  <c r="U17" i="17"/>
  <c r="B17" i="17"/>
  <c r="Y16" i="17"/>
  <c r="X16" i="17"/>
  <c r="W16" i="17"/>
  <c r="V16" i="17"/>
  <c r="U16" i="17"/>
  <c r="B16" i="17"/>
  <c r="Y15" i="17"/>
  <c r="X15" i="17"/>
  <c r="W15" i="17"/>
  <c r="V15" i="17"/>
  <c r="U15" i="17"/>
  <c r="B15" i="17"/>
  <c r="H7" i="17"/>
  <c r="G7" i="17"/>
  <c r="X13" i="17" s="1"/>
  <c r="E7" i="17"/>
  <c r="H6" i="17"/>
  <c r="G6" i="17"/>
  <c r="W13" i="17" s="1"/>
  <c r="E6" i="17"/>
  <c r="H5" i="17"/>
  <c r="G5" i="17"/>
  <c r="E5" i="17"/>
  <c r="H4" i="17"/>
  <c r="G4" i="17"/>
  <c r="V13" i="17" s="1"/>
  <c r="E4" i="17"/>
  <c r="H3" i="17"/>
  <c r="G3" i="17"/>
  <c r="U13" i="17" s="1"/>
  <c r="E3" i="17"/>
  <c r="Z18" i="16"/>
  <c r="S20" i="16"/>
  <c r="E11" i="16" s="1"/>
  <c r="F11" i="16" s="1"/>
  <c r="Y19" i="16"/>
  <c r="X19" i="16"/>
  <c r="W19" i="16"/>
  <c r="V19" i="16"/>
  <c r="U19" i="16"/>
  <c r="B19" i="16"/>
  <c r="Y18" i="16"/>
  <c r="X18" i="16"/>
  <c r="W18" i="16"/>
  <c r="V18" i="16"/>
  <c r="U18" i="16"/>
  <c r="B18" i="16"/>
  <c r="Y17" i="16"/>
  <c r="X17" i="16"/>
  <c r="W17" i="16"/>
  <c r="V17" i="16"/>
  <c r="U17" i="16"/>
  <c r="B17" i="16"/>
  <c r="Y16" i="16"/>
  <c r="X16" i="16"/>
  <c r="W16" i="16"/>
  <c r="V16" i="16"/>
  <c r="U16" i="16"/>
  <c r="B16" i="16"/>
  <c r="Y15" i="16"/>
  <c r="X15" i="16"/>
  <c r="W15" i="16"/>
  <c r="V15" i="16"/>
  <c r="U15" i="16"/>
  <c r="B15" i="16"/>
  <c r="H7" i="16"/>
  <c r="G7" i="16"/>
  <c r="Y13" i="16" s="1"/>
  <c r="E7" i="16"/>
  <c r="H6" i="16"/>
  <c r="G6" i="16"/>
  <c r="X13" i="16" s="1"/>
  <c r="E6" i="16"/>
  <c r="H5" i="16"/>
  <c r="G5" i="16"/>
  <c r="W13" i="16" s="1"/>
  <c r="E5" i="16"/>
  <c r="H4" i="16"/>
  <c r="G4" i="16"/>
  <c r="V13" i="16" s="1"/>
  <c r="E4" i="16"/>
  <c r="H3" i="16"/>
  <c r="G3" i="16"/>
  <c r="U13" i="16" s="1"/>
  <c r="E3" i="16"/>
  <c r="S20" i="15"/>
  <c r="Y19" i="15"/>
  <c r="X19" i="15"/>
  <c r="W19" i="15"/>
  <c r="V19" i="15"/>
  <c r="U19" i="15"/>
  <c r="B19" i="15"/>
  <c r="Y18" i="15"/>
  <c r="X18" i="15"/>
  <c r="W18" i="15"/>
  <c r="V18" i="15"/>
  <c r="U18" i="15"/>
  <c r="B18" i="15"/>
  <c r="Y17" i="15"/>
  <c r="X17" i="15"/>
  <c r="W17" i="15"/>
  <c r="V17" i="15"/>
  <c r="U17" i="15"/>
  <c r="B17" i="15"/>
  <c r="Y16" i="15"/>
  <c r="Y12" i="15" s="1"/>
  <c r="X16" i="15"/>
  <c r="W16" i="15"/>
  <c r="V16" i="15"/>
  <c r="U16" i="15"/>
  <c r="U12" i="15" s="1"/>
  <c r="B16" i="15"/>
  <c r="Y15" i="15"/>
  <c r="X15" i="15"/>
  <c r="X12" i="15" s="1"/>
  <c r="W15" i="15"/>
  <c r="W12" i="15" s="1"/>
  <c r="V15" i="15"/>
  <c r="U15" i="15"/>
  <c r="B15" i="15"/>
  <c r="V13" i="15"/>
  <c r="E11" i="15"/>
  <c r="F11" i="15" s="1"/>
  <c r="H7" i="15"/>
  <c r="G7" i="15"/>
  <c r="Y13" i="15" s="1"/>
  <c r="E7" i="15"/>
  <c r="H6" i="15"/>
  <c r="G6" i="15"/>
  <c r="X13" i="15" s="1"/>
  <c r="E6" i="15"/>
  <c r="H5" i="15"/>
  <c r="G5" i="15"/>
  <c r="W13" i="15" s="1"/>
  <c r="E5" i="15"/>
  <c r="H4" i="15"/>
  <c r="G4" i="15"/>
  <c r="E4" i="15"/>
  <c r="H3" i="15"/>
  <c r="G3" i="15"/>
  <c r="U13" i="15" s="1"/>
  <c r="E3" i="15"/>
  <c r="W13" i="19" l="1"/>
  <c r="H8" i="15"/>
  <c r="V12" i="15"/>
  <c r="M3" i="23"/>
  <c r="N3" i="23"/>
  <c r="H8" i="16"/>
  <c r="I5" i="16" s="1"/>
  <c r="J5" i="16" s="1"/>
  <c r="K5" i="16" s="1"/>
  <c r="L5" i="16" s="1"/>
  <c r="M5" i="16" s="1"/>
  <c r="K3" i="24"/>
  <c r="L3" i="24" s="1"/>
  <c r="M3" i="24" s="1"/>
  <c r="J8" i="24"/>
  <c r="J8" i="21"/>
  <c r="H8" i="19"/>
  <c r="I3" i="19" s="1"/>
  <c r="I3" i="20"/>
  <c r="J3" i="20" s="1"/>
  <c r="K3" i="20" s="1"/>
  <c r="L3" i="20" s="1"/>
  <c r="M3" i="20" s="1"/>
  <c r="I6" i="20"/>
  <c r="J6" i="20" s="1"/>
  <c r="K6" i="20" s="1"/>
  <c r="L6" i="20" s="1"/>
  <c r="M6" i="20" s="1"/>
  <c r="I5" i="20"/>
  <c r="J5" i="20" s="1"/>
  <c r="K5" i="20" s="1"/>
  <c r="L5" i="20" s="1"/>
  <c r="M5" i="20" s="1"/>
  <c r="Y12" i="19"/>
  <c r="U12" i="19"/>
  <c r="X12" i="19"/>
  <c r="W12" i="19"/>
  <c r="V12" i="19"/>
  <c r="W12" i="17"/>
  <c r="Y12" i="17"/>
  <c r="V12" i="17"/>
  <c r="X12" i="17"/>
  <c r="U12" i="17"/>
  <c r="H8" i="17"/>
  <c r="I6" i="17" s="1"/>
  <c r="J6" i="17" s="1"/>
  <c r="K6" i="17" s="1"/>
  <c r="L6" i="17" s="1"/>
  <c r="M6" i="17" s="1"/>
  <c r="Y12" i="16"/>
  <c r="X12" i="16"/>
  <c r="V12" i="16"/>
  <c r="U12" i="16"/>
  <c r="W12" i="16"/>
  <c r="I7" i="15"/>
  <c r="I5" i="15"/>
  <c r="J5" i="15" s="1"/>
  <c r="K5" i="15" s="1"/>
  <c r="L5" i="15" s="1"/>
  <c r="M5" i="15" s="1"/>
  <c r="I3" i="15"/>
  <c r="I8" i="15" s="1"/>
  <c r="I6" i="15"/>
  <c r="I4" i="15"/>
  <c r="J7" i="15"/>
  <c r="K7" i="15" s="1"/>
  <c r="L7" i="15" s="1"/>
  <c r="M7" i="15" s="1"/>
  <c r="J6" i="15"/>
  <c r="K6" i="15" s="1"/>
  <c r="L6" i="15" s="1"/>
  <c r="M6" i="15" s="1"/>
  <c r="J4" i="15"/>
  <c r="K4" i="15" s="1"/>
  <c r="L4" i="15" s="1"/>
  <c r="M4" i="15" s="1"/>
  <c r="H7" i="14"/>
  <c r="H6" i="14"/>
  <c r="H5" i="14"/>
  <c r="H4" i="14"/>
  <c r="H3" i="14"/>
  <c r="S20" i="14"/>
  <c r="E11" i="14" s="1"/>
  <c r="F11" i="14" s="1"/>
  <c r="Y19" i="14"/>
  <c r="X19" i="14"/>
  <c r="W19" i="14"/>
  <c r="V19" i="14"/>
  <c r="U19" i="14"/>
  <c r="Y18" i="14"/>
  <c r="X18" i="14"/>
  <c r="W18" i="14"/>
  <c r="V18" i="14"/>
  <c r="U18" i="14"/>
  <c r="Y17" i="14"/>
  <c r="X17" i="14"/>
  <c r="W17" i="14"/>
  <c r="V17" i="14"/>
  <c r="U17" i="14"/>
  <c r="Y16" i="14"/>
  <c r="X16" i="14"/>
  <c r="W16" i="14"/>
  <c r="V16" i="14"/>
  <c r="U16" i="14"/>
  <c r="Y15" i="14"/>
  <c r="X15" i="14"/>
  <c r="W15" i="14"/>
  <c r="V15" i="14"/>
  <c r="U15" i="14"/>
  <c r="F58" i="7"/>
  <c r="F57" i="7"/>
  <c r="F56" i="7"/>
  <c r="F55" i="7"/>
  <c r="F54" i="7"/>
  <c r="J7" i="14" l="1"/>
  <c r="K7" i="14" s="1"/>
  <c r="L7" i="14" s="1"/>
  <c r="M7" i="14" s="1"/>
  <c r="I7" i="14"/>
  <c r="I3" i="14"/>
  <c r="H8" i="14"/>
  <c r="I6" i="14" s="1"/>
  <c r="J6" i="14" s="1"/>
  <c r="K6" i="14" s="1"/>
  <c r="L6" i="14" s="1"/>
  <c r="M6" i="14" s="1"/>
  <c r="I7" i="16"/>
  <c r="J7" i="16" s="1"/>
  <c r="K7" i="16" s="1"/>
  <c r="L7" i="16" s="1"/>
  <c r="M7" i="16" s="1"/>
  <c r="I4" i="16"/>
  <c r="J4" i="16" s="1"/>
  <c r="K4" i="16" s="1"/>
  <c r="L4" i="16" s="1"/>
  <c r="M4" i="16" s="1"/>
  <c r="I3" i="16"/>
  <c r="J3" i="16" s="1"/>
  <c r="I6" i="16"/>
  <c r="J6" i="16" s="1"/>
  <c r="K6" i="16" s="1"/>
  <c r="L6" i="16" s="1"/>
  <c r="M6" i="16" s="1"/>
  <c r="I7" i="19"/>
  <c r="J7" i="19" s="1"/>
  <c r="K7" i="19" s="1"/>
  <c r="L7" i="19" s="1"/>
  <c r="M7" i="19" s="1"/>
  <c r="I6" i="19"/>
  <c r="J6" i="19" s="1"/>
  <c r="K6" i="19" s="1"/>
  <c r="L6" i="19" s="1"/>
  <c r="M6" i="19" s="1"/>
  <c r="I5" i="19"/>
  <c r="J5" i="19" s="1"/>
  <c r="K5" i="19" s="1"/>
  <c r="L5" i="19" s="1"/>
  <c r="M5" i="19" s="1"/>
  <c r="I4" i="19"/>
  <c r="J4" i="19" s="1"/>
  <c r="K4" i="19" s="1"/>
  <c r="L4" i="19" s="1"/>
  <c r="M4" i="19" s="1"/>
  <c r="I8" i="20"/>
  <c r="J8" i="20"/>
  <c r="J3" i="19"/>
  <c r="I3" i="17"/>
  <c r="I4" i="17"/>
  <c r="J4" i="17" s="1"/>
  <c r="K4" i="17" s="1"/>
  <c r="L4" i="17" s="1"/>
  <c r="M4" i="17" s="1"/>
  <c r="I5" i="17"/>
  <c r="J5" i="17" s="1"/>
  <c r="K5" i="17" s="1"/>
  <c r="L5" i="17" s="1"/>
  <c r="M5" i="17" s="1"/>
  <c r="I7" i="17"/>
  <c r="J7" i="17" s="1"/>
  <c r="K7" i="17" s="1"/>
  <c r="L7" i="17" s="1"/>
  <c r="M7" i="17" s="1"/>
  <c r="J3" i="15"/>
  <c r="U12" i="14"/>
  <c r="V12" i="14"/>
  <c r="W12" i="14"/>
  <c r="Y12" i="14"/>
  <c r="X12" i="14"/>
  <c r="B19" i="14"/>
  <c r="B18" i="14"/>
  <c r="B17" i="14"/>
  <c r="B16" i="14"/>
  <c r="B15" i="14"/>
  <c r="G7" i="14"/>
  <c r="Y13" i="14" s="1"/>
  <c r="G6" i="14"/>
  <c r="X13" i="14" s="1"/>
  <c r="G5" i="14"/>
  <c r="W13" i="14" s="1"/>
  <c r="G4" i="14"/>
  <c r="V13" i="14" s="1"/>
  <c r="G3" i="14"/>
  <c r="U13" i="14" s="1"/>
  <c r="E7" i="14"/>
  <c r="E6" i="14"/>
  <c r="E5" i="14"/>
  <c r="E4" i="14"/>
  <c r="E3" i="14"/>
  <c r="I8" i="14" l="1"/>
  <c r="I5" i="14"/>
  <c r="J5" i="14" s="1"/>
  <c r="K5" i="14" s="1"/>
  <c r="L5" i="14" s="1"/>
  <c r="M5" i="14" s="1"/>
  <c r="I4" i="14"/>
  <c r="J4" i="14" s="1"/>
  <c r="K4" i="14" s="1"/>
  <c r="L4" i="14" s="1"/>
  <c r="M4" i="14" s="1"/>
  <c r="J3" i="14"/>
  <c r="I8" i="16"/>
  <c r="I8" i="19"/>
  <c r="J8" i="19"/>
  <c r="Q8" i="19" s="1"/>
  <c r="R8" i="19" s="1"/>
  <c r="K3" i="19"/>
  <c r="L3" i="19" s="1"/>
  <c r="M3" i="19" s="1"/>
  <c r="I8" i="17"/>
  <c r="J3" i="17"/>
  <c r="K3" i="17" s="1"/>
  <c r="L3" i="17" s="1"/>
  <c r="M3" i="17" s="1"/>
  <c r="J8" i="16"/>
  <c r="P8" i="16" s="1"/>
  <c r="Q8" i="16" s="1"/>
  <c r="K3" i="16"/>
  <c r="L3" i="16" s="1"/>
  <c r="M3" i="16" s="1"/>
  <c r="K3" i="15"/>
  <c r="L3" i="15" s="1"/>
  <c r="M3" i="15" s="1"/>
  <c r="J8" i="15"/>
  <c r="D11" i="13"/>
  <c r="J10" i="13"/>
  <c r="J9" i="13"/>
  <c r="J8" i="13"/>
  <c r="J7" i="13"/>
  <c r="J11" i="13" s="1"/>
  <c r="J6" i="13"/>
  <c r="J5" i="13"/>
  <c r="J4" i="13"/>
  <c r="F14" i="13"/>
  <c r="E14" i="13"/>
  <c r="B47" i="13"/>
  <c r="K3" i="14" l="1"/>
  <c r="L3" i="14" s="1"/>
  <c r="M3" i="14" s="1"/>
  <c r="J8" i="14"/>
  <c r="L4" i="13"/>
  <c r="M4" i="13" s="1"/>
  <c r="J8" i="17"/>
  <c r="I44" i="13"/>
  <c r="H44" i="13"/>
  <c r="G44" i="13"/>
  <c r="F44" i="13"/>
  <c r="E44" i="13"/>
  <c r="D44" i="13"/>
  <c r="C44" i="13"/>
  <c r="I43" i="13"/>
  <c r="H43" i="13"/>
  <c r="G43" i="13"/>
  <c r="F43" i="13"/>
  <c r="E43" i="13"/>
  <c r="D43" i="13"/>
  <c r="C43" i="13"/>
  <c r="I42" i="13"/>
  <c r="H42" i="13"/>
  <c r="G42" i="13"/>
  <c r="F42" i="13"/>
  <c r="E42" i="13"/>
  <c r="D42" i="13"/>
  <c r="C42" i="13"/>
  <c r="I41" i="13"/>
  <c r="H41" i="13"/>
  <c r="G41" i="13"/>
  <c r="F41" i="13"/>
  <c r="E41" i="13"/>
  <c r="D41" i="13"/>
  <c r="C41" i="13"/>
  <c r="I40" i="13"/>
  <c r="H40" i="13"/>
  <c r="G40" i="13"/>
  <c r="F40" i="13"/>
  <c r="E40" i="13"/>
  <c r="D40" i="13"/>
  <c r="C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I35" i="13"/>
  <c r="H35" i="13"/>
  <c r="G35" i="13"/>
  <c r="F35" i="13"/>
  <c r="E35" i="13"/>
  <c r="D35" i="13"/>
  <c r="C35" i="13"/>
  <c r="H10" i="13"/>
  <c r="H9" i="13"/>
  <c r="H8" i="13"/>
  <c r="H7" i="13"/>
  <c r="H6" i="13"/>
  <c r="H5" i="13"/>
  <c r="H4" i="13"/>
  <c r="F10" i="13"/>
  <c r="F9" i="13"/>
  <c r="F8" i="13"/>
  <c r="F7" i="13"/>
  <c r="F6" i="13"/>
  <c r="F5" i="13"/>
  <c r="F4" i="13"/>
  <c r="I36" i="13" l="1"/>
  <c r="E36" i="13"/>
  <c r="C36" i="13"/>
  <c r="D36" i="13"/>
  <c r="F36" i="13"/>
  <c r="G36" i="13"/>
  <c r="H36" i="13"/>
  <c r="B24" i="13"/>
  <c r="B23" i="13"/>
  <c r="B22" i="13"/>
  <c r="B21" i="13"/>
  <c r="B20" i="13"/>
  <c r="B19" i="13"/>
  <c r="B18" i="13"/>
  <c r="D20" i="12" l="1"/>
  <c r="O20" i="12" s="1"/>
  <c r="E19" i="12"/>
  <c r="E18" i="12"/>
  <c r="E20" i="12" s="1"/>
  <c r="G4" i="12"/>
  <c r="N9" i="12"/>
  <c r="O13" i="12"/>
  <c r="O9" i="12" s="1"/>
  <c r="E9" i="12" s="1"/>
  <c r="N13" i="12"/>
  <c r="N10" i="12"/>
  <c r="I8" i="12"/>
  <c r="B13" i="12"/>
  <c r="F9" i="12"/>
  <c r="F8" i="12"/>
  <c r="F18" i="12" l="1"/>
  <c r="F19" i="12"/>
  <c r="G19" i="12" s="1"/>
  <c r="H19" i="12" s="1"/>
  <c r="K19" i="12" s="1"/>
  <c r="L19" i="12" s="1"/>
  <c r="M20" i="12"/>
  <c r="N20" i="12" s="1"/>
  <c r="M3" i="11"/>
  <c r="L3" i="11"/>
  <c r="L2" i="11"/>
  <c r="M2" i="11" s="1"/>
  <c r="M4" i="11" s="1"/>
  <c r="E8" i="11"/>
  <c r="B18" i="11" s="1"/>
  <c r="G7" i="11"/>
  <c r="G6" i="11"/>
  <c r="G5" i="11"/>
  <c r="G4" i="11"/>
  <c r="G3" i="11"/>
  <c r="G8" i="11" s="1"/>
  <c r="C18" i="11" s="1"/>
  <c r="D18" i="11" s="1"/>
  <c r="B14" i="11"/>
  <c r="B13" i="11"/>
  <c r="B12" i="11"/>
  <c r="B11" i="11"/>
  <c r="B10" i="11"/>
  <c r="X14" i="11"/>
  <c r="W14" i="11"/>
  <c r="V14" i="11"/>
  <c r="U14" i="11"/>
  <c r="T14" i="11"/>
  <c r="X13" i="11"/>
  <c r="W13" i="11"/>
  <c r="V13" i="11"/>
  <c r="U13" i="11"/>
  <c r="T13" i="11"/>
  <c r="X12" i="11"/>
  <c r="W12" i="11"/>
  <c r="V12" i="11"/>
  <c r="U12" i="11"/>
  <c r="T12" i="11"/>
  <c r="X11" i="11"/>
  <c r="W11" i="11"/>
  <c r="V11" i="11"/>
  <c r="U11" i="11"/>
  <c r="T11" i="11"/>
  <c r="X10" i="11"/>
  <c r="W10" i="11"/>
  <c r="V10" i="11"/>
  <c r="U10" i="11"/>
  <c r="T10" i="11"/>
  <c r="X8" i="11"/>
  <c r="W8" i="11"/>
  <c r="V8" i="11"/>
  <c r="U8" i="11"/>
  <c r="T8" i="11"/>
  <c r="Q7" i="11"/>
  <c r="Q6" i="11"/>
  <c r="Q5" i="11"/>
  <c r="Q4" i="11"/>
  <c r="Q3" i="11"/>
  <c r="G18" i="12" l="1"/>
  <c r="F20" i="12"/>
  <c r="W7" i="11"/>
  <c r="V7" i="11"/>
  <c r="V6" i="11" s="1"/>
  <c r="U7" i="11"/>
  <c r="T7" i="11"/>
  <c r="X7" i="11"/>
  <c r="G25" i="8"/>
  <c r="H25" i="8" s="1"/>
  <c r="I25" i="8" s="1"/>
  <c r="J25" i="8" s="1"/>
  <c r="K25" i="8" s="1"/>
  <c r="H18" i="12" l="1"/>
  <c r="K18" i="12" s="1"/>
  <c r="L18" i="12" s="1"/>
  <c r="L20" i="12" s="1"/>
  <c r="G20" i="12"/>
  <c r="D2" i="10" l="1"/>
  <c r="G2" i="10" l="1"/>
  <c r="I2" i="10"/>
  <c r="D22" i="9"/>
  <c r="B7" i="9"/>
  <c r="E49" i="7" l="1"/>
  <c r="E48" i="7"/>
  <c r="E47" i="7"/>
  <c r="E46" i="7"/>
  <c r="E50" i="7" s="1"/>
  <c r="F46" i="7" s="1"/>
  <c r="E45" i="7"/>
  <c r="J39" i="7"/>
  <c r="K39" i="7" s="1"/>
  <c r="J38" i="7"/>
  <c r="K38" i="7" s="1"/>
  <c r="K41" i="7" s="1"/>
  <c r="Z31" i="7"/>
  <c r="Y31" i="7"/>
  <c r="X31" i="7"/>
  <c r="W31" i="7"/>
  <c r="V31" i="7"/>
  <c r="Z30" i="7"/>
  <c r="Y30" i="7"/>
  <c r="X30" i="7"/>
  <c r="W30" i="7"/>
  <c r="V30" i="7"/>
  <c r="Z29" i="7"/>
  <c r="Y29" i="7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F31" i="7"/>
  <c r="F30" i="7"/>
  <c r="F29" i="7"/>
  <c r="F28" i="7"/>
  <c r="F27" i="7"/>
  <c r="H39" i="7"/>
  <c r="H38" i="7"/>
  <c r="H37" i="7"/>
  <c r="H36" i="7"/>
  <c r="F39" i="7"/>
  <c r="F38" i="7"/>
  <c r="F37" i="7"/>
  <c r="F36" i="7"/>
  <c r="J32" i="7"/>
  <c r="D31" i="7"/>
  <c r="Z34" i="7" s="1"/>
  <c r="D30" i="7"/>
  <c r="Y34" i="7" s="1"/>
  <c r="D29" i="7"/>
  <c r="X34" i="7" s="1"/>
  <c r="D28" i="7"/>
  <c r="W34" i="7" s="1"/>
  <c r="D27" i="7"/>
  <c r="V34" i="7" s="1"/>
  <c r="F47" i="7" l="1"/>
  <c r="G47" i="7" s="1"/>
  <c r="H47" i="7" s="1"/>
  <c r="I47" i="7" s="1"/>
  <c r="J47" i="7" s="1"/>
  <c r="G46" i="7"/>
  <c r="H46" i="7" s="1"/>
  <c r="I46" i="7" s="1"/>
  <c r="J46" i="7" s="1"/>
  <c r="G49" i="7"/>
  <c r="H49" i="7" s="1"/>
  <c r="I49" i="7" s="1"/>
  <c r="J49" i="7" s="1"/>
  <c r="F48" i="7"/>
  <c r="G48" i="7" s="1"/>
  <c r="H48" i="7" s="1"/>
  <c r="I48" i="7" s="1"/>
  <c r="J48" i="7" s="1"/>
  <c r="F45" i="7"/>
  <c r="F50" i="7" s="1"/>
  <c r="F49" i="7"/>
  <c r="X35" i="7"/>
  <c r="Y35" i="7"/>
  <c r="Z35" i="7"/>
  <c r="W35" i="7"/>
  <c r="V35" i="7"/>
  <c r="H43" i="3"/>
  <c r="A33" i="3"/>
  <c r="G45" i="7" l="1"/>
  <c r="D13" i="3"/>
  <c r="F41" i="3"/>
  <c r="F40" i="3"/>
  <c r="F39" i="3"/>
  <c r="F38" i="3"/>
  <c r="F37" i="3"/>
  <c r="F36" i="3"/>
  <c r="F35" i="3"/>
  <c r="F43" i="3" s="1"/>
  <c r="F32" i="3"/>
  <c r="F31" i="3"/>
  <c r="F30" i="3"/>
  <c r="F29" i="3"/>
  <c r="F28" i="3"/>
  <c r="F27" i="3"/>
  <c r="F26" i="3"/>
  <c r="H45" i="7" l="1"/>
  <c r="I45" i="7" s="1"/>
  <c r="J45" i="7" s="1"/>
  <c r="G50" i="7"/>
  <c r="C14" i="9"/>
  <c r="C15" i="9" s="1"/>
  <c r="C16" i="9" s="1"/>
  <c r="C17" i="9" s="1"/>
  <c r="C18" i="9" s="1"/>
  <c r="C13" i="9"/>
  <c r="B6" i="9"/>
  <c r="P6" i="8" l="1"/>
  <c r="Q6" i="8" s="1"/>
  <c r="R6" i="8" s="1"/>
  <c r="S6" i="8" s="1"/>
  <c r="T6" i="8" s="1"/>
  <c r="E21" i="8" s="1"/>
  <c r="F21" i="8" s="1"/>
  <c r="P5" i="8"/>
  <c r="Q5" i="8" s="1"/>
  <c r="R5" i="8" s="1"/>
  <c r="S5" i="8" s="1"/>
  <c r="T5" i="8" s="1"/>
  <c r="E20" i="8" s="1"/>
  <c r="F20" i="8" s="1"/>
  <c r="K6" i="8"/>
  <c r="M6" i="8" s="1"/>
  <c r="K5" i="8"/>
  <c r="M5" i="8" s="1"/>
  <c r="G5" i="8"/>
  <c r="B16" i="8"/>
  <c r="G6" i="8"/>
  <c r="B15" i="8"/>
  <c r="F23" i="8" l="1"/>
  <c r="F27" i="6"/>
  <c r="G26" i="6" s="1"/>
  <c r="F26" i="6"/>
  <c r="F25" i="6"/>
  <c r="G25" i="6" s="1"/>
  <c r="F24" i="6"/>
  <c r="G24" i="6" s="1"/>
  <c r="F23" i="6"/>
  <c r="G23" i="6" s="1"/>
  <c r="K7" i="6"/>
  <c r="L7" i="6" s="1"/>
  <c r="K6" i="6"/>
  <c r="L6" i="6" s="1"/>
  <c r="K5" i="6"/>
  <c r="K8" i="6" s="1"/>
  <c r="I3" i="6"/>
  <c r="J3" i="6" s="1"/>
  <c r="I2" i="6"/>
  <c r="J2" i="6" s="1"/>
  <c r="J4" i="6" s="1"/>
  <c r="L11" i="6"/>
  <c r="K11" i="6"/>
  <c r="J11" i="6"/>
  <c r="M17" i="6"/>
  <c r="L17" i="6"/>
  <c r="K17" i="6"/>
  <c r="J17" i="6"/>
  <c r="M16" i="6"/>
  <c r="L16" i="6"/>
  <c r="K16" i="6"/>
  <c r="J16" i="6"/>
  <c r="M15" i="6"/>
  <c r="L15" i="6"/>
  <c r="K15" i="6"/>
  <c r="J15" i="6"/>
  <c r="G3" i="6"/>
  <c r="C13" i="6"/>
  <c r="G2" i="6"/>
  <c r="G5" i="6" s="1"/>
  <c r="C12" i="6"/>
  <c r="C11" i="6"/>
  <c r="G27" i="6" l="1"/>
  <c r="G6" i="6"/>
  <c r="L5" i="6"/>
  <c r="L8" i="6" s="1"/>
  <c r="G7" i="6"/>
  <c r="K12" i="6"/>
  <c r="L12" i="6"/>
  <c r="H24" i="6"/>
  <c r="I24" i="6" s="1"/>
  <c r="J24" i="6" s="1"/>
  <c r="H25" i="6"/>
  <c r="I25" i="6" s="1"/>
  <c r="J25" i="6" s="1"/>
  <c r="H23" i="6"/>
  <c r="M7" i="6"/>
  <c r="N7" i="6" s="1"/>
  <c r="O7" i="6" s="1"/>
  <c r="P7" i="6" s="1"/>
  <c r="Q7" i="6" s="1"/>
  <c r="M6" i="6"/>
  <c r="N6" i="6" s="1"/>
  <c r="O6" i="6" s="1"/>
  <c r="P6" i="6" s="1"/>
  <c r="Q6" i="6" s="1"/>
  <c r="M5" i="6"/>
  <c r="H26" i="6"/>
  <c r="J12" i="6"/>
  <c r="M12" i="6"/>
  <c r="M10" i="6" s="1"/>
  <c r="B16" i="5"/>
  <c r="B19" i="5"/>
  <c r="B18" i="5"/>
  <c r="U17" i="5"/>
  <c r="M4" i="5"/>
  <c r="N4" i="5" s="1"/>
  <c r="M3" i="5"/>
  <c r="M2" i="5"/>
  <c r="M5" i="5" s="1"/>
  <c r="O20" i="5"/>
  <c r="E2" i="5" s="1"/>
  <c r="E3" i="5" s="1"/>
  <c r="T10" i="5"/>
  <c r="S10" i="5"/>
  <c r="R10" i="5"/>
  <c r="U18" i="5"/>
  <c r="T18" i="5"/>
  <c r="S18" i="5"/>
  <c r="R18" i="5"/>
  <c r="Q18" i="5"/>
  <c r="T17" i="5"/>
  <c r="S17" i="5"/>
  <c r="R17" i="5"/>
  <c r="Q17" i="5"/>
  <c r="U16" i="5"/>
  <c r="T16" i="5"/>
  <c r="S16" i="5"/>
  <c r="R16" i="5"/>
  <c r="Q16" i="5"/>
  <c r="J10" i="5"/>
  <c r="J9" i="5"/>
  <c r="H10" i="5"/>
  <c r="H9" i="5"/>
  <c r="H8" i="5"/>
  <c r="J8" i="5" s="1"/>
  <c r="B17" i="5"/>
  <c r="N3" i="5" l="1"/>
  <c r="N2" i="5"/>
  <c r="N5" i="5" s="1"/>
  <c r="N25" i="6"/>
  <c r="K25" i="6"/>
  <c r="L25" i="6" s="1"/>
  <c r="M25" i="6" s="1"/>
  <c r="N24" i="6"/>
  <c r="K24" i="6"/>
  <c r="L24" i="6" s="1"/>
  <c r="M24" i="6" s="1"/>
  <c r="M8" i="6"/>
  <c r="N5" i="6"/>
  <c r="O5" i="6" s="1"/>
  <c r="P5" i="6" s="1"/>
  <c r="Q5" i="6" s="1"/>
  <c r="I23" i="6"/>
  <c r="J23" i="6" s="1"/>
  <c r="H27" i="6"/>
  <c r="S12" i="5"/>
  <c r="O3" i="5"/>
  <c r="P3" i="5" s="1"/>
  <c r="Q3" i="5" s="1"/>
  <c r="R3" i="5" s="1"/>
  <c r="S3" i="5" s="1"/>
  <c r="O4" i="5"/>
  <c r="P4" i="5" s="1"/>
  <c r="Q4" i="5" s="1"/>
  <c r="R4" i="5" s="1"/>
  <c r="S4" i="5" s="1"/>
  <c r="O2" i="5"/>
  <c r="T12" i="5"/>
  <c r="U12" i="5"/>
  <c r="U8" i="5" s="1"/>
  <c r="Q12" i="5"/>
  <c r="Q8" i="5" s="1"/>
  <c r="R12" i="5"/>
  <c r="Y11" i="3"/>
  <c r="Y10" i="3"/>
  <c r="Y9" i="3"/>
  <c r="Y8" i="3"/>
  <c r="Y7" i="3"/>
  <c r="Y6" i="3"/>
  <c r="Y5" i="3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T11" i="3"/>
  <c r="T10" i="3"/>
  <c r="T9" i="3"/>
  <c r="T8" i="3"/>
  <c r="T7" i="3"/>
  <c r="T6" i="3"/>
  <c r="T5" i="3"/>
  <c r="R11" i="3"/>
  <c r="R10" i="3"/>
  <c r="R9" i="3"/>
  <c r="R8" i="3"/>
  <c r="R7" i="3"/>
  <c r="R6" i="3"/>
  <c r="R5" i="3"/>
  <c r="E11" i="3"/>
  <c r="E10" i="3"/>
  <c r="E9" i="3"/>
  <c r="E8" i="3"/>
  <c r="E7" i="3"/>
  <c r="E6" i="3"/>
  <c r="E5" i="3"/>
  <c r="AA24" i="3"/>
  <c r="AA25" i="3" s="1"/>
  <c r="N23" i="6" l="1"/>
  <c r="N27" i="6" s="1"/>
  <c r="K23" i="6"/>
  <c r="L23" i="6" s="1"/>
  <c r="M23" i="6" s="1"/>
  <c r="M27" i="6" s="1"/>
  <c r="P2" i="5"/>
  <c r="Q2" i="5" s="1"/>
  <c r="R2" i="5" s="1"/>
  <c r="S2" i="5" s="1"/>
  <c r="O5" i="5"/>
  <c r="E13" i="3"/>
  <c r="F6" i="3" s="1"/>
  <c r="G6" i="3" s="1"/>
  <c r="H6" i="3" s="1"/>
  <c r="AK10" i="3"/>
  <c r="AJ10" i="3"/>
  <c r="AI10" i="3"/>
  <c r="AH10" i="3"/>
  <c r="AG10" i="3"/>
  <c r="AF10" i="3"/>
  <c r="AE10" i="3"/>
  <c r="AK16" i="3"/>
  <c r="AJ16" i="3"/>
  <c r="AI16" i="3"/>
  <c r="AH16" i="3"/>
  <c r="AG16" i="3"/>
  <c r="AF16" i="3"/>
  <c r="AE16" i="3"/>
  <c r="AK17" i="3"/>
  <c r="AJ17" i="3"/>
  <c r="AI17" i="3"/>
  <c r="AH17" i="3"/>
  <c r="AG17" i="3"/>
  <c r="AF17" i="3"/>
  <c r="AE17" i="3"/>
  <c r="AK18" i="3"/>
  <c r="AJ18" i="3"/>
  <c r="AI18" i="3"/>
  <c r="AH18" i="3"/>
  <c r="AG18" i="3"/>
  <c r="AF18" i="3"/>
  <c r="AE18" i="3"/>
  <c r="AK19" i="3"/>
  <c r="AJ19" i="3"/>
  <c r="AI19" i="3"/>
  <c r="AH19" i="3"/>
  <c r="AG19" i="3"/>
  <c r="AF19" i="3"/>
  <c r="AE19" i="3"/>
  <c r="AK20" i="3"/>
  <c r="AJ20" i="3"/>
  <c r="AI20" i="3"/>
  <c r="AH20" i="3"/>
  <c r="AG20" i="3"/>
  <c r="AF20" i="3"/>
  <c r="AE20" i="3"/>
  <c r="AK21" i="3"/>
  <c r="AJ21" i="3"/>
  <c r="AI21" i="3"/>
  <c r="AH21" i="3"/>
  <c r="AG21" i="3"/>
  <c r="AF21" i="3"/>
  <c r="AE21" i="3"/>
  <c r="AK22" i="3"/>
  <c r="AJ22" i="3"/>
  <c r="AI22" i="3"/>
  <c r="AH22" i="3"/>
  <c r="AG22" i="3"/>
  <c r="AF22" i="3"/>
  <c r="AE22" i="3"/>
  <c r="H22" i="3"/>
  <c r="H21" i="3"/>
  <c r="H20" i="3"/>
  <c r="H19" i="3"/>
  <c r="H18" i="3"/>
  <c r="H17" i="3"/>
  <c r="H16" i="3"/>
  <c r="E22" i="3"/>
  <c r="E21" i="3"/>
  <c r="E20" i="3"/>
  <c r="E19" i="3"/>
  <c r="E18" i="3"/>
  <c r="E17" i="3"/>
  <c r="C22" i="3"/>
  <c r="C21" i="3"/>
  <c r="C20" i="3"/>
  <c r="C19" i="3"/>
  <c r="C18" i="3"/>
  <c r="C17" i="3"/>
  <c r="E16" i="3"/>
  <c r="C16" i="3"/>
  <c r="O27" i="6" l="1"/>
  <c r="Z6" i="3"/>
  <c r="AA6" i="3" s="1"/>
  <c r="I6" i="3"/>
  <c r="F5" i="3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AE12" i="3"/>
  <c r="AE6" i="3" s="1"/>
  <c r="AE4" i="3" s="1"/>
  <c r="AH12" i="3"/>
  <c r="AH6" i="3" s="1"/>
  <c r="AH4" i="3" s="1"/>
  <c r="AJ12" i="3"/>
  <c r="AJ6" i="3" s="1"/>
  <c r="AJ4" i="3" s="1"/>
  <c r="AK12" i="3"/>
  <c r="AK6" i="3" s="1"/>
  <c r="AK4" i="3" s="1"/>
  <c r="AF12" i="3"/>
  <c r="AF6" i="3" s="1"/>
  <c r="AF4" i="3" s="1"/>
  <c r="AG12" i="3"/>
  <c r="AI12" i="3"/>
  <c r="AI6" i="3" s="1"/>
  <c r="AI4" i="3" s="1"/>
  <c r="K7" i="4"/>
  <c r="E7" i="4"/>
  <c r="M7" i="4" s="1"/>
  <c r="D5" i="4"/>
  <c r="C5" i="4"/>
  <c r="H7" i="4" l="1"/>
  <c r="I8" i="3"/>
  <c r="Z8" i="3"/>
  <c r="AA8" i="3" s="1"/>
  <c r="I7" i="3"/>
  <c r="Z7" i="3"/>
  <c r="AA7" i="3" s="1"/>
  <c r="I10" i="3"/>
  <c r="Z10" i="3"/>
  <c r="AA10" i="3" s="1"/>
  <c r="I11" i="3"/>
  <c r="Z11" i="3"/>
  <c r="AA11" i="3" s="1"/>
  <c r="F13" i="3"/>
  <c r="G5" i="3"/>
  <c r="I9" i="3"/>
  <c r="Z9" i="3"/>
  <c r="AA9" i="3" s="1"/>
  <c r="J6" i="3"/>
  <c r="N6" i="3"/>
  <c r="AG8" i="3"/>
  <c r="I13" i="3" s="1"/>
  <c r="AG6" i="3" l="1"/>
  <c r="AG4" i="3" s="1"/>
  <c r="L6" i="3"/>
  <c r="O6" i="3" s="1"/>
  <c r="P6" i="3" s="1"/>
  <c r="K6" i="3"/>
  <c r="J11" i="3"/>
  <c r="N11" i="3"/>
  <c r="N10" i="3"/>
  <c r="J10" i="3"/>
  <c r="N9" i="3"/>
  <c r="J9" i="3"/>
  <c r="J7" i="3"/>
  <c r="N7" i="3"/>
  <c r="H5" i="3"/>
  <c r="G13" i="3"/>
  <c r="G43" i="3" s="1"/>
  <c r="I43" i="3" s="1"/>
  <c r="J43" i="3" s="1"/>
  <c r="J8" i="3"/>
  <c r="N8" i="3"/>
  <c r="L7" i="3" l="1"/>
  <c r="O7" i="3" s="1"/>
  <c r="K7" i="3"/>
  <c r="L9" i="3"/>
  <c r="O9" i="3" s="1"/>
  <c r="P9" i="3" s="1"/>
  <c r="K9" i="3"/>
  <c r="L10" i="3"/>
  <c r="O10" i="3" s="1"/>
  <c r="K10" i="3"/>
  <c r="L8" i="3"/>
  <c r="O8" i="3" s="1"/>
  <c r="P8" i="3" s="1"/>
  <c r="K8" i="3"/>
  <c r="L11" i="3"/>
  <c r="O11" i="3" s="1"/>
  <c r="P11" i="3" s="1"/>
  <c r="K11" i="3"/>
  <c r="Z5" i="3"/>
  <c r="I5" i="3"/>
  <c r="P7" i="3"/>
  <c r="P10" i="3"/>
  <c r="J5" i="3" l="1"/>
  <c r="N5" i="3"/>
  <c r="AA5" i="3"/>
  <c r="AA13" i="3" s="1"/>
  <c r="Z13" i="3" s="1"/>
  <c r="L5" i="3" l="1"/>
  <c r="O5" i="3" s="1"/>
  <c r="O13" i="3" s="1"/>
  <c r="K5" i="3"/>
  <c r="K13" i="3" s="1"/>
  <c r="P5" i="3"/>
  <c r="P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WW_Lead</author>
  </authors>
  <commentList>
    <comment ref="F19" authorId="0" shapeId="0" xr:uid="{C1D43997-DBBE-4D7C-A8F1-3C0AA4CF4254}">
      <text>
        <r>
          <rPr>
            <b/>
            <sz val="9"/>
            <color indexed="81"/>
            <rFont val="Tahoma"/>
            <family val="2"/>
            <charset val="204"/>
          </rPr>
          <t>WW_Lead:</t>
        </r>
        <r>
          <rPr>
            <sz val="9"/>
            <color indexed="81"/>
            <rFont val="Tahoma"/>
            <family val="2"/>
            <charset val="204"/>
          </rPr>
          <t xml:space="preserve">
Остаток на будущее</t>
        </r>
      </text>
    </comment>
  </commentList>
</comments>
</file>

<file path=xl/sharedStrings.xml><?xml version="1.0" encoding="utf-8"?>
<sst xmlns="http://schemas.openxmlformats.org/spreadsheetml/2006/main" count="1022" uniqueCount="292">
  <si>
    <t>Separadores</t>
  </si>
  <si>
    <t>Ancho</t>
  </si>
  <si>
    <t>Largo</t>
  </si>
  <si>
    <t>Cantidad</t>
  </si>
  <si>
    <t>Mi precio</t>
  </si>
  <si>
    <t>Precio Luis</t>
  </si>
  <si>
    <t>Costo</t>
  </si>
  <si>
    <t>Planchas</t>
  </si>
  <si>
    <t>Tiras de:</t>
  </si>
  <si>
    <t>Tiras</t>
  </si>
  <si>
    <t>salen</t>
  </si>
  <si>
    <t>Nececitan</t>
  </si>
  <si>
    <t>Quiedan</t>
  </si>
  <si>
    <t>Separadores para facturar</t>
  </si>
  <si>
    <t>Guardar tiras</t>
  </si>
  <si>
    <t>Precio</t>
  </si>
  <si>
    <t>Superficie</t>
  </si>
  <si>
    <t>Parte</t>
  </si>
  <si>
    <t>$ por medida</t>
  </si>
  <si>
    <t>Precio por millar</t>
  </si>
  <si>
    <t>Costo por millar</t>
  </si>
  <si>
    <t>Costo Carton</t>
  </si>
  <si>
    <t>quedo en 262 tiras</t>
  </si>
  <si>
    <t>Precios con cortes normales</t>
  </si>
  <si>
    <t>Separadores por tira</t>
  </si>
  <si>
    <t>costo de 1000</t>
  </si>
  <si>
    <t>Precio Luis + 5</t>
  </si>
  <si>
    <t>Precio para Cliente + 5</t>
  </si>
  <si>
    <t>Costo total</t>
  </si>
  <si>
    <t xml:space="preserve">Monto para cliente </t>
  </si>
  <si>
    <t>Ganancia</t>
  </si>
  <si>
    <t>Diferencia en precio</t>
  </si>
  <si>
    <t xml:space="preserve">Diferencia total </t>
  </si>
  <si>
    <t>Monto Luis</t>
  </si>
  <si>
    <t>Laminas por 1000</t>
  </si>
  <si>
    <t>Separadores por Tira</t>
  </si>
  <si>
    <t>Arturo</t>
  </si>
  <si>
    <t>Laminas</t>
  </si>
  <si>
    <t>Pedido</t>
  </si>
  <si>
    <t>Modos</t>
  </si>
  <si>
    <t>Laminas por pedido</t>
  </si>
  <si>
    <t>Guardar</t>
  </si>
  <si>
    <t>Laminas Total</t>
  </si>
  <si>
    <t>Costo Total</t>
  </si>
  <si>
    <t>Luis+4</t>
  </si>
  <si>
    <t>Final</t>
  </si>
  <si>
    <t>Nececitan tiras</t>
  </si>
  <si>
    <t>Salen</t>
  </si>
  <si>
    <t>A guardar</t>
  </si>
  <si>
    <t>Costo Planchas</t>
  </si>
  <si>
    <t>Monto, $</t>
  </si>
  <si>
    <t>Costo de planchas por 1000</t>
  </si>
  <si>
    <t>Luis +4</t>
  </si>
  <si>
    <t xml:space="preserve">Final +4 </t>
  </si>
  <si>
    <t>Costos sin tiras de guardar</t>
  </si>
  <si>
    <t>Costo de carton por 1000</t>
  </si>
  <si>
    <t>Costo total, $ / 1000</t>
  </si>
  <si>
    <t>Final +4</t>
  </si>
  <si>
    <t>Monto Final</t>
  </si>
  <si>
    <t>Monto de costo total</t>
  </si>
  <si>
    <t>Pedido:</t>
  </si>
  <si>
    <t>Feel</t>
  </si>
  <si>
    <t>Galaxy</t>
  </si>
  <si>
    <t>Visualizacion</t>
  </si>
  <si>
    <t>Tiras nececitan</t>
  </si>
  <si>
    <t>Tiras por lamina</t>
  </si>
  <si>
    <t>Separadores por lamina</t>
  </si>
  <si>
    <t>Laminas nececitan</t>
  </si>
  <si>
    <t>por 1000</t>
  </si>
  <si>
    <t>Luis+3+5</t>
  </si>
  <si>
    <t>Monto</t>
  </si>
  <si>
    <t>de 115 x 115</t>
  </si>
  <si>
    <t>de 124 x 126 micro</t>
  </si>
  <si>
    <t>Plancha</t>
  </si>
  <si>
    <t>Visualisacion</t>
  </si>
  <si>
    <t>Tiras por plancha</t>
  </si>
  <si>
    <t>Separadores por plancha</t>
  </si>
  <si>
    <t>Planchas nececitan</t>
  </si>
  <si>
    <t>Costo total:</t>
  </si>
  <si>
    <t>Final+4</t>
  </si>
  <si>
    <t>Monto cliente</t>
  </si>
  <si>
    <t>Costo Produccion</t>
  </si>
  <si>
    <t>Total Feel + Galaxy</t>
  </si>
  <si>
    <t>Modos:</t>
  </si>
  <si>
    <t>Planchas:</t>
  </si>
  <si>
    <t>quedo de Gala</t>
  </si>
  <si>
    <t>Separadores de 16 por tira</t>
  </si>
  <si>
    <t>Separadores de 18 por tira</t>
  </si>
  <si>
    <t>Plancha 72 x 128</t>
  </si>
  <si>
    <t>Plancha 62 x 128</t>
  </si>
  <si>
    <t>Gasto de laminas</t>
  </si>
  <si>
    <t>Precio final</t>
  </si>
  <si>
    <t>Precio Luis +3</t>
  </si>
  <si>
    <t>Precio Final</t>
  </si>
  <si>
    <t>Orden</t>
  </si>
  <si>
    <t>Separador</t>
  </si>
  <si>
    <t>Cuchillas</t>
  </si>
  <si>
    <t>Costo de Produccion</t>
  </si>
  <si>
    <t>50 % de ganancia</t>
  </si>
  <si>
    <t>Modo de cuchillas</t>
  </si>
  <si>
    <t>Planchas 62 x 126</t>
  </si>
  <si>
    <t>tiras nececitan</t>
  </si>
  <si>
    <t>Precios</t>
  </si>
  <si>
    <t>Precio de 1</t>
  </si>
  <si>
    <t xml:space="preserve">Costo </t>
  </si>
  <si>
    <t>Monto Ganancia</t>
  </si>
  <si>
    <t>477 separadores de 14 x 14 - empacar y regalar</t>
  </si>
  <si>
    <t>Costo (pagar  a Luis)</t>
  </si>
  <si>
    <t>Orden:</t>
  </si>
  <si>
    <t>Cuchillas:</t>
  </si>
  <si>
    <t>Plancas</t>
  </si>
  <si>
    <t>Tiras se nececitan:</t>
  </si>
  <si>
    <t>Salen:</t>
  </si>
  <si>
    <t>Tiras Nesecitan</t>
  </si>
  <si>
    <t>Planchas total :</t>
  </si>
  <si>
    <t>Total:</t>
  </si>
  <si>
    <t>Costo Carton:</t>
  </si>
  <si>
    <t>Monto total:</t>
  </si>
  <si>
    <t>Costo Produccion:</t>
  </si>
  <si>
    <t>Laminas liner 125:</t>
  </si>
  <si>
    <t>Tiras se nececita</t>
  </si>
  <si>
    <t>Modos de cuchillas</t>
  </si>
  <si>
    <t>Precio bueno + 8</t>
  </si>
  <si>
    <t>Precio Carton</t>
  </si>
  <si>
    <t>Costo de Produccion + 0,003</t>
  </si>
  <si>
    <t>Precio Deseado +0,008</t>
  </si>
  <si>
    <t>Costo produccion +3</t>
  </si>
  <si>
    <t>Precio deseado +8</t>
  </si>
  <si>
    <t>Precio Actual Jimena</t>
  </si>
  <si>
    <t>Precio Actual Ramiro</t>
  </si>
  <si>
    <t>Precio Actual</t>
  </si>
  <si>
    <t>Promedio:</t>
  </si>
  <si>
    <t>Planchas de</t>
  </si>
  <si>
    <t>Precio Acordado</t>
  </si>
  <si>
    <t>Monto a cobrar</t>
  </si>
  <si>
    <t>50% de ganancia</t>
  </si>
  <si>
    <t>Monto $</t>
  </si>
  <si>
    <t>Costo Produccion +0,003</t>
  </si>
  <si>
    <t>Precio +0,01</t>
  </si>
  <si>
    <t>Nesesitan</t>
  </si>
  <si>
    <t>Plancha:</t>
  </si>
  <si>
    <t>Monto Carton</t>
  </si>
  <si>
    <t>Diferencia</t>
  </si>
  <si>
    <t>Ahorro</t>
  </si>
  <si>
    <t>Precio+,01</t>
  </si>
  <si>
    <t>Заказ</t>
  </si>
  <si>
    <t>Ножи:</t>
  </si>
  <si>
    <t>полоски</t>
  </si>
  <si>
    <t>ширина</t>
  </si>
  <si>
    <t>длина</t>
  </si>
  <si>
    <t>цена</t>
  </si>
  <si>
    <t>количество</t>
  </si>
  <si>
    <t>стоим всех листов</t>
  </si>
  <si>
    <t>Итого:</t>
  </si>
  <si>
    <t>Ширина:</t>
  </si>
  <si>
    <t>ширина листа на ширину разделителя</t>
  </si>
  <si>
    <t>длина листа на ширину разделителя</t>
  </si>
  <si>
    <t>ширина листа на длину разделителя</t>
  </si>
  <si>
    <t>длина листа на длину разделителя</t>
  </si>
  <si>
    <t>Параметры заказа:</t>
  </si>
  <si>
    <t>Расчет заказа:</t>
  </si>
  <si>
    <t>Разделителей в полоске:</t>
  </si>
  <si>
    <t>Параметры используемых листов:</t>
  </si>
  <si>
    <t>Расстановка ножей (в ручную):</t>
  </si>
  <si>
    <t>Разделитель</t>
  </si>
  <si>
    <t>см</t>
  </si>
  <si>
    <t>в длину</t>
  </si>
  <si>
    <t>полосок</t>
  </si>
  <si>
    <t>разделителей в листе</t>
  </si>
  <si>
    <t>всего надо разделителей</t>
  </si>
  <si>
    <t>требуется листов</t>
  </si>
  <si>
    <t>% от заказа</t>
  </si>
  <si>
    <t>Обрезки, см2:</t>
  </si>
  <si>
    <t>Общая площадь заказа, см2</t>
  </si>
  <si>
    <t>Полосок из листа (Длина листа на длину разделителей), шт</t>
  </si>
  <si>
    <t>Колл-во разделителей в заказе, шт</t>
  </si>
  <si>
    <t>Ширина разделителя в заказе, см</t>
  </si>
  <si>
    <t>Длина разделителя в заказе, см</t>
  </si>
  <si>
    <t>Стоимость материала, всего, $</t>
  </si>
  <si>
    <t>стоимость за ед. разделителя, $</t>
  </si>
  <si>
    <t>стоимость произв + разделителя, $</t>
  </si>
  <si>
    <t>стоимость произв + разделителя + маржа, $</t>
  </si>
  <si>
    <t>Эффективная длина полоски, см</t>
  </si>
  <si>
    <t>ширина 1, см</t>
  </si>
  <si>
    <t>ширина 2, см</t>
  </si>
  <si>
    <t>ширина 3, см</t>
  </si>
  <si>
    <t>ширина 4, см</t>
  </si>
  <si>
    <t>ширина 5, см</t>
  </si>
  <si>
    <t>ширина 6, см</t>
  </si>
  <si>
    <t>ширина 7, см</t>
  </si>
  <si>
    <t>ширина 8, см</t>
  </si>
  <si>
    <t>Требуемое количество полосок</t>
  </si>
  <si>
    <t>Количество листов, шт</t>
  </si>
  <si>
    <t>необходимо полосок</t>
  </si>
  <si>
    <t>выходит полосок</t>
  </si>
  <si>
    <t>сохранить целые полоски</t>
  </si>
  <si>
    <t>Общая площадьлистов, см2</t>
  </si>
  <si>
    <t>Обрезки, см2</t>
  </si>
  <si>
    <t>Всего будет полосок, шт</t>
  </si>
  <si>
    <t>Площадь одного разделителя, см2</t>
  </si>
  <si>
    <t>Площадь одного листа, см2</t>
  </si>
  <si>
    <t>общая площадь листов</t>
  </si>
  <si>
    <t>Обрезки:</t>
  </si>
  <si>
    <t>24*18</t>
  </si>
  <si>
    <t>14*18</t>
  </si>
  <si>
    <t>15*18</t>
  </si>
  <si>
    <t>16*18</t>
  </si>
  <si>
    <t>17*18</t>
  </si>
  <si>
    <t>18*18</t>
  </si>
  <si>
    <t>Площадь 24</t>
  </si>
  <si>
    <t>необходимо разделителей</t>
  </si>
  <si>
    <t>выходит разделителей</t>
  </si>
  <si>
    <t>сохранить целые разделители</t>
  </si>
  <si>
    <t>Разделители:</t>
  </si>
  <si>
    <t>Площадь:</t>
  </si>
  <si>
    <t>Полоски:</t>
  </si>
  <si>
    <t>Общая площадь листов</t>
  </si>
  <si>
    <t>L</t>
  </si>
  <si>
    <t>N</t>
  </si>
  <si>
    <t>длина заготовки, см</t>
  </si>
  <si>
    <t>количество заготовок, см</t>
  </si>
  <si>
    <t>Деталей в комплекте</t>
  </si>
  <si>
    <t>Получено деталей</t>
  </si>
  <si>
    <t>Деталь</t>
  </si>
  <si>
    <t>Длина, мм</t>
  </si>
  <si>
    <t>№1</t>
  </si>
  <si>
    <t>№2</t>
  </si>
  <si>
    <t>№3</t>
  </si>
  <si>
    <t>Отходы, мм</t>
  </si>
  <si>
    <t>Количество заготовок</t>
  </si>
  <si>
    <t>Варианты раскроя</t>
  </si>
  <si>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</si>
  <si>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</si>
  <si>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</si>
  <si>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</si>
  <si>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</si>
  <si>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</si>
  <si>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</si>
  <si>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</si>
  <si>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</si>
  <si>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х10</t>
  </si>
  <si>
    <t>х11</t>
  </si>
  <si>
    <t>х12</t>
  </si>
  <si>
    <t>х13</t>
  </si>
  <si>
    <t>х14</t>
  </si>
  <si>
    <t>х15</t>
  </si>
  <si>
    <t>х16</t>
  </si>
  <si>
    <t>х17</t>
  </si>
  <si>
    <t>х18</t>
  </si>
  <si>
    <t>х19</t>
  </si>
  <si>
    <t>Целевая функция</t>
  </si>
  <si>
    <t>V</t>
  </si>
  <si>
    <t>K</t>
  </si>
  <si>
    <t>Ограничения</t>
  </si>
  <si>
    <t>=</t>
  </si>
  <si>
    <t>общая длина отходов, мм</t>
  </si>
  <si>
    <t>min</t>
  </si>
  <si>
    <t>общая доля отходов</t>
  </si>
  <si>
    <t>W, %</t>
  </si>
  <si>
    <t>ограничение по комплектности (Детали №1 и №2)</t>
  </si>
  <si>
    <t>ограничение по комплектности (Детали №2 и №3)</t>
  </si>
  <si>
    <t>ограничение по общему числу заготовок</t>
  </si>
  <si>
    <t>Полосок в заказе</t>
  </si>
  <si>
    <t>длина заказа</t>
  </si>
  <si>
    <t>длина материала</t>
  </si>
  <si>
    <t>Общая доля отходов</t>
  </si>
  <si>
    <t>нет</t>
  </si>
  <si>
    <t>да</t>
  </si>
  <si>
    <t>№4</t>
  </si>
  <si>
    <t>х20</t>
  </si>
  <si>
    <t>х21</t>
  </si>
  <si>
    <t>Значение целевой функции = 73.000000</t>
  </si>
  <si>
    <t xml:space="preserve"> 'x_29'</t>
  </si>
  <si>
    <t xml:space="preserve"> 'x_33'</t>
  </si>
  <si>
    <t xml:space="preserve"> 'x_34'</t>
  </si>
  <si>
    <t xml:space="preserve"> 'x_35'</t>
  </si>
  <si>
    <t xml:space="preserve"> 'x_40'</t>
  </si>
  <si>
    <t xml:space="preserve"> 'x_41'</t>
  </si>
  <si>
    <t xml:space="preserve"> 'x_42'</t>
  </si>
  <si>
    <t xml:space="preserve"> 'x_43'</t>
  </si>
  <si>
    <t xml:space="preserve"> 'x_44'</t>
  </si>
  <si>
    <t xml:space="preserve"> 'x_45'</t>
  </si>
  <si>
    <t xml:space="preserve"> 'x_46'</t>
  </si>
  <si>
    <t>x_22'</t>
  </si>
  <si>
    <t>Требуемое количество листов</t>
  </si>
  <si>
    <t>обрезки всего:</t>
  </si>
  <si>
    <t>расчет:</t>
  </si>
  <si>
    <t>заказ:</t>
  </si>
  <si>
    <t>Листов:</t>
  </si>
  <si>
    <t>Всего листов:</t>
  </si>
  <si>
    <t>остатки</t>
  </si>
  <si>
    <t>листы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</si>
</sst>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58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3">
    <xf numFmtId="0" fontId="0" fillId="0" borderId="0" xfId="0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5" fillId="0" borderId="0" xfId="0" applyFont="1"/>
    <xf numFmtId="0" fontId="4" fillId="0" borderId="0" xfId="0" applyFont="1"/>
    <xf numFmtId="9" fontId="8" fillId="0" borderId="0" xfId="0" applyNumberFormat="1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8" fillId="0" borderId="0" xfId="0" applyNumberFormat="1" applyFont="1"/>
    <xf numFmtId="166" fontId="8" fillId="0" borderId="0" xfId="0" applyNumberFormat="1" applyFont="1"/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8" fillId="0" borderId="3" xfId="0" applyFont="1" applyBorder="1"/>
    <xf numFmtId="0" fontId="8" fillId="0" borderId="8" xfId="0" applyFont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/>
    <xf numFmtId="164" fontId="0" fillId="0" borderId="3" xfId="0" applyNumberFormat="1" applyBorder="1"/>
    <xf numFmtId="0" fontId="8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3" fillId="0" borderId="11" xfId="0" applyFont="1" applyBorder="1"/>
    <xf numFmtId="0" fontId="0" fillId="0" borderId="11" xfId="0" applyBorder="1"/>
    <xf numFmtId="0" fontId="0" fillId="0" borderId="12" xfId="0" applyBorder="1"/>
    <xf numFmtId="164" fontId="0" fillId="0" borderId="14" xfId="0" applyNumberForma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3" xfId="0" applyFont="1" applyBorder="1" applyAlignment="1">
      <alignment horizontal="center"/>
    </xf>
    <xf numFmtId="2" fontId="0" fillId="0" borderId="14" xfId="0" applyNumberFormat="1" applyBorder="1"/>
    <xf numFmtId="165" fontId="0" fillId="0" borderId="16" xfId="0" applyNumberFormat="1" applyBorder="1"/>
    <xf numFmtId="2" fontId="8" fillId="0" borderId="17" xfId="0" applyNumberFormat="1" applyFont="1" applyBorder="1"/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164" fontId="0" fillId="6" borderId="3" xfId="0" applyNumberFormat="1" applyFill="1" applyBorder="1"/>
    <xf numFmtId="2" fontId="0" fillId="0" borderId="3" xfId="0" applyNumberFormat="1" applyBorder="1"/>
    <xf numFmtId="165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/>
    </xf>
    <xf numFmtId="0" fontId="8" fillId="3" borderId="3" xfId="0" applyFont="1" applyFill="1" applyBorder="1"/>
    <xf numFmtId="164" fontId="0" fillId="3" borderId="3" xfId="0" applyNumberFormat="1" applyFill="1" applyBorder="1"/>
    <xf numFmtId="0" fontId="0" fillId="0" borderId="19" xfId="0" applyBorder="1"/>
    <xf numFmtId="0" fontId="0" fillId="0" borderId="3" xfId="0" applyBorder="1" applyAlignment="1">
      <alignment wrapText="1"/>
    </xf>
    <xf numFmtId="0" fontId="0" fillId="0" borderId="18" xfId="0" applyBorder="1"/>
    <xf numFmtId="0" fontId="0" fillId="3" borderId="0" xfId="0" applyFill="1"/>
    <xf numFmtId="0" fontId="0" fillId="9" borderId="0" xfId="0" applyFill="1"/>
    <xf numFmtId="0" fontId="0" fillId="6" borderId="0" xfId="0" applyFill="1"/>
    <xf numFmtId="164" fontId="0" fillId="12" borderId="3" xfId="0" applyNumberFormat="1" applyFill="1" applyBorder="1"/>
    <xf numFmtId="0" fontId="0" fillId="0" borderId="21" xfId="0" applyBorder="1"/>
    <xf numFmtId="0" fontId="0" fillId="0" borderId="22" xfId="0" applyBorder="1"/>
    <xf numFmtId="0" fontId="0" fillId="0" borderId="6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25" xfId="0" applyBorder="1"/>
    <xf numFmtId="0" fontId="0" fillId="0" borderId="7" xfId="0" applyBorder="1"/>
    <xf numFmtId="0" fontId="0" fillId="0" borderId="8" xfId="0" applyBorder="1"/>
    <xf numFmtId="0" fontId="0" fillId="0" borderId="27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0" fontId="0" fillId="4" borderId="0" xfId="0" applyFill="1"/>
    <xf numFmtId="0" fontId="0" fillId="12" borderId="0" xfId="0" applyFill="1"/>
    <xf numFmtId="0" fontId="0" fillId="3" borderId="2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6" xfId="0" applyFill="1" applyBorder="1"/>
    <xf numFmtId="0" fontId="0" fillId="0" borderId="46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0" xfId="1"/>
    <xf numFmtId="0" fontId="1" fillId="0" borderId="10" xfId="1" applyBorder="1"/>
    <xf numFmtId="0" fontId="1" fillId="0" borderId="11" xfId="1" applyBorder="1"/>
    <xf numFmtId="0" fontId="1" fillId="0" borderId="24" xfId="1" applyBorder="1" applyAlignment="1">
      <alignment horizontal="center" vertical="center"/>
    </xf>
    <xf numFmtId="0" fontId="1" fillId="0" borderId="12" xfId="1" applyBorder="1"/>
    <xf numFmtId="0" fontId="1" fillId="0" borderId="0" xfId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3" borderId="0" xfId="1" applyFill="1"/>
    <xf numFmtId="0" fontId="0" fillId="13" borderId="53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0" xfId="0" quotePrefix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2" fontId="0" fillId="12" borderId="27" xfId="0" applyNumberFormat="1" applyFill="1" applyBorder="1" applyAlignment="1">
      <alignment horizontal="center" vertical="center"/>
    </xf>
    <xf numFmtId="2" fontId="0" fillId="12" borderId="41" xfId="0" applyNumberFormat="1" applyFill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13" borderId="0" xfId="0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4" borderId="0" xfId="0" applyFill="1"/>
    <xf numFmtId="0" fontId="0" fillId="15" borderId="15" xfId="0" applyFill="1" applyBorder="1"/>
    <xf numFmtId="0" fontId="0" fillId="15" borderId="16" xfId="0" applyFill="1" applyBorder="1"/>
    <xf numFmtId="0" fontId="0" fillId="15" borderId="16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7" borderId="3" xfId="0" applyFill="1" applyBorder="1"/>
    <xf numFmtId="0" fontId="0" fillId="13" borderId="3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</cellXfs>
  <cellStyles count="2">
    <cellStyle name="Обычный" xfId="0" builtinId="0"/>
    <cellStyle name="Обычный 2" xfId="1" xr:uid="{3703BF21-1202-4846-94BB-791D2645494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2</xdr:col>
      <xdr:colOff>504000</xdr:colOff>
      <xdr:row>30</xdr:row>
      <xdr:rowOff>180000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793A36D1-9EE1-407E-A6AF-A5DC8698B125}"/>
            </a:ext>
          </a:extLst>
        </xdr:cNvPr>
        <xdr:cNvSpPr/>
      </xdr:nvSpPr>
      <xdr:spPr>
        <a:xfrm>
          <a:off x="1219200" y="5562600"/>
          <a:ext cx="504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2</xdr:col>
      <xdr:colOff>505325</xdr:colOff>
      <xdr:row>30</xdr:row>
      <xdr:rowOff>0</xdr:rowOff>
    </xdr:from>
    <xdr:to>
      <xdr:col>3</xdr:col>
      <xdr:colOff>399725</xdr:colOff>
      <xdr:row>30</xdr:row>
      <xdr:rowOff>180000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068349C3-364F-4F5D-818C-BE2EC102A906}"/>
            </a:ext>
          </a:extLst>
        </xdr:cNvPr>
        <xdr:cNvSpPr/>
      </xdr:nvSpPr>
      <xdr:spPr>
        <a:xfrm>
          <a:off x="1724525" y="5562600"/>
          <a:ext cx="504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3</xdr:col>
      <xdr:colOff>397042</xdr:colOff>
      <xdr:row>30</xdr:row>
      <xdr:rowOff>1</xdr:rowOff>
    </xdr:from>
    <xdr:to>
      <xdr:col>4</xdr:col>
      <xdr:colOff>291442</xdr:colOff>
      <xdr:row>30</xdr:row>
      <xdr:rowOff>180001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8F80302B-95C4-4794-85FE-17E286ED450F}"/>
            </a:ext>
          </a:extLst>
        </xdr:cNvPr>
        <xdr:cNvSpPr/>
      </xdr:nvSpPr>
      <xdr:spPr>
        <a:xfrm>
          <a:off x="2225842" y="5562601"/>
          <a:ext cx="504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4</xdr:col>
      <xdr:colOff>292767</xdr:colOff>
      <xdr:row>30</xdr:row>
      <xdr:rowOff>1</xdr:rowOff>
    </xdr:from>
    <xdr:to>
      <xdr:col>5</xdr:col>
      <xdr:colOff>187167</xdr:colOff>
      <xdr:row>30</xdr:row>
      <xdr:rowOff>180001</xdr:rowOff>
    </xdr:to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F767E920-A9F4-4CBD-8AC2-9CF94CB13C86}"/>
            </a:ext>
          </a:extLst>
        </xdr:cNvPr>
        <xdr:cNvSpPr/>
      </xdr:nvSpPr>
      <xdr:spPr>
        <a:xfrm>
          <a:off x="2731167" y="5562601"/>
          <a:ext cx="504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5</xdr:col>
      <xdr:colOff>188493</xdr:colOff>
      <xdr:row>30</xdr:row>
      <xdr:rowOff>0</xdr:rowOff>
    </xdr:from>
    <xdr:to>
      <xdr:col>6</xdr:col>
      <xdr:colOff>82893</xdr:colOff>
      <xdr:row>30</xdr:row>
      <xdr:rowOff>180000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BEA42FC3-054E-467A-9FF4-AFF6938E631B}"/>
            </a:ext>
          </a:extLst>
        </xdr:cNvPr>
        <xdr:cNvSpPr/>
      </xdr:nvSpPr>
      <xdr:spPr>
        <a:xfrm>
          <a:off x="3236493" y="5562600"/>
          <a:ext cx="504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6</xdr:col>
      <xdr:colOff>85825</xdr:colOff>
      <xdr:row>30</xdr:row>
      <xdr:rowOff>1</xdr:rowOff>
    </xdr:from>
    <xdr:to>
      <xdr:col>7</xdr:col>
      <xdr:colOff>16225</xdr:colOff>
      <xdr:row>30</xdr:row>
      <xdr:rowOff>180001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98313B43-D920-4103-9C17-98AB2394F663}"/>
            </a:ext>
          </a:extLst>
        </xdr:cNvPr>
        <xdr:cNvSpPr/>
      </xdr:nvSpPr>
      <xdr:spPr>
        <a:xfrm>
          <a:off x="3743425" y="5562601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7</xdr:col>
      <xdr:colOff>17646</xdr:colOff>
      <xdr:row>30</xdr:row>
      <xdr:rowOff>0</xdr:rowOff>
    </xdr:from>
    <xdr:to>
      <xdr:col>7</xdr:col>
      <xdr:colOff>557646</xdr:colOff>
      <xdr:row>30</xdr:row>
      <xdr:rowOff>180000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F77CFC8B-6792-4E94-AC19-B5A36D83E995}"/>
            </a:ext>
          </a:extLst>
        </xdr:cNvPr>
        <xdr:cNvSpPr/>
      </xdr:nvSpPr>
      <xdr:spPr>
        <a:xfrm>
          <a:off x="4284846" y="5562600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7</xdr:col>
      <xdr:colOff>559066</xdr:colOff>
      <xdr:row>30</xdr:row>
      <xdr:rowOff>0</xdr:rowOff>
    </xdr:from>
    <xdr:to>
      <xdr:col>8</xdr:col>
      <xdr:colOff>489466</xdr:colOff>
      <xdr:row>30</xdr:row>
      <xdr:rowOff>180000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6513CE58-C614-436F-BACC-880758575600}"/>
            </a:ext>
          </a:extLst>
        </xdr:cNvPr>
        <xdr:cNvSpPr/>
      </xdr:nvSpPr>
      <xdr:spPr>
        <a:xfrm>
          <a:off x="4826266" y="5562600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2</xdr:col>
      <xdr:colOff>0</xdr:colOff>
      <xdr:row>36</xdr:row>
      <xdr:rowOff>1</xdr:rowOff>
    </xdr:from>
    <xdr:to>
      <xdr:col>2</xdr:col>
      <xdr:colOff>540000</xdr:colOff>
      <xdr:row>36</xdr:row>
      <xdr:rowOff>180001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6C054A02-2FCC-4DF5-9AAA-27C07F01ADCB}"/>
            </a:ext>
          </a:extLst>
        </xdr:cNvPr>
        <xdr:cNvSpPr/>
      </xdr:nvSpPr>
      <xdr:spPr>
        <a:xfrm>
          <a:off x="1219200" y="6675121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2</xdr:col>
      <xdr:colOff>541421</xdr:colOff>
      <xdr:row>36</xdr:row>
      <xdr:rowOff>0</xdr:rowOff>
    </xdr:from>
    <xdr:to>
      <xdr:col>3</xdr:col>
      <xdr:colOff>471821</xdr:colOff>
      <xdr:row>36</xdr:row>
      <xdr:rowOff>180000</xdr:rowOff>
    </xdr:to>
    <xdr:sp macro="" textlink="">
      <xdr:nvSpPr>
        <xdr:cNvPr id="11" name="Прямоугольник 10">
          <a:extLst>
            <a:ext uri="{FF2B5EF4-FFF2-40B4-BE49-F238E27FC236}">
              <a16:creationId xmlns:a16="http://schemas.microsoft.com/office/drawing/2014/main" id="{93DE6F51-9FA9-431A-927B-9401D5C0D2AE}"/>
            </a:ext>
          </a:extLst>
        </xdr:cNvPr>
        <xdr:cNvSpPr/>
      </xdr:nvSpPr>
      <xdr:spPr>
        <a:xfrm>
          <a:off x="1760621" y="6675120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3</xdr:col>
      <xdr:colOff>473241</xdr:colOff>
      <xdr:row>36</xdr:row>
      <xdr:rowOff>0</xdr:rowOff>
    </xdr:from>
    <xdr:to>
      <xdr:col>4</xdr:col>
      <xdr:colOff>403641</xdr:colOff>
      <xdr:row>36</xdr:row>
      <xdr:rowOff>180000</xdr:rowOff>
    </xdr:to>
    <xdr:sp macro="" textlink="">
      <xdr:nvSpPr>
        <xdr:cNvPr id="12" name="Прямоугольник 11">
          <a:extLst>
            <a:ext uri="{FF2B5EF4-FFF2-40B4-BE49-F238E27FC236}">
              <a16:creationId xmlns:a16="http://schemas.microsoft.com/office/drawing/2014/main" id="{4216C9F5-7706-4FD2-9F6E-1B1A004AB9C9}"/>
            </a:ext>
          </a:extLst>
        </xdr:cNvPr>
        <xdr:cNvSpPr/>
      </xdr:nvSpPr>
      <xdr:spPr>
        <a:xfrm>
          <a:off x="2302041" y="6675120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2</xdr:col>
      <xdr:colOff>0</xdr:colOff>
      <xdr:row>23</xdr:row>
      <xdr:rowOff>192505</xdr:rowOff>
    </xdr:from>
    <xdr:to>
      <xdr:col>2</xdr:col>
      <xdr:colOff>576000</xdr:colOff>
      <xdr:row>24</xdr:row>
      <xdr:rowOff>180000</xdr:rowOff>
    </xdr:to>
    <xdr:sp macro="" textlink="">
      <xdr:nvSpPr>
        <xdr:cNvPr id="13" name="Прямоугольник 12">
          <a:extLst>
            <a:ext uri="{FF2B5EF4-FFF2-40B4-BE49-F238E27FC236}">
              <a16:creationId xmlns:a16="http://schemas.microsoft.com/office/drawing/2014/main" id="{B0845D28-FD99-41BD-B608-0F3F2DCBDB80}"/>
            </a:ext>
          </a:extLst>
        </xdr:cNvPr>
        <xdr:cNvSpPr/>
      </xdr:nvSpPr>
      <xdr:spPr>
        <a:xfrm>
          <a:off x="1219200" y="4452085"/>
          <a:ext cx="576000" cy="1779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2</xdr:col>
      <xdr:colOff>577515</xdr:colOff>
      <xdr:row>23</xdr:row>
      <xdr:rowOff>192505</xdr:rowOff>
    </xdr:from>
    <xdr:to>
      <xdr:col>3</xdr:col>
      <xdr:colOff>543915</xdr:colOff>
      <xdr:row>24</xdr:row>
      <xdr:rowOff>180000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41DA3FD9-A954-4D74-8D28-8036AFBFD7AB}"/>
            </a:ext>
          </a:extLst>
        </xdr:cNvPr>
        <xdr:cNvSpPr/>
      </xdr:nvSpPr>
      <xdr:spPr>
        <a:xfrm>
          <a:off x="1796715" y="4452085"/>
          <a:ext cx="576000" cy="1779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5</xdr:col>
      <xdr:colOff>481263</xdr:colOff>
      <xdr:row>23</xdr:row>
      <xdr:rowOff>192505</xdr:rowOff>
    </xdr:from>
    <xdr:to>
      <xdr:col>6</xdr:col>
      <xdr:colOff>447663</xdr:colOff>
      <xdr:row>24</xdr:row>
      <xdr:rowOff>180000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A461A367-33D9-4D0A-8D27-C96604060468}"/>
            </a:ext>
          </a:extLst>
        </xdr:cNvPr>
        <xdr:cNvSpPr/>
      </xdr:nvSpPr>
      <xdr:spPr>
        <a:xfrm>
          <a:off x="3529263" y="4452085"/>
          <a:ext cx="576000" cy="1779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3</xdr:col>
      <xdr:colOff>545428</xdr:colOff>
      <xdr:row>23</xdr:row>
      <xdr:rowOff>192505</xdr:rowOff>
    </xdr:from>
    <xdr:to>
      <xdr:col>4</xdr:col>
      <xdr:colOff>511828</xdr:colOff>
      <xdr:row>24</xdr:row>
      <xdr:rowOff>180000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F5FCADF5-05F6-41C6-B03F-8301501F887C}"/>
            </a:ext>
          </a:extLst>
        </xdr:cNvPr>
        <xdr:cNvSpPr/>
      </xdr:nvSpPr>
      <xdr:spPr>
        <a:xfrm>
          <a:off x="2374228" y="4452085"/>
          <a:ext cx="576000" cy="1779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4</xdr:col>
      <xdr:colOff>513343</xdr:colOff>
      <xdr:row>23</xdr:row>
      <xdr:rowOff>192505</xdr:rowOff>
    </xdr:from>
    <xdr:to>
      <xdr:col>5</xdr:col>
      <xdr:colOff>479743</xdr:colOff>
      <xdr:row>24</xdr:row>
      <xdr:rowOff>180000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127A71FB-212F-46B4-9E71-98D74324B740}"/>
            </a:ext>
          </a:extLst>
        </xdr:cNvPr>
        <xdr:cNvSpPr/>
      </xdr:nvSpPr>
      <xdr:spPr>
        <a:xfrm>
          <a:off x="2951743" y="4452085"/>
          <a:ext cx="576000" cy="1779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6</xdr:col>
      <xdr:colOff>453179</xdr:colOff>
      <xdr:row>24</xdr:row>
      <xdr:rowOff>1</xdr:rowOff>
    </xdr:from>
    <xdr:to>
      <xdr:col>7</xdr:col>
      <xdr:colOff>455579</xdr:colOff>
      <xdr:row>24</xdr:row>
      <xdr:rowOff>180001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B8B0B241-9245-432C-9CF2-100465D5517F}"/>
            </a:ext>
          </a:extLst>
        </xdr:cNvPr>
        <xdr:cNvSpPr/>
      </xdr:nvSpPr>
      <xdr:spPr>
        <a:xfrm>
          <a:off x="4110779" y="4450081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7</xdr:col>
      <xdr:colOff>457197</xdr:colOff>
      <xdr:row>24</xdr:row>
      <xdr:rowOff>1</xdr:rowOff>
    </xdr:from>
    <xdr:to>
      <xdr:col>8</xdr:col>
      <xdr:colOff>495597</xdr:colOff>
      <xdr:row>24</xdr:row>
      <xdr:rowOff>180001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0352FDC0-A94E-4ED3-BED2-C1459216B047}"/>
            </a:ext>
          </a:extLst>
        </xdr:cNvPr>
        <xdr:cNvSpPr/>
      </xdr:nvSpPr>
      <xdr:spPr>
        <a:xfrm>
          <a:off x="4724397" y="4450081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2</xdr:col>
      <xdr:colOff>0</xdr:colOff>
      <xdr:row>18</xdr:row>
      <xdr:rowOff>2</xdr:rowOff>
    </xdr:from>
    <xdr:to>
      <xdr:col>2</xdr:col>
      <xdr:colOff>504000</xdr:colOff>
      <xdr:row>18</xdr:row>
      <xdr:rowOff>180002</xdr:rowOff>
    </xdr:to>
    <xdr:sp macro="" textlink="">
      <xdr:nvSpPr>
        <xdr:cNvPr id="20" name="Прямоугольник 19">
          <a:extLst>
            <a:ext uri="{FF2B5EF4-FFF2-40B4-BE49-F238E27FC236}">
              <a16:creationId xmlns:a16="http://schemas.microsoft.com/office/drawing/2014/main" id="{03FD7AB5-3319-4DAD-B9C2-8549B6DA5B16}"/>
            </a:ext>
          </a:extLst>
        </xdr:cNvPr>
        <xdr:cNvSpPr/>
      </xdr:nvSpPr>
      <xdr:spPr>
        <a:xfrm>
          <a:off x="1219200" y="3337562"/>
          <a:ext cx="504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2</xdr:col>
      <xdr:colOff>505325</xdr:colOff>
      <xdr:row>18</xdr:row>
      <xdr:rowOff>2</xdr:rowOff>
    </xdr:from>
    <xdr:to>
      <xdr:col>3</xdr:col>
      <xdr:colOff>399725</xdr:colOff>
      <xdr:row>18</xdr:row>
      <xdr:rowOff>180002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50158904-A782-400E-8605-7E0FE0298FB1}"/>
            </a:ext>
          </a:extLst>
        </xdr:cNvPr>
        <xdr:cNvSpPr/>
      </xdr:nvSpPr>
      <xdr:spPr>
        <a:xfrm>
          <a:off x="1724525" y="3337562"/>
          <a:ext cx="504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3</xdr:col>
      <xdr:colOff>398640</xdr:colOff>
      <xdr:row>18</xdr:row>
      <xdr:rowOff>0</xdr:rowOff>
    </xdr:from>
    <xdr:to>
      <xdr:col>4</xdr:col>
      <xdr:colOff>365040</xdr:colOff>
      <xdr:row>18</xdr:row>
      <xdr:rowOff>180000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CA31AB98-6667-4F2A-A033-C50C23CE0E2F}"/>
            </a:ext>
          </a:extLst>
        </xdr:cNvPr>
        <xdr:cNvSpPr/>
      </xdr:nvSpPr>
      <xdr:spPr>
        <a:xfrm>
          <a:off x="2227440" y="3337560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4</xdr:col>
      <xdr:colOff>366547</xdr:colOff>
      <xdr:row>18</xdr:row>
      <xdr:rowOff>2</xdr:rowOff>
    </xdr:from>
    <xdr:to>
      <xdr:col>5</xdr:col>
      <xdr:colOff>368947</xdr:colOff>
      <xdr:row>18</xdr:row>
      <xdr:rowOff>180002</xdr:rowOff>
    </xdr:to>
    <xdr:sp macro="" textlink="">
      <xdr:nvSpPr>
        <xdr:cNvPr id="23" name="Прямоугольник 22">
          <a:extLst>
            <a:ext uri="{FF2B5EF4-FFF2-40B4-BE49-F238E27FC236}">
              <a16:creationId xmlns:a16="http://schemas.microsoft.com/office/drawing/2014/main" id="{5EA32B45-57F5-4993-91D8-CA090918FB4F}"/>
            </a:ext>
          </a:extLst>
        </xdr:cNvPr>
        <xdr:cNvSpPr/>
      </xdr:nvSpPr>
      <xdr:spPr>
        <a:xfrm>
          <a:off x="2804947" y="3337562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5</xdr:col>
      <xdr:colOff>370565</xdr:colOff>
      <xdr:row>18</xdr:row>
      <xdr:rowOff>2</xdr:rowOff>
    </xdr:from>
    <xdr:to>
      <xdr:col>6</xdr:col>
      <xdr:colOff>408965</xdr:colOff>
      <xdr:row>18</xdr:row>
      <xdr:rowOff>180002</xdr:rowOff>
    </xdr:to>
    <xdr:sp macro="" textlink="">
      <xdr:nvSpPr>
        <xdr:cNvPr id="24" name="Прямоугольник 23">
          <a:extLst>
            <a:ext uri="{FF2B5EF4-FFF2-40B4-BE49-F238E27FC236}">
              <a16:creationId xmlns:a16="http://schemas.microsoft.com/office/drawing/2014/main" id="{7A697DFE-6714-4A54-981F-C77ED0FAE834}"/>
            </a:ext>
          </a:extLst>
        </xdr:cNvPr>
        <xdr:cNvSpPr/>
      </xdr:nvSpPr>
      <xdr:spPr>
        <a:xfrm>
          <a:off x="3418565" y="3337562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6</xdr:col>
      <xdr:colOff>410669</xdr:colOff>
      <xdr:row>18</xdr:row>
      <xdr:rowOff>4</xdr:rowOff>
    </xdr:from>
    <xdr:to>
      <xdr:col>7</xdr:col>
      <xdr:colOff>449069</xdr:colOff>
      <xdr:row>18</xdr:row>
      <xdr:rowOff>180004</xdr:rowOff>
    </xdr:to>
    <xdr:sp macro="" textlink="">
      <xdr:nvSpPr>
        <xdr:cNvPr id="25" name="Прямоугольник 24">
          <a:extLst>
            <a:ext uri="{FF2B5EF4-FFF2-40B4-BE49-F238E27FC236}">
              <a16:creationId xmlns:a16="http://schemas.microsoft.com/office/drawing/2014/main" id="{4E2085E9-0999-4A9A-80FC-D3AE33FA943A}"/>
            </a:ext>
          </a:extLst>
        </xdr:cNvPr>
        <xdr:cNvSpPr/>
      </xdr:nvSpPr>
      <xdr:spPr>
        <a:xfrm>
          <a:off x="4068269" y="3337564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7</xdr:col>
      <xdr:colOff>450773</xdr:colOff>
      <xdr:row>18</xdr:row>
      <xdr:rowOff>4</xdr:rowOff>
    </xdr:from>
    <xdr:to>
      <xdr:col>8</xdr:col>
      <xdr:colOff>489173</xdr:colOff>
      <xdr:row>18</xdr:row>
      <xdr:rowOff>180004</xdr:rowOff>
    </xdr:to>
    <xdr:sp macro="" textlink="">
      <xdr:nvSpPr>
        <xdr:cNvPr id="26" name="Прямоугольник 25">
          <a:extLst>
            <a:ext uri="{FF2B5EF4-FFF2-40B4-BE49-F238E27FC236}">
              <a16:creationId xmlns:a16="http://schemas.microsoft.com/office/drawing/2014/main" id="{0AE68245-4801-4F37-B205-2B5959B07867}"/>
            </a:ext>
          </a:extLst>
        </xdr:cNvPr>
        <xdr:cNvSpPr/>
      </xdr:nvSpPr>
      <xdr:spPr>
        <a:xfrm>
          <a:off x="4717973" y="3337564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2</xdr:col>
      <xdr:colOff>0</xdr:colOff>
      <xdr:row>12</xdr:row>
      <xdr:rowOff>2</xdr:rowOff>
    </xdr:from>
    <xdr:to>
      <xdr:col>2</xdr:col>
      <xdr:colOff>540000</xdr:colOff>
      <xdr:row>12</xdr:row>
      <xdr:rowOff>180002</xdr:rowOff>
    </xdr:to>
    <xdr:sp macro="" textlink="">
      <xdr:nvSpPr>
        <xdr:cNvPr id="27" name="Прямоугольник 26">
          <a:extLst>
            <a:ext uri="{FF2B5EF4-FFF2-40B4-BE49-F238E27FC236}">
              <a16:creationId xmlns:a16="http://schemas.microsoft.com/office/drawing/2014/main" id="{6B67423E-8859-4884-B19B-C832C96B4418}"/>
            </a:ext>
          </a:extLst>
        </xdr:cNvPr>
        <xdr:cNvSpPr/>
      </xdr:nvSpPr>
      <xdr:spPr>
        <a:xfrm>
          <a:off x="1219200" y="2225042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2</xdr:col>
      <xdr:colOff>541421</xdr:colOff>
      <xdr:row>12</xdr:row>
      <xdr:rowOff>1</xdr:rowOff>
    </xdr:from>
    <xdr:to>
      <xdr:col>3</xdr:col>
      <xdr:colOff>471821</xdr:colOff>
      <xdr:row>12</xdr:row>
      <xdr:rowOff>180001</xdr:rowOff>
    </xdr:to>
    <xdr:sp macro="" textlink="">
      <xdr:nvSpPr>
        <xdr:cNvPr id="28" name="Прямоугольник 27">
          <a:extLst>
            <a:ext uri="{FF2B5EF4-FFF2-40B4-BE49-F238E27FC236}">
              <a16:creationId xmlns:a16="http://schemas.microsoft.com/office/drawing/2014/main" id="{C287923D-5A48-4489-ABE9-2880FF5D3128}"/>
            </a:ext>
          </a:extLst>
        </xdr:cNvPr>
        <xdr:cNvSpPr/>
      </xdr:nvSpPr>
      <xdr:spPr>
        <a:xfrm>
          <a:off x="1760621" y="2225041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3</xdr:col>
      <xdr:colOff>477252</xdr:colOff>
      <xdr:row>12</xdr:row>
      <xdr:rowOff>1</xdr:rowOff>
    </xdr:from>
    <xdr:to>
      <xdr:col>4</xdr:col>
      <xdr:colOff>407652</xdr:colOff>
      <xdr:row>12</xdr:row>
      <xdr:rowOff>180001</xdr:rowOff>
    </xdr:to>
    <xdr:sp macro="" textlink="">
      <xdr:nvSpPr>
        <xdr:cNvPr id="29" name="Прямоугольник 28">
          <a:extLst>
            <a:ext uri="{FF2B5EF4-FFF2-40B4-BE49-F238E27FC236}">
              <a16:creationId xmlns:a16="http://schemas.microsoft.com/office/drawing/2014/main" id="{A5F4C147-2B40-4491-B5C3-CE1AA3AF237D}"/>
            </a:ext>
          </a:extLst>
        </xdr:cNvPr>
        <xdr:cNvSpPr/>
      </xdr:nvSpPr>
      <xdr:spPr>
        <a:xfrm>
          <a:off x="2306052" y="2225041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4</xdr:col>
      <xdr:colOff>409073</xdr:colOff>
      <xdr:row>12</xdr:row>
      <xdr:rowOff>0</xdr:rowOff>
    </xdr:from>
    <xdr:to>
      <xdr:col>5</xdr:col>
      <xdr:colOff>339473</xdr:colOff>
      <xdr:row>12</xdr:row>
      <xdr:rowOff>180000</xdr:rowOff>
    </xdr:to>
    <xdr:sp macro="" textlink="">
      <xdr:nvSpPr>
        <xdr:cNvPr id="30" name="Прямоугольник 29">
          <a:extLst>
            <a:ext uri="{FF2B5EF4-FFF2-40B4-BE49-F238E27FC236}">
              <a16:creationId xmlns:a16="http://schemas.microsoft.com/office/drawing/2014/main" id="{8C017E8B-00D1-4E58-BB9E-AF5EE2331D3C}"/>
            </a:ext>
          </a:extLst>
        </xdr:cNvPr>
        <xdr:cNvSpPr/>
      </xdr:nvSpPr>
      <xdr:spPr>
        <a:xfrm>
          <a:off x="2847473" y="2225040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5</xdr:col>
      <xdr:colOff>340893</xdr:colOff>
      <xdr:row>12</xdr:row>
      <xdr:rowOff>1</xdr:rowOff>
    </xdr:from>
    <xdr:to>
      <xdr:col>6</xdr:col>
      <xdr:colOff>379293</xdr:colOff>
      <xdr:row>12</xdr:row>
      <xdr:rowOff>180001</xdr:rowOff>
    </xdr:to>
    <xdr:sp macro="" textlink="">
      <xdr:nvSpPr>
        <xdr:cNvPr id="31" name="Прямоугольник 30">
          <a:extLst>
            <a:ext uri="{FF2B5EF4-FFF2-40B4-BE49-F238E27FC236}">
              <a16:creationId xmlns:a16="http://schemas.microsoft.com/office/drawing/2014/main" id="{008DB69A-2499-420F-99D5-EFFEF5731E4B}"/>
            </a:ext>
          </a:extLst>
        </xdr:cNvPr>
        <xdr:cNvSpPr/>
      </xdr:nvSpPr>
      <xdr:spPr>
        <a:xfrm>
          <a:off x="3388893" y="2225041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6</xdr:col>
      <xdr:colOff>380997</xdr:colOff>
      <xdr:row>12</xdr:row>
      <xdr:rowOff>3</xdr:rowOff>
    </xdr:from>
    <xdr:to>
      <xdr:col>7</xdr:col>
      <xdr:colOff>419397</xdr:colOff>
      <xdr:row>12</xdr:row>
      <xdr:rowOff>180003</xdr:rowOff>
    </xdr:to>
    <xdr:sp macro="" textlink="">
      <xdr:nvSpPr>
        <xdr:cNvPr id="32" name="Прямоугольник 31">
          <a:extLst>
            <a:ext uri="{FF2B5EF4-FFF2-40B4-BE49-F238E27FC236}">
              <a16:creationId xmlns:a16="http://schemas.microsoft.com/office/drawing/2014/main" id="{21BCD2F9-BE27-4EC6-9974-0B3E92413AC8}"/>
            </a:ext>
          </a:extLst>
        </xdr:cNvPr>
        <xdr:cNvSpPr/>
      </xdr:nvSpPr>
      <xdr:spPr>
        <a:xfrm>
          <a:off x="4038597" y="2225043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7</xdr:col>
      <xdr:colOff>421101</xdr:colOff>
      <xdr:row>12</xdr:row>
      <xdr:rowOff>3</xdr:rowOff>
    </xdr:from>
    <xdr:to>
      <xdr:col>8</xdr:col>
      <xdr:colOff>459501</xdr:colOff>
      <xdr:row>12</xdr:row>
      <xdr:rowOff>180003</xdr:rowOff>
    </xdr:to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A73E9F6D-7B78-46B0-94E5-BC16DA398431}"/>
            </a:ext>
          </a:extLst>
        </xdr:cNvPr>
        <xdr:cNvSpPr/>
      </xdr:nvSpPr>
      <xdr:spPr>
        <a:xfrm>
          <a:off x="4688301" y="2225043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2</xdr:col>
      <xdr:colOff>0</xdr:colOff>
      <xdr:row>6</xdr:row>
      <xdr:rowOff>1</xdr:rowOff>
    </xdr:from>
    <xdr:to>
      <xdr:col>2</xdr:col>
      <xdr:colOff>540000</xdr:colOff>
      <xdr:row>6</xdr:row>
      <xdr:rowOff>180001</xdr:rowOff>
    </xdr:to>
    <xdr:sp macro="" textlink="">
      <xdr:nvSpPr>
        <xdr:cNvPr id="34" name="Прямоугольник 33">
          <a:extLst>
            <a:ext uri="{FF2B5EF4-FFF2-40B4-BE49-F238E27FC236}">
              <a16:creationId xmlns:a16="http://schemas.microsoft.com/office/drawing/2014/main" id="{25523888-2E9A-4E92-8596-5524C8A8D860}"/>
            </a:ext>
          </a:extLst>
        </xdr:cNvPr>
        <xdr:cNvSpPr/>
      </xdr:nvSpPr>
      <xdr:spPr>
        <a:xfrm>
          <a:off x="1219200" y="1126436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3</xdr:col>
      <xdr:colOff>473238</xdr:colOff>
      <xdr:row>6</xdr:row>
      <xdr:rowOff>2</xdr:rowOff>
    </xdr:from>
    <xdr:to>
      <xdr:col>4</xdr:col>
      <xdr:colOff>475638</xdr:colOff>
      <xdr:row>6</xdr:row>
      <xdr:rowOff>180002</xdr:rowOff>
    </xdr:to>
    <xdr:sp macro="" textlink="">
      <xdr:nvSpPr>
        <xdr:cNvPr id="35" name="Прямоугольник 34">
          <a:extLst>
            <a:ext uri="{FF2B5EF4-FFF2-40B4-BE49-F238E27FC236}">
              <a16:creationId xmlns:a16="http://schemas.microsoft.com/office/drawing/2014/main" id="{4EA71D1F-EFDB-434D-A43D-90E20E2867C8}"/>
            </a:ext>
          </a:extLst>
        </xdr:cNvPr>
        <xdr:cNvSpPr/>
      </xdr:nvSpPr>
      <xdr:spPr>
        <a:xfrm>
          <a:off x="2302038" y="1126437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4</xdr:col>
      <xdr:colOff>481256</xdr:colOff>
      <xdr:row>6</xdr:row>
      <xdr:rowOff>1</xdr:rowOff>
    </xdr:from>
    <xdr:to>
      <xdr:col>5</xdr:col>
      <xdr:colOff>483656</xdr:colOff>
      <xdr:row>6</xdr:row>
      <xdr:rowOff>180001</xdr:rowOff>
    </xdr:to>
    <xdr:sp macro="" textlink="">
      <xdr:nvSpPr>
        <xdr:cNvPr id="36" name="Прямоугольник 35">
          <a:extLst>
            <a:ext uri="{FF2B5EF4-FFF2-40B4-BE49-F238E27FC236}">
              <a16:creationId xmlns:a16="http://schemas.microsoft.com/office/drawing/2014/main" id="{480DA7C5-A938-4A89-8017-3CAA7E25F442}"/>
            </a:ext>
          </a:extLst>
        </xdr:cNvPr>
        <xdr:cNvSpPr/>
      </xdr:nvSpPr>
      <xdr:spPr>
        <a:xfrm>
          <a:off x="2919656" y="1126436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5</xdr:col>
      <xdr:colOff>489278</xdr:colOff>
      <xdr:row>6</xdr:row>
      <xdr:rowOff>3</xdr:rowOff>
    </xdr:from>
    <xdr:to>
      <xdr:col>6</xdr:col>
      <xdr:colOff>491678</xdr:colOff>
      <xdr:row>6</xdr:row>
      <xdr:rowOff>180003</xdr:rowOff>
    </xdr:to>
    <xdr:sp macro="" textlink="">
      <xdr:nvSpPr>
        <xdr:cNvPr id="37" name="Прямоугольник 36">
          <a:extLst>
            <a:ext uri="{FF2B5EF4-FFF2-40B4-BE49-F238E27FC236}">
              <a16:creationId xmlns:a16="http://schemas.microsoft.com/office/drawing/2014/main" id="{8DC5350C-1364-4F7C-BF04-41A3C0C4A77E}"/>
            </a:ext>
          </a:extLst>
        </xdr:cNvPr>
        <xdr:cNvSpPr/>
      </xdr:nvSpPr>
      <xdr:spPr>
        <a:xfrm>
          <a:off x="3537278" y="1126438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6</xdr:col>
      <xdr:colOff>497296</xdr:colOff>
      <xdr:row>6</xdr:row>
      <xdr:rowOff>2</xdr:rowOff>
    </xdr:from>
    <xdr:to>
      <xdr:col>7</xdr:col>
      <xdr:colOff>499696</xdr:colOff>
      <xdr:row>6</xdr:row>
      <xdr:rowOff>180002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0D844838-079B-44D9-9E37-F5394D142F73}"/>
            </a:ext>
          </a:extLst>
        </xdr:cNvPr>
        <xdr:cNvSpPr/>
      </xdr:nvSpPr>
      <xdr:spPr>
        <a:xfrm>
          <a:off x="4154896" y="1126437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7</xdr:col>
      <xdr:colOff>505315</xdr:colOff>
      <xdr:row>6</xdr:row>
      <xdr:rowOff>348</xdr:rowOff>
    </xdr:from>
    <xdr:to>
      <xdr:col>8</xdr:col>
      <xdr:colOff>507715</xdr:colOff>
      <xdr:row>6</xdr:row>
      <xdr:rowOff>180000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00E58E7E-34ED-484A-9237-490F33AE0E9C}"/>
            </a:ext>
          </a:extLst>
        </xdr:cNvPr>
        <xdr:cNvSpPr/>
      </xdr:nvSpPr>
      <xdr:spPr>
        <a:xfrm>
          <a:off x="4772515" y="1126783"/>
          <a:ext cx="612000" cy="17965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2</xdr:col>
      <xdr:colOff>541421</xdr:colOff>
      <xdr:row>6</xdr:row>
      <xdr:rowOff>348</xdr:rowOff>
    </xdr:from>
    <xdr:to>
      <xdr:col>3</xdr:col>
      <xdr:colOff>471821</xdr:colOff>
      <xdr:row>6</xdr:row>
      <xdr:rowOff>180000</xdr:rowOff>
    </xdr:to>
    <xdr:sp macro="" textlink="">
      <xdr:nvSpPr>
        <xdr:cNvPr id="40" name="Прямоугольник 39">
          <a:extLst>
            <a:ext uri="{FF2B5EF4-FFF2-40B4-BE49-F238E27FC236}">
              <a16:creationId xmlns:a16="http://schemas.microsoft.com/office/drawing/2014/main" id="{D5ADF01E-D45B-4694-983B-00528CC07689}"/>
            </a:ext>
          </a:extLst>
        </xdr:cNvPr>
        <xdr:cNvSpPr/>
      </xdr:nvSpPr>
      <xdr:spPr>
        <a:xfrm>
          <a:off x="1760621" y="1126783"/>
          <a:ext cx="540000" cy="17965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2</xdr:col>
      <xdr:colOff>0</xdr:colOff>
      <xdr:row>0</xdr:row>
      <xdr:rowOff>8</xdr:rowOff>
    </xdr:from>
    <xdr:to>
      <xdr:col>2</xdr:col>
      <xdr:colOff>576000</xdr:colOff>
      <xdr:row>0</xdr:row>
      <xdr:rowOff>180008</xdr:rowOff>
    </xdr:to>
    <xdr:sp macro="" textlink="">
      <xdr:nvSpPr>
        <xdr:cNvPr id="41" name="Прямоугольник 40">
          <a:extLst>
            <a:ext uri="{FF2B5EF4-FFF2-40B4-BE49-F238E27FC236}">
              <a16:creationId xmlns:a16="http://schemas.microsoft.com/office/drawing/2014/main" id="{B650024A-2485-47D4-A6BD-5954E1EDD0C4}"/>
            </a:ext>
          </a:extLst>
        </xdr:cNvPr>
        <xdr:cNvSpPr/>
      </xdr:nvSpPr>
      <xdr:spPr>
        <a:xfrm>
          <a:off x="1219200" y="8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2</xdr:col>
      <xdr:colOff>574305</xdr:colOff>
      <xdr:row>0</xdr:row>
      <xdr:rowOff>8</xdr:rowOff>
    </xdr:from>
    <xdr:to>
      <xdr:col>3</xdr:col>
      <xdr:colOff>540705</xdr:colOff>
      <xdr:row>0</xdr:row>
      <xdr:rowOff>180008</xdr:rowOff>
    </xdr:to>
    <xdr:sp macro="" textlink="">
      <xdr:nvSpPr>
        <xdr:cNvPr id="42" name="Прямоугольник 41">
          <a:extLst>
            <a:ext uri="{FF2B5EF4-FFF2-40B4-BE49-F238E27FC236}">
              <a16:creationId xmlns:a16="http://schemas.microsoft.com/office/drawing/2014/main" id="{085FBAA2-1FE4-4728-907A-2A571803EE2D}"/>
            </a:ext>
          </a:extLst>
        </xdr:cNvPr>
        <xdr:cNvSpPr/>
      </xdr:nvSpPr>
      <xdr:spPr>
        <a:xfrm>
          <a:off x="1793505" y="8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3</xdr:col>
      <xdr:colOff>541422</xdr:colOff>
      <xdr:row>0</xdr:row>
      <xdr:rowOff>5</xdr:rowOff>
    </xdr:from>
    <xdr:to>
      <xdr:col>4</xdr:col>
      <xdr:colOff>507822</xdr:colOff>
      <xdr:row>0</xdr:row>
      <xdr:rowOff>180005</xdr:rowOff>
    </xdr:to>
    <xdr:sp macro="" textlink="">
      <xdr:nvSpPr>
        <xdr:cNvPr id="43" name="Прямоугольник 42">
          <a:extLst>
            <a:ext uri="{FF2B5EF4-FFF2-40B4-BE49-F238E27FC236}">
              <a16:creationId xmlns:a16="http://schemas.microsoft.com/office/drawing/2014/main" id="{4DF694CF-9824-49CC-A67F-9C3EDF3D9E9E}"/>
            </a:ext>
          </a:extLst>
        </xdr:cNvPr>
        <xdr:cNvSpPr/>
      </xdr:nvSpPr>
      <xdr:spPr>
        <a:xfrm>
          <a:off x="2370222" y="5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4</xdr:col>
      <xdr:colOff>506127</xdr:colOff>
      <xdr:row>0</xdr:row>
      <xdr:rowOff>5</xdr:rowOff>
    </xdr:from>
    <xdr:to>
      <xdr:col>5</xdr:col>
      <xdr:colOff>472527</xdr:colOff>
      <xdr:row>0</xdr:row>
      <xdr:rowOff>180005</xdr:rowOff>
    </xdr:to>
    <xdr:sp macro="" textlink="">
      <xdr:nvSpPr>
        <xdr:cNvPr id="44" name="Прямоугольник 43">
          <a:extLst>
            <a:ext uri="{FF2B5EF4-FFF2-40B4-BE49-F238E27FC236}">
              <a16:creationId xmlns:a16="http://schemas.microsoft.com/office/drawing/2014/main" id="{CD15B4DF-4266-4462-8314-C100FB330CC8}"/>
            </a:ext>
          </a:extLst>
        </xdr:cNvPr>
        <xdr:cNvSpPr/>
      </xdr:nvSpPr>
      <xdr:spPr>
        <a:xfrm>
          <a:off x="2944527" y="5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5</xdr:col>
      <xdr:colOff>465215</xdr:colOff>
      <xdr:row>0</xdr:row>
      <xdr:rowOff>3</xdr:rowOff>
    </xdr:from>
    <xdr:to>
      <xdr:col>6</xdr:col>
      <xdr:colOff>431615</xdr:colOff>
      <xdr:row>0</xdr:row>
      <xdr:rowOff>180003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42FAEA11-3EEE-4C1D-AF0C-C48F68E7EACD}"/>
            </a:ext>
          </a:extLst>
        </xdr:cNvPr>
        <xdr:cNvSpPr/>
      </xdr:nvSpPr>
      <xdr:spPr>
        <a:xfrm>
          <a:off x="3513215" y="3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6</xdr:col>
      <xdr:colOff>429920</xdr:colOff>
      <xdr:row>0</xdr:row>
      <xdr:rowOff>3</xdr:rowOff>
    </xdr:from>
    <xdr:to>
      <xdr:col>7</xdr:col>
      <xdr:colOff>396320</xdr:colOff>
      <xdr:row>0</xdr:row>
      <xdr:rowOff>180003</xdr:rowOff>
    </xdr:to>
    <xdr:sp macro="" textlink="">
      <xdr:nvSpPr>
        <xdr:cNvPr id="46" name="Прямоугольник 45">
          <a:extLst>
            <a:ext uri="{FF2B5EF4-FFF2-40B4-BE49-F238E27FC236}">
              <a16:creationId xmlns:a16="http://schemas.microsoft.com/office/drawing/2014/main" id="{A23A936A-FC54-4ABF-993D-235462E9FE0C}"/>
            </a:ext>
          </a:extLst>
        </xdr:cNvPr>
        <xdr:cNvSpPr/>
      </xdr:nvSpPr>
      <xdr:spPr>
        <a:xfrm>
          <a:off x="4087520" y="3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7</xdr:col>
      <xdr:colOff>397037</xdr:colOff>
      <xdr:row>0</xdr:row>
      <xdr:rowOff>0</xdr:rowOff>
    </xdr:from>
    <xdr:to>
      <xdr:col>8</xdr:col>
      <xdr:colOff>363437</xdr:colOff>
      <xdr:row>0</xdr:row>
      <xdr:rowOff>180000</xdr:rowOff>
    </xdr:to>
    <xdr:sp macro="" textlink="">
      <xdr:nvSpPr>
        <xdr:cNvPr id="47" name="Прямоугольник 46">
          <a:extLst>
            <a:ext uri="{FF2B5EF4-FFF2-40B4-BE49-F238E27FC236}">
              <a16:creationId xmlns:a16="http://schemas.microsoft.com/office/drawing/2014/main" id="{ACAB2A60-58C1-4D8C-8C9C-F256C8721A75}"/>
            </a:ext>
          </a:extLst>
        </xdr:cNvPr>
        <xdr:cNvSpPr/>
      </xdr:nvSpPr>
      <xdr:spPr>
        <a:xfrm>
          <a:off x="4664237" y="0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4</xdr:col>
      <xdr:colOff>405054</xdr:colOff>
      <xdr:row>35</xdr:row>
      <xdr:rowOff>192504</xdr:rowOff>
    </xdr:from>
    <xdr:to>
      <xdr:col>5</xdr:col>
      <xdr:colOff>371454</xdr:colOff>
      <xdr:row>36</xdr:row>
      <xdr:rowOff>179999</xdr:rowOff>
    </xdr:to>
    <xdr:sp macro="" textlink="">
      <xdr:nvSpPr>
        <xdr:cNvPr id="48" name="Прямоугольник 47">
          <a:extLst>
            <a:ext uri="{FF2B5EF4-FFF2-40B4-BE49-F238E27FC236}">
              <a16:creationId xmlns:a16="http://schemas.microsoft.com/office/drawing/2014/main" id="{6C618DE2-34A0-4F77-B306-14D7E287C5E7}"/>
            </a:ext>
          </a:extLst>
        </xdr:cNvPr>
        <xdr:cNvSpPr/>
      </xdr:nvSpPr>
      <xdr:spPr>
        <a:xfrm>
          <a:off x="2843454" y="6677124"/>
          <a:ext cx="576000" cy="17799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5</xdr:col>
      <xdr:colOff>372974</xdr:colOff>
      <xdr:row>36</xdr:row>
      <xdr:rowOff>1</xdr:rowOff>
    </xdr:from>
    <xdr:to>
      <xdr:col>6</xdr:col>
      <xdr:colOff>411374</xdr:colOff>
      <xdr:row>36</xdr:row>
      <xdr:rowOff>180001</xdr:rowOff>
    </xdr:to>
    <xdr:sp macro="" textlink="">
      <xdr:nvSpPr>
        <xdr:cNvPr id="49" name="Прямоугольник 48">
          <a:extLst>
            <a:ext uri="{FF2B5EF4-FFF2-40B4-BE49-F238E27FC236}">
              <a16:creationId xmlns:a16="http://schemas.microsoft.com/office/drawing/2014/main" id="{31BDD919-58A5-49DA-9FF6-5BE7CA4C022C}"/>
            </a:ext>
          </a:extLst>
        </xdr:cNvPr>
        <xdr:cNvSpPr/>
      </xdr:nvSpPr>
      <xdr:spPr>
        <a:xfrm>
          <a:off x="3420974" y="6675121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6</xdr:col>
      <xdr:colOff>413079</xdr:colOff>
      <xdr:row>36</xdr:row>
      <xdr:rowOff>0</xdr:rowOff>
    </xdr:from>
    <xdr:to>
      <xdr:col>7</xdr:col>
      <xdr:colOff>451479</xdr:colOff>
      <xdr:row>36</xdr:row>
      <xdr:rowOff>180000</xdr:rowOff>
    </xdr:to>
    <xdr:sp macro="" textlink="">
      <xdr:nvSpPr>
        <xdr:cNvPr id="50" name="Прямоугольник 49">
          <a:extLst>
            <a:ext uri="{FF2B5EF4-FFF2-40B4-BE49-F238E27FC236}">
              <a16:creationId xmlns:a16="http://schemas.microsoft.com/office/drawing/2014/main" id="{226E96AE-5CDE-4666-8FA4-9F027C01FBDE}"/>
            </a:ext>
          </a:extLst>
        </xdr:cNvPr>
        <xdr:cNvSpPr/>
      </xdr:nvSpPr>
      <xdr:spPr>
        <a:xfrm>
          <a:off x="4070679" y="6675120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7</xdr:col>
      <xdr:colOff>453183</xdr:colOff>
      <xdr:row>36</xdr:row>
      <xdr:rowOff>0</xdr:rowOff>
    </xdr:from>
    <xdr:to>
      <xdr:col>8</xdr:col>
      <xdr:colOff>491583</xdr:colOff>
      <xdr:row>36</xdr:row>
      <xdr:rowOff>180000</xdr:rowOff>
    </xdr:to>
    <xdr:sp macro="" textlink="">
      <xdr:nvSpPr>
        <xdr:cNvPr id="51" name="Прямоугольник 50">
          <a:extLst>
            <a:ext uri="{FF2B5EF4-FFF2-40B4-BE49-F238E27FC236}">
              <a16:creationId xmlns:a16="http://schemas.microsoft.com/office/drawing/2014/main" id="{6981880D-164B-4572-AB8D-9B085F58590C}"/>
            </a:ext>
          </a:extLst>
        </xdr:cNvPr>
        <xdr:cNvSpPr/>
      </xdr:nvSpPr>
      <xdr:spPr>
        <a:xfrm>
          <a:off x="4720383" y="6675120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10</xdr:col>
      <xdr:colOff>376518</xdr:colOff>
      <xdr:row>0</xdr:row>
      <xdr:rowOff>2</xdr:rowOff>
    </xdr:from>
    <xdr:to>
      <xdr:col>11</xdr:col>
      <xdr:colOff>270918</xdr:colOff>
      <xdr:row>1</xdr:row>
      <xdr:rowOff>708</xdr:rowOff>
    </xdr:to>
    <xdr:sp macro="" textlink="">
      <xdr:nvSpPr>
        <xdr:cNvPr id="52" name="Прямоугольник 51">
          <a:extLst>
            <a:ext uri="{FF2B5EF4-FFF2-40B4-BE49-F238E27FC236}">
              <a16:creationId xmlns:a16="http://schemas.microsoft.com/office/drawing/2014/main" id="{CBBFB2AA-7CF8-43AB-A96F-642993ECD062}"/>
            </a:ext>
          </a:extLst>
        </xdr:cNvPr>
        <xdr:cNvSpPr/>
      </xdr:nvSpPr>
      <xdr:spPr>
        <a:xfrm>
          <a:off x="6472518" y="2"/>
          <a:ext cx="504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11</xdr:col>
      <xdr:colOff>272243</xdr:colOff>
      <xdr:row>0</xdr:row>
      <xdr:rowOff>2</xdr:rowOff>
    </xdr:from>
    <xdr:to>
      <xdr:col>12</xdr:col>
      <xdr:colOff>166643</xdr:colOff>
      <xdr:row>1</xdr:row>
      <xdr:rowOff>708</xdr:rowOff>
    </xdr:to>
    <xdr:sp macro="" textlink="">
      <xdr:nvSpPr>
        <xdr:cNvPr id="53" name="Прямоугольник 52">
          <a:extLst>
            <a:ext uri="{FF2B5EF4-FFF2-40B4-BE49-F238E27FC236}">
              <a16:creationId xmlns:a16="http://schemas.microsoft.com/office/drawing/2014/main" id="{D129B263-1707-4687-8982-189FDAE4101E}"/>
            </a:ext>
          </a:extLst>
        </xdr:cNvPr>
        <xdr:cNvSpPr/>
      </xdr:nvSpPr>
      <xdr:spPr>
        <a:xfrm>
          <a:off x="6977843" y="2"/>
          <a:ext cx="5040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12</xdr:col>
      <xdr:colOff>165558</xdr:colOff>
      <xdr:row>0</xdr:row>
      <xdr:rowOff>0</xdr:rowOff>
    </xdr:from>
    <xdr:to>
      <xdr:col>13</xdr:col>
      <xdr:colOff>131958</xdr:colOff>
      <xdr:row>1</xdr:row>
      <xdr:rowOff>706</xdr:rowOff>
    </xdr:to>
    <xdr:sp macro="" textlink="">
      <xdr:nvSpPr>
        <xdr:cNvPr id="54" name="Прямоугольник 53">
          <a:extLst>
            <a:ext uri="{FF2B5EF4-FFF2-40B4-BE49-F238E27FC236}">
              <a16:creationId xmlns:a16="http://schemas.microsoft.com/office/drawing/2014/main" id="{1544CCE4-7599-4EB3-87A2-6F3E620F826A}"/>
            </a:ext>
          </a:extLst>
        </xdr:cNvPr>
        <xdr:cNvSpPr/>
      </xdr:nvSpPr>
      <xdr:spPr>
        <a:xfrm>
          <a:off x="7480758" y="0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13</xdr:col>
      <xdr:colOff>133465</xdr:colOff>
      <xdr:row>0</xdr:row>
      <xdr:rowOff>2</xdr:rowOff>
    </xdr:from>
    <xdr:to>
      <xdr:col>14</xdr:col>
      <xdr:colOff>135865</xdr:colOff>
      <xdr:row>1</xdr:row>
      <xdr:rowOff>708</xdr:rowOff>
    </xdr:to>
    <xdr:sp macro="" textlink="">
      <xdr:nvSpPr>
        <xdr:cNvPr id="55" name="Прямоугольник 54">
          <a:extLst>
            <a:ext uri="{FF2B5EF4-FFF2-40B4-BE49-F238E27FC236}">
              <a16:creationId xmlns:a16="http://schemas.microsoft.com/office/drawing/2014/main" id="{1DBCF257-B0B3-45A6-B009-646CF1CE37FA}"/>
            </a:ext>
          </a:extLst>
        </xdr:cNvPr>
        <xdr:cNvSpPr/>
      </xdr:nvSpPr>
      <xdr:spPr>
        <a:xfrm>
          <a:off x="8058265" y="2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14</xdr:col>
      <xdr:colOff>137483</xdr:colOff>
      <xdr:row>0</xdr:row>
      <xdr:rowOff>2</xdr:rowOff>
    </xdr:from>
    <xdr:to>
      <xdr:col>15</xdr:col>
      <xdr:colOff>175883</xdr:colOff>
      <xdr:row>1</xdr:row>
      <xdr:rowOff>708</xdr:rowOff>
    </xdr:to>
    <xdr:sp macro="" textlink="">
      <xdr:nvSpPr>
        <xdr:cNvPr id="56" name="Прямоугольник 55">
          <a:extLst>
            <a:ext uri="{FF2B5EF4-FFF2-40B4-BE49-F238E27FC236}">
              <a16:creationId xmlns:a16="http://schemas.microsoft.com/office/drawing/2014/main" id="{A0FF2062-E0C2-4531-8687-B763EB3D594A}"/>
            </a:ext>
          </a:extLst>
        </xdr:cNvPr>
        <xdr:cNvSpPr/>
      </xdr:nvSpPr>
      <xdr:spPr>
        <a:xfrm>
          <a:off x="8671883" y="2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15</xdr:col>
      <xdr:colOff>177587</xdr:colOff>
      <xdr:row>0</xdr:row>
      <xdr:rowOff>4</xdr:rowOff>
    </xdr:from>
    <xdr:to>
      <xdr:col>16</xdr:col>
      <xdr:colOff>215987</xdr:colOff>
      <xdr:row>1</xdr:row>
      <xdr:rowOff>710</xdr:rowOff>
    </xdr:to>
    <xdr:sp macro="" textlink="">
      <xdr:nvSpPr>
        <xdr:cNvPr id="57" name="Прямоугольник 56">
          <a:extLst>
            <a:ext uri="{FF2B5EF4-FFF2-40B4-BE49-F238E27FC236}">
              <a16:creationId xmlns:a16="http://schemas.microsoft.com/office/drawing/2014/main" id="{21FF8F0C-FDF7-4B7D-9D67-435CC6488ED6}"/>
            </a:ext>
          </a:extLst>
        </xdr:cNvPr>
        <xdr:cNvSpPr/>
      </xdr:nvSpPr>
      <xdr:spPr>
        <a:xfrm>
          <a:off x="9321587" y="4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16</xdr:col>
      <xdr:colOff>217691</xdr:colOff>
      <xdr:row>0</xdr:row>
      <xdr:rowOff>4</xdr:rowOff>
    </xdr:from>
    <xdr:to>
      <xdr:col>17</xdr:col>
      <xdr:colOff>256091</xdr:colOff>
      <xdr:row>1</xdr:row>
      <xdr:rowOff>710</xdr:rowOff>
    </xdr:to>
    <xdr:sp macro="" textlink="">
      <xdr:nvSpPr>
        <xdr:cNvPr id="58" name="Прямоугольник 57">
          <a:extLst>
            <a:ext uri="{FF2B5EF4-FFF2-40B4-BE49-F238E27FC236}">
              <a16:creationId xmlns:a16="http://schemas.microsoft.com/office/drawing/2014/main" id="{90C15D51-FF5D-42D1-A529-04268DCAF9B0}"/>
            </a:ext>
          </a:extLst>
        </xdr:cNvPr>
        <xdr:cNvSpPr/>
      </xdr:nvSpPr>
      <xdr:spPr>
        <a:xfrm>
          <a:off x="9971291" y="4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10</xdr:col>
      <xdr:colOff>378857</xdr:colOff>
      <xdr:row>1</xdr:row>
      <xdr:rowOff>2533</xdr:rowOff>
    </xdr:from>
    <xdr:to>
      <xdr:col>11</xdr:col>
      <xdr:colOff>273257</xdr:colOff>
      <xdr:row>2</xdr:row>
      <xdr:rowOff>3238</xdr:rowOff>
    </xdr:to>
    <xdr:sp macro="" textlink="">
      <xdr:nvSpPr>
        <xdr:cNvPr id="59" name="Прямоугольник 58">
          <a:extLst>
            <a:ext uri="{FF2B5EF4-FFF2-40B4-BE49-F238E27FC236}">
              <a16:creationId xmlns:a16="http://schemas.microsoft.com/office/drawing/2014/main" id="{D6ACA567-7E06-4C51-8E72-F96BCB3FBA32}"/>
            </a:ext>
          </a:extLst>
        </xdr:cNvPr>
        <xdr:cNvSpPr/>
      </xdr:nvSpPr>
      <xdr:spPr>
        <a:xfrm>
          <a:off x="6474857" y="188063"/>
          <a:ext cx="504000" cy="18623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11</xdr:col>
      <xdr:colOff>274582</xdr:colOff>
      <xdr:row>1</xdr:row>
      <xdr:rowOff>2533</xdr:rowOff>
    </xdr:from>
    <xdr:to>
      <xdr:col>12</xdr:col>
      <xdr:colOff>168982</xdr:colOff>
      <xdr:row>2</xdr:row>
      <xdr:rowOff>3238</xdr:rowOff>
    </xdr:to>
    <xdr:sp macro="" textlink="">
      <xdr:nvSpPr>
        <xdr:cNvPr id="60" name="Прямоугольник 59">
          <a:extLst>
            <a:ext uri="{FF2B5EF4-FFF2-40B4-BE49-F238E27FC236}">
              <a16:creationId xmlns:a16="http://schemas.microsoft.com/office/drawing/2014/main" id="{272FBF4B-BFC8-41A5-8ED1-274717263E66}"/>
            </a:ext>
          </a:extLst>
        </xdr:cNvPr>
        <xdr:cNvSpPr/>
      </xdr:nvSpPr>
      <xdr:spPr>
        <a:xfrm>
          <a:off x="6980182" y="188063"/>
          <a:ext cx="504000" cy="18623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12</xdr:col>
      <xdr:colOff>166299</xdr:colOff>
      <xdr:row>1</xdr:row>
      <xdr:rowOff>2534</xdr:rowOff>
    </xdr:from>
    <xdr:to>
      <xdr:col>13</xdr:col>
      <xdr:colOff>60699</xdr:colOff>
      <xdr:row>2</xdr:row>
      <xdr:rowOff>3239</xdr:rowOff>
    </xdr:to>
    <xdr:sp macro="" textlink="">
      <xdr:nvSpPr>
        <xdr:cNvPr id="61" name="Прямоугольник 60">
          <a:extLst>
            <a:ext uri="{FF2B5EF4-FFF2-40B4-BE49-F238E27FC236}">
              <a16:creationId xmlns:a16="http://schemas.microsoft.com/office/drawing/2014/main" id="{E57DCAC8-9712-4AF1-A63E-E92EB3E0A19F}"/>
            </a:ext>
          </a:extLst>
        </xdr:cNvPr>
        <xdr:cNvSpPr/>
      </xdr:nvSpPr>
      <xdr:spPr>
        <a:xfrm>
          <a:off x="7481499" y="188064"/>
          <a:ext cx="504000" cy="18623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13</xdr:col>
      <xdr:colOff>62024</xdr:colOff>
      <xdr:row>1</xdr:row>
      <xdr:rowOff>2534</xdr:rowOff>
    </xdr:from>
    <xdr:to>
      <xdr:col>13</xdr:col>
      <xdr:colOff>566024</xdr:colOff>
      <xdr:row>2</xdr:row>
      <xdr:rowOff>3239</xdr:rowOff>
    </xdr:to>
    <xdr:sp macro="" textlink="">
      <xdr:nvSpPr>
        <xdr:cNvPr id="62" name="Прямоугольник 61">
          <a:extLst>
            <a:ext uri="{FF2B5EF4-FFF2-40B4-BE49-F238E27FC236}">
              <a16:creationId xmlns:a16="http://schemas.microsoft.com/office/drawing/2014/main" id="{4E5A2538-783A-49CC-973C-627D3815DD95}"/>
            </a:ext>
          </a:extLst>
        </xdr:cNvPr>
        <xdr:cNvSpPr/>
      </xdr:nvSpPr>
      <xdr:spPr>
        <a:xfrm>
          <a:off x="7986824" y="188064"/>
          <a:ext cx="504000" cy="18623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13</xdr:col>
      <xdr:colOff>567350</xdr:colOff>
      <xdr:row>1</xdr:row>
      <xdr:rowOff>2533</xdr:rowOff>
    </xdr:from>
    <xdr:to>
      <xdr:col>14</xdr:col>
      <xdr:colOff>461750</xdr:colOff>
      <xdr:row>2</xdr:row>
      <xdr:rowOff>3238</xdr:rowOff>
    </xdr:to>
    <xdr:sp macro="" textlink="">
      <xdr:nvSpPr>
        <xdr:cNvPr id="63" name="Прямоугольник 62">
          <a:extLst>
            <a:ext uri="{FF2B5EF4-FFF2-40B4-BE49-F238E27FC236}">
              <a16:creationId xmlns:a16="http://schemas.microsoft.com/office/drawing/2014/main" id="{8FE40E01-64E7-4DBD-B4E6-E7B3DFC3A0A5}"/>
            </a:ext>
          </a:extLst>
        </xdr:cNvPr>
        <xdr:cNvSpPr/>
      </xdr:nvSpPr>
      <xdr:spPr>
        <a:xfrm>
          <a:off x="8492150" y="188063"/>
          <a:ext cx="504000" cy="18623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140</a:t>
          </a:r>
        </a:p>
      </xdr:txBody>
    </xdr:sp>
    <xdr:clientData/>
  </xdr:twoCellAnchor>
  <xdr:twoCellAnchor>
    <xdr:from>
      <xdr:col>14</xdr:col>
      <xdr:colOff>464682</xdr:colOff>
      <xdr:row>1</xdr:row>
      <xdr:rowOff>2534</xdr:rowOff>
    </xdr:from>
    <xdr:to>
      <xdr:col>15</xdr:col>
      <xdr:colOff>395082</xdr:colOff>
      <xdr:row>2</xdr:row>
      <xdr:rowOff>3239</xdr:rowOff>
    </xdr:to>
    <xdr:sp macro="" textlink="">
      <xdr:nvSpPr>
        <xdr:cNvPr id="64" name="Прямоугольник 63">
          <a:extLst>
            <a:ext uri="{FF2B5EF4-FFF2-40B4-BE49-F238E27FC236}">
              <a16:creationId xmlns:a16="http://schemas.microsoft.com/office/drawing/2014/main" id="{9ECD1054-D0DC-4497-A6DB-C8F68A1A7FF6}"/>
            </a:ext>
          </a:extLst>
        </xdr:cNvPr>
        <xdr:cNvSpPr/>
      </xdr:nvSpPr>
      <xdr:spPr>
        <a:xfrm>
          <a:off x="8999082" y="188064"/>
          <a:ext cx="540000" cy="18623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15</xdr:col>
      <xdr:colOff>396503</xdr:colOff>
      <xdr:row>1</xdr:row>
      <xdr:rowOff>2533</xdr:rowOff>
    </xdr:from>
    <xdr:to>
      <xdr:col>16</xdr:col>
      <xdr:colOff>326903</xdr:colOff>
      <xdr:row>2</xdr:row>
      <xdr:rowOff>3238</xdr:rowOff>
    </xdr:to>
    <xdr:sp macro="" textlink="">
      <xdr:nvSpPr>
        <xdr:cNvPr id="65" name="Прямоугольник 64">
          <a:extLst>
            <a:ext uri="{FF2B5EF4-FFF2-40B4-BE49-F238E27FC236}">
              <a16:creationId xmlns:a16="http://schemas.microsoft.com/office/drawing/2014/main" id="{A8086960-3B66-46D5-BBA5-DA76718FE1AC}"/>
            </a:ext>
          </a:extLst>
        </xdr:cNvPr>
        <xdr:cNvSpPr/>
      </xdr:nvSpPr>
      <xdr:spPr>
        <a:xfrm>
          <a:off x="9540503" y="188063"/>
          <a:ext cx="540000" cy="18623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16</xdr:col>
      <xdr:colOff>328323</xdr:colOff>
      <xdr:row>1</xdr:row>
      <xdr:rowOff>2533</xdr:rowOff>
    </xdr:from>
    <xdr:to>
      <xdr:col>17</xdr:col>
      <xdr:colOff>258723</xdr:colOff>
      <xdr:row>2</xdr:row>
      <xdr:rowOff>3238</xdr:rowOff>
    </xdr:to>
    <xdr:sp macro="" textlink="">
      <xdr:nvSpPr>
        <xdr:cNvPr id="66" name="Прямоугольник 65">
          <a:extLst>
            <a:ext uri="{FF2B5EF4-FFF2-40B4-BE49-F238E27FC236}">
              <a16:creationId xmlns:a16="http://schemas.microsoft.com/office/drawing/2014/main" id="{72D43694-083F-4B73-BA1B-A50B93594A33}"/>
            </a:ext>
          </a:extLst>
        </xdr:cNvPr>
        <xdr:cNvSpPr/>
      </xdr:nvSpPr>
      <xdr:spPr>
        <a:xfrm>
          <a:off x="10081923" y="188063"/>
          <a:ext cx="540000" cy="18623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10</xdr:col>
      <xdr:colOff>377687</xdr:colOff>
      <xdr:row>2</xdr:row>
      <xdr:rowOff>1</xdr:rowOff>
    </xdr:from>
    <xdr:to>
      <xdr:col>11</xdr:col>
      <xdr:colOff>308087</xdr:colOff>
      <xdr:row>2</xdr:row>
      <xdr:rowOff>180001</xdr:rowOff>
    </xdr:to>
    <xdr:sp macro="" textlink="">
      <xdr:nvSpPr>
        <xdr:cNvPr id="74" name="Прямоугольник 73">
          <a:extLst>
            <a:ext uri="{FF2B5EF4-FFF2-40B4-BE49-F238E27FC236}">
              <a16:creationId xmlns:a16="http://schemas.microsoft.com/office/drawing/2014/main" id="{95F99C8E-5123-411D-8A11-5AABB44AC75B}"/>
            </a:ext>
          </a:extLst>
        </xdr:cNvPr>
        <xdr:cNvSpPr/>
      </xdr:nvSpPr>
      <xdr:spPr>
        <a:xfrm>
          <a:off x="6473687" y="371062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12</xdr:col>
      <xdr:colOff>241325</xdr:colOff>
      <xdr:row>2</xdr:row>
      <xdr:rowOff>2</xdr:rowOff>
    </xdr:from>
    <xdr:to>
      <xdr:col>13</xdr:col>
      <xdr:colOff>243725</xdr:colOff>
      <xdr:row>2</xdr:row>
      <xdr:rowOff>180002</xdr:rowOff>
    </xdr:to>
    <xdr:sp macro="" textlink="">
      <xdr:nvSpPr>
        <xdr:cNvPr id="75" name="Прямоугольник 74">
          <a:extLst>
            <a:ext uri="{FF2B5EF4-FFF2-40B4-BE49-F238E27FC236}">
              <a16:creationId xmlns:a16="http://schemas.microsoft.com/office/drawing/2014/main" id="{D45E5967-96D8-4947-A69D-13138EB81EBA}"/>
            </a:ext>
          </a:extLst>
        </xdr:cNvPr>
        <xdr:cNvSpPr/>
      </xdr:nvSpPr>
      <xdr:spPr>
        <a:xfrm>
          <a:off x="7556525" y="371063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13</xdr:col>
      <xdr:colOff>249343</xdr:colOff>
      <xdr:row>2</xdr:row>
      <xdr:rowOff>1</xdr:rowOff>
    </xdr:from>
    <xdr:to>
      <xdr:col>14</xdr:col>
      <xdr:colOff>251743</xdr:colOff>
      <xdr:row>2</xdr:row>
      <xdr:rowOff>180001</xdr:rowOff>
    </xdr:to>
    <xdr:sp macro="" textlink="">
      <xdr:nvSpPr>
        <xdr:cNvPr id="76" name="Прямоугольник 75">
          <a:extLst>
            <a:ext uri="{FF2B5EF4-FFF2-40B4-BE49-F238E27FC236}">
              <a16:creationId xmlns:a16="http://schemas.microsoft.com/office/drawing/2014/main" id="{ABB8457A-031E-4AA9-8F21-B6DC563785C4}"/>
            </a:ext>
          </a:extLst>
        </xdr:cNvPr>
        <xdr:cNvSpPr/>
      </xdr:nvSpPr>
      <xdr:spPr>
        <a:xfrm>
          <a:off x="8174143" y="371062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14</xdr:col>
      <xdr:colOff>257365</xdr:colOff>
      <xdr:row>2</xdr:row>
      <xdr:rowOff>3</xdr:rowOff>
    </xdr:from>
    <xdr:to>
      <xdr:col>15</xdr:col>
      <xdr:colOff>259765</xdr:colOff>
      <xdr:row>2</xdr:row>
      <xdr:rowOff>180003</xdr:rowOff>
    </xdr:to>
    <xdr:sp macro="" textlink="">
      <xdr:nvSpPr>
        <xdr:cNvPr id="77" name="Прямоугольник 76">
          <a:extLst>
            <a:ext uri="{FF2B5EF4-FFF2-40B4-BE49-F238E27FC236}">
              <a16:creationId xmlns:a16="http://schemas.microsoft.com/office/drawing/2014/main" id="{5ECB9716-5F77-41D5-873D-357375C9F568}"/>
            </a:ext>
          </a:extLst>
        </xdr:cNvPr>
        <xdr:cNvSpPr/>
      </xdr:nvSpPr>
      <xdr:spPr>
        <a:xfrm>
          <a:off x="8791765" y="371064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15</xdr:col>
      <xdr:colOff>265383</xdr:colOff>
      <xdr:row>2</xdr:row>
      <xdr:rowOff>2</xdr:rowOff>
    </xdr:from>
    <xdr:to>
      <xdr:col>16</xdr:col>
      <xdr:colOff>267783</xdr:colOff>
      <xdr:row>2</xdr:row>
      <xdr:rowOff>180002</xdr:rowOff>
    </xdr:to>
    <xdr:sp macro="" textlink="">
      <xdr:nvSpPr>
        <xdr:cNvPr id="78" name="Прямоугольник 77">
          <a:extLst>
            <a:ext uri="{FF2B5EF4-FFF2-40B4-BE49-F238E27FC236}">
              <a16:creationId xmlns:a16="http://schemas.microsoft.com/office/drawing/2014/main" id="{BBE0255D-1B48-4054-B65F-09BC75ACA420}"/>
            </a:ext>
          </a:extLst>
        </xdr:cNvPr>
        <xdr:cNvSpPr/>
      </xdr:nvSpPr>
      <xdr:spPr>
        <a:xfrm>
          <a:off x="9409383" y="371063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16</xdr:col>
      <xdr:colOff>273402</xdr:colOff>
      <xdr:row>2</xdr:row>
      <xdr:rowOff>348</xdr:rowOff>
    </xdr:from>
    <xdr:to>
      <xdr:col>17</xdr:col>
      <xdr:colOff>275802</xdr:colOff>
      <xdr:row>2</xdr:row>
      <xdr:rowOff>180000</xdr:rowOff>
    </xdr:to>
    <xdr:sp macro="" textlink="">
      <xdr:nvSpPr>
        <xdr:cNvPr id="79" name="Прямоугольник 78">
          <a:extLst>
            <a:ext uri="{FF2B5EF4-FFF2-40B4-BE49-F238E27FC236}">
              <a16:creationId xmlns:a16="http://schemas.microsoft.com/office/drawing/2014/main" id="{12F82F45-2C6D-4484-B09F-3C885FC398E0}"/>
            </a:ext>
          </a:extLst>
        </xdr:cNvPr>
        <xdr:cNvSpPr/>
      </xdr:nvSpPr>
      <xdr:spPr>
        <a:xfrm>
          <a:off x="10027002" y="371409"/>
          <a:ext cx="612000" cy="17965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11</xdr:col>
      <xdr:colOff>309508</xdr:colOff>
      <xdr:row>2</xdr:row>
      <xdr:rowOff>348</xdr:rowOff>
    </xdr:from>
    <xdr:to>
      <xdr:col>12</xdr:col>
      <xdr:colOff>239908</xdr:colOff>
      <xdr:row>2</xdr:row>
      <xdr:rowOff>180000</xdr:rowOff>
    </xdr:to>
    <xdr:sp macro="" textlink="">
      <xdr:nvSpPr>
        <xdr:cNvPr id="80" name="Прямоугольник 79">
          <a:extLst>
            <a:ext uri="{FF2B5EF4-FFF2-40B4-BE49-F238E27FC236}">
              <a16:creationId xmlns:a16="http://schemas.microsoft.com/office/drawing/2014/main" id="{4EEE1922-A0B4-4167-86AF-8C45AF94570D}"/>
            </a:ext>
          </a:extLst>
        </xdr:cNvPr>
        <xdr:cNvSpPr/>
      </xdr:nvSpPr>
      <xdr:spPr>
        <a:xfrm>
          <a:off x="7015108" y="371409"/>
          <a:ext cx="540000" cy="17965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10</xdr:col>
      <xdr:colOff>377687</xdr:colOff>
      <xdr:row>2</xdr:row>
      <xdr:rowOff>184208</xdr:rowOff>
    </xdr:from>
    <xdr:to>
      <xdr:col>11</xdr:col>
      <xdr:colOff>308087</xdr:colOff>
      <xdr:row>3</xdr:row>
      <xdr:rowOff>178678</xdr:rowOff>
    </xdr:to>
    <xdr:sp macro="" textlink="">
      <xdr:nvSpPr>
        <xdr:cNvPr id="88" name="Прямоугольник 87">
          <a:extLst>
            <a:ext uri="{FF2B5EF4-FFF2-40B4-BE49-F238E27FC236}">
              <a16:creationId xmlns:a16="http://schemas.microsoft.com/office/drawing/2014/main" id="{15160A1D-8A97-495F-97F9-89DF01928672}"/>
            </a:ext>
          </a:extLst>
        </xdr:cNvPr>
        <xdr:cNvSpPr/>
      </xdr:nvSpPr>
      <xdr:spPr>
        <a:xfrm>
          <a:off x="6473687" y="555269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11</xdr:col>
      <xdr:colOff>309508</xdr:colOff>
      <xdr:row>2</xdr:row>
      <xdr:rowOff>184207</xdr:rowOff>
    </xdr:from>
    <xdr:to>
      <xdr:col>12</xdr:col>
      <xdr:colOff>239908</xdr:colOff>
      <xdr:row>3</xdr:row>
      <xdr:rowOff>178677</xdr:rowOff>
    </xdr:to>
    <xdr:sp macro="" textlink="">
      <xdr:nvSpPr>
        <xdr:cNvPr id="89" name="Прямоугольник 88">
          <a:extLst>
            <a:ext uri="{FF2B5EF4-FFF2-40B4-BE49-F238E27FC236}">
              <a16:creationId xmlns:a16="http://schemas.microsoft.com/office/drawing/2014/main" id="{DB5AC92E-B2DF-47CD-8EA0-A09F6BF5A0E9}"/>
            </a:ext>
          </a:extLst>
        </xdr:cNvPr>
        <xdr:cNvSpPr/>
      </xdr:nvSpPr>
      <xdr:spPr>
        <a:xfrm>
          <a:off x="7015108" y="555268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12</xdr:col>
      <xdr:colOff>245339</xdr:colOff>
      <xdr:row>2</xdr:row>
      <xdr:rowOff>184207</xdr:rowOff>
    </xdr:from>
    <xdr:to>
      <xdr:col>13</xdr:col>
      <xdr:colOff>175739</xdr:colOff>
      <xdr:row>3</xdr:row>
      <xdr:rowOff>178677</xdr:rowOff>
    </xdr:to>
    <xdr:sp macro="" textlink="">
      <xdr:nvSpPr>
        <xdr:cNvPr id="90" name="Прямоугольник 89">
          <a:extLst>
            <a:ext uri="{FF2B5EF4-FFF2-40B4-BE49-F238E27FC236}">
              <a16:creationId xmlns:a16="http://schemas.microsoft.com/office/drawing/2014/main" id="{2D46CD9F-5B97-450F-841B-330BAE5CD447}"/>
            </a:ext>
          </a:extLst>
        </xdr:cNvPr>
        <xdr:cNvSpPr/>
      </xdr:nvSpPr>
      <xdr:spPr>
        <a:xfrm>
          <a:off x="7560539" y="555268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13</xdr:col>
      <xdr:colOff>177160</xdr:colOff>
      <xdr:row>2</xdr:row>
      <xdr:rowOff>184206</xdr:rowOff>
    </xdr:from>
    <xdr:to>
      <xdr:col>14</xdr:col>
      <xdr:colOff>107560</xdr:colOff>
      <xdr:row>3</xdr:row>
      <xdr:rowOff>178676</xdr:rowOff>
    </xdr:to>
    <xdr:sp macro="" textlink="">
      <xdr:nvSpPr>
        <xdr:cNvPr id="91" name="Прямоугольник 90">
          <a:extLst>
            <a:ext uri="{FF2B5EF4-FFF2-40B4-BE49-F238E27FC236}">
              <a16:creationId xmlns:a16="http://schemas.microsoft.com/office/drawing/2014/main" id="{54953B29-1E1A-460D-B05E-44BAD59981D3}"/>
            </a:ext>
          </a:extLst>
        </xdr:cNvPr>
        <xdr:cNvSpPr/>
      </xdr:nvSpPr>
      <xdr:spPr>
        <a:xfrm>
          <a:off x="8101960" y="555267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14</xdr:col>
      <xdr:colOff>108980</xdr:colOff>
      <xdr:row>2</xdr:row>
      <xdr:rowOff>184207</xdr:rowOff>
    </xdr:from>
    <xdr:to>
      <xdr:col>15</xdr:col>
      <xdr:colOff>147380</xdr:colOff>
      <xdr:row>3</xdr:row>
      <xdr:rowOff>178677</xdr:rowOff>
    </xdr:to>
    <xdr:sp macro="" textlink="">
      <xdr:nvSpPr>
        <xdr:cNvPr id="92" name="Прямоугольник 91">
          <a:extLst>
            <a:ext uri="{FF2B5EF4-FFF2-40B4-BE49-F238E27FC236}">
              <a16:creationId xmlns:a16="http://schemas.microsoft.com/office/drawing/2014/main" id="{0C8A3BAA-4D2E-431C-9FC9-FCE4128CB634}"/>
            </a:ext>
          </a:extLst>
        </xdr:cNvPr>
        <xdr:cNvSpPr/>
      </xdr:nvSpPr>
      <xdr:spPr>
        <a:xfrm>
          <a:off x="8643380" y="555268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15</xdr:col>
      <xdr:colOff>149084</xdr:colOff>
      <xdr:row>2</xdr:row>
      <xdr:rowOff>184209</xdr:rowOff>
    </xdr:from>
    <xdr:to>
      <xdr:col>16</xdr:col>
      <xdr:colOff>187484</xdr:colOff>
      <xdr:row>3</xdr:row>
      <xdr:rowOff>178679</xdr:rowOff>
    </xdr:to>
    <xdr:sp macro="" textlink="">
      <xdr:nvSpPr>
        <xdr:cNvPr id="93" name="Прямоугольник 92">
          <a:extLst>
            <a:ext uri="{FF2B5EF4-FFF2-40B4-BE49-F238E27FC236}">
              <a16:creationId xmlns:a16="http://schemas.microsoft.com/office/drawing/2014/main" id="{96E062DC-41B7-46DC-BDE2-CEF8A06B0006}"/>
            </a:ext>
          </a:extLst>
        </xdr:cNvPr>
        <xdr:cNvSpPr/>
      </xdr:nvSpPr>
      <xdr:spPr>
        <a:xfrm>
          <a:off x="9293084" y="555270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16</xdr:col>
      <xdr:colOff>189188</xdr:colOff>
      <xdr:row>2</xdr:row>
      <xdr:rowOff>184209</xdr:rowOff>
    </xdr:from>
    <xdr:to>
      <xdr:col>17</xdr:col>
      <xdr:colOff>227588</xdr:colOff>
      <xdr:row>3</xdr:row>
      <xdr:rowOff>178679</xdr:rowOff>
    </xdr:to>
    <xdr:sp macro="" textlink="">
      <xdr:nvSpPr>
        <xdr:cNvPr id="94" name="Прямоугольник 93">
          <a:extLst>
            <a:ext uri="{FF2B5EF4-FFF2-40B4-BE49-F238E27FC236}">
              <a16:creationId xmlns:a16="http://schemas.microsoft.com/office/drawing/2014/main" id="{3E527CAE-D7CC-4E0B-9F8D-B67F10AA5BEC}"/>
            </a:ext>
          </a:extLst>
        </xdr:cNvPr>
        <xdr:cNvSpPr/>
      </xdr:nvSpPr>
      <xdr:spPr>
        <a:xfrm>
          <a:off x="9942788" y="555270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10</xdr:col>
      <xdr:colOff>377688</xdr:colOff>
      <xdr:row>3</xdr:row>
      <xdr:rowOff>181556</xdr:rowOff>
    </xdr:from>
    <xdr:to>
      <xdr:col>11</xdr:col>
      <xdr:colOff>308088</xdr:colOff>
      <xdr:row>4</xdr:row>
      <xdr:rowOff>176025</xdr:rowOff>
    </xdr:to>
    <xdr:sp macro="" textlink="">
      <xdr:nvSpPr>
        <xdr:cNvPr id="95" name="Прямоугольник 94">
          <a:extLst>
            <a:ext uri="{FF2B5EF4-FFF2-40B4-BE49-F238E27FC236}">
              <a16:creationId xmlns:a16="http://schemas.microsoft.com/office/drawing/2014/main" id="{9B3B2F2A-D19E-4971-84D1-77F925A4F6EA}"/>
            </a:ext>
          </a:extLst>
        </xdr:cNvPr>
        <xdr:cNvSpPr/>
      </xdr:nvSpPr>
      <xdr:spPr>
        <a:xfrm>
          <a:off x="6473688" y="738147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11</xdr:col>
      <xdr:colOff>309509</xdr:colOff>
      <xdr:row>3</xdr:row>
      <xdr:rowOff>181555</xdr:rowOff>
    </xdr:from>
    <xdr:to>
      <xdr:col>12</xdr:col>
      <xdr:colOff>239909</xdr:colOff>
      <xdr:row>4</xdr:row>
      <xdr:rowOff>176024</xdr:rowOff>
    </xdr:to>
    <xdr:sp macro="" textlink="">
      <xdr:nvSpPr>
        <xdr:cNvPr id="96" name="Прямоугольник 95">
          <a:extLst>
            <a:ext uri="{FF2B5EF4-FFF2-40B4-BE49-F238E27FC236}">
              <a16:creationId xmlns:a16="http://schemas.microsoft.com/office/drawing/2014/main" id="{A2EC401A-3A93-43FE-8A83-F9D85FA3EF0A}"/>
            </a:ext>
          </a:extLst>
        </xdr:cNvPr>
        <xdr:cNvSpPr/>
      </xdr:nvSpPr>
      <xdr:spPr>
        <a:xfrm>
          <a:off x="7015109" y="738146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12</xdr:col>
      <xdr:colOff>241329</xdr:colOff>
      <xdr:row>3</xdr:row>
      <xdr:rowOff>181555</xdr:rowOff>
    </xdr:from>
    <xdr:to>
      <xdr:col>13</xdr:col>
      <xdr:colOff>171729</xdr:colOff>
      <xdr:row>4</xdr:row>
      <xdr:rowOff>176024</xdr:rowOff>
    </xdr:to>
    <xdr:sp macro="" textlink="">
      <xdr:nvSpPr>
        <xdr:cNvPr id="97" name="Прямоугольник 96">
          <a:extLst>
            <a:ext uri="{FF2B5EF4-FFF2-40B4-BE49-F238E27FC236}">
              <a16:creationId xmlns:a16="http://schemas.microsoft.com/office/drawing/2014/main" id="{E9E83363-62AD-4AFE-BA2C-CF0BDBB7BB31}"/>
            </a:ext>
          </a:extLst>
        </xdr:cNvPr>
        <xdr:cNvSpPr/>
      </xdr:nvSpPr>
      <xdr:spPr>
        <a:xfrm>
          <a:off x="7556529" y="738146"/>
          <a:ext cx="540000" cy="180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150</a:t>
          </a:r>
        </a:p>
      </xdr:txBody>
    </xdr:sp>
    <xdr:clientData/>
  </xdr:twoCellAnchor>
  <xdr:twoCellAnchor>
    <xdr:from>
      <xdr:col>13</xdr:col>
      <xdr:colOff>173142</xdr:colOff>
      <xdr:row>3</xdr:row>
      <xdr:rowOff>181902</xdr:rowOff>
    </xdr:from>
    <xdr:to>
      <xdr:col>14</xdr:col>
      <xdr:colOff>139542</xdr:colOff>
      <xdr:row>4</xdr:row>
      <xdr:rowOff>176023</xdr:rowOff>
    </xdr:to>
    <xdr:sp macro="" textlink="">
      <xdr:nvSpPr>
        <xdr:cNvPr id="98" name="Прямоугольник 97">
          <a:extLst>
            <a:ext uri="{FF2B5EF4-FFF2-40B4-BE49-F238E27FC236}">
              <a16:creationId xmlns:a16="http://schemas.microsoft.com/office/drawing/2014/main" id="{42B5AFFC-B068-43F0-9FA6-96CD59845D35}"/>
            </a:ext>
          </a:extLst>
        </xdr:cNvPr>
        <xdr:cNvSpPr/>
      </xdr:nvSpPr>
      <xdr:spPr>
        <a:xfrm>
          <a:off x="8097942" y="738493"/>
          <a:ext cx="576000" cy="17965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14</xdr:col>
      <xdr:colOff>141062</xdr:colOff>
      <xdr:row>3</xdr:row>
      <xdr:rowOff>181556</xdr:rowOff>
    </xdr:from>
    <xdr:to>
      <xdr:col>15</xdr:col>
      <xdr:colOff>179462</xdr:colOff>
      <xdr:row>4</xdr:row>
      <xdr:rowOff>176025</xdr:rowOff>
    </xdr:to>
    <xdr:sp macro="" textlink="">
      <xdr:nvSpPr>
        <xdr:cNvPr id="99" name="Прямоугольник 98">
          <a:extLst>
            <a:ext uri="{FF2B5EF4-FFF2-40B4-BE49-F238E27FC236}">
              <a16:creationId xmlns:a16="http://schemas.microsoft.com/office/drawing/2014/main" id="{E527CBC0-11D2-43FA-B62A-2AAF1A9DE29B}"/>
            </a:ext>
          </a:extLst>
        </xdr:cNvPr>
        <xdr:cNvSpPr/>
      </xdr:nvSpPr>
      <xdr:spPr>
        <a:xfrm>
          <a:off x="8675462" y="738147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15</xdr:col>
      <xdr:colOff>181167</xdr:colOff>
      <xdr:row>3</xdr:row>
      <xdr:rowOff>181555</xdr:rowOff>
    </xdr:from>
    <xdr:to>
      <xdr:col>16</xdr:col>
      <xdr:colOff>219567</xdr:colOff>
      <xdr:row>4</xdr:row>
      <xdr:rowOff>176024</xdr:rowOff>
    </xdr:to>
    <xdr:sp macro="" textlink="">
      <xdr:nvSpPr>
        <xdr:cNvPr id="100" name="Прямоугольник 99">
          <a:extLst>
            <a:ext uri="{FF2B5EF4-FFF2-40B4-BE49-F238E27FC236}">
              <a16:creationId xmlns:a16="http://schemas.microsoft.com/office/drawing/2014/main" id="{40782282-7D34-4F6D-B559-19D9FA01487D}"/>
            </a:ext>
          </a:extLst>
        </xdr:cNvPr>
        <xdr:cNvSpPr/>
      </xdr:nvSpPr>
      <xdr:spPr>
        <a:xfrm>
          <a:off x="9325167" y="738146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16</xdr:col>
      <xdr:colOff>221271</xdr:colOff>
      <xdr:row>3</xdr:row>
      <xdr:rowOff>181555</xdr:rowOff>
    </xdr:from>
    <xdr:to>
      <xdr:col>17</xdr:col>
      <xdr:colOff>259671</xdr:colOff>
      <xdr:row>4</xdr:row>
      <xdr:rowOff>176024</xdr:rowOff>
    </xdr:to>
    <xdr:sp macro="" textlink="">
      <xdr:nvSpPr>
        <xdr:cNvPr id="101" name="Прямоугольник 100">
          <a:extLst>
            <a:ext uri="{FF2B5EF4-FFF2-40B4-BE49-F238E27FC236}">
              <a16:creationId xmlns:a16="http://schemas.microsoft.com/office/drawing/2014/main" id="{E50D4A0A-F623-4B0B-8E30-08FAAFC34352}"/>
            </a:ext>
          </a:extLst>
        </xdr:cNvPr>
        <xdr:cNvSpPr/>
      </xdr:nvSpPr>
      <xdr:spPr>
        <a:xfrm>
          <a:off x="9974871" y="738146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  <xdr:twoCellAnchor>
    <xdr:from>
      <xdr:col>10</xdr:col>
      <xdr:colOff>377687</xdr:colOff>
      <xdr:row>4</xdr:row>
      <xdr:rowOff>172286</xdr:rowOff>
    </xdr:from>
    <xdr:to>
      <xdr:col>11</xdr:col>
      <xdr:colOff>344087</xdr:colOff>
      <xdr:row>5</xdr:row>
      <xdr:rowOff>160130</xdr:rowOff>
    </xdr:to>
    <xdr:sp macro="" textlink="">
      <xdr:nvSpPr>
        <xdr:cNvPr id="102" name="Прямоугольник 101">
          <a:extLst>
            <a:ext uri="{FF2B5EF4-FFF2-40B4-BE49-F238E27FC236}">
              <a16:creationId xmlns:a16="http://schemas.microsoft.com/office/drawing/2014/main" id="{D4EA4C85-DEA6-4BA1-808C-C4E0299A4851}"/>
            </a:ext>
          </a:extLst>
        </xdr:cNvPr>
        <xdr:cNvSpPr/>
      </xdr:nvSpPr>
      <xdr:spPr>
        <a:xfrm>
          <a:off x="6473687" y="914408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11</xdr:col>
      <xdr:colOff>342392</xdr:colOff>
      <xdr:row>4</xdr:row>
      <xdr:rowOff>172286</xdr:rowOff>
    </xdr:from>
    <xdr:to>
      <xdr:col>12</xdr:col>
      <xdr:colOff>308792</xdr:colOff>
      <xdr:row>5</xdr:row>
      <xdr:rowOff>160130</xdr:rowOff>
    </xdr:to>
    <xdr:sp macro="" textlink="">
      <xdr:nvSpPr>
        <xdr:cNvPr id="103" name="Прямоугольник 102">
          <a:extLst>
            <a:ext uri="{FF2B5EF4-FFF2-40B4-BE49-F238E27FC236}">
              <a16:creationId xmlns:a16="http://schemas.microsoft.com/office/drawing/2014/main" id="{DB90F798-0476-43A4-A33B-0E86228A7F1F}"/>
            </a:ext>
          </a:extLst>
        </xdr:cNvPr>
        <xdr:cNvSpPr/>
      </xdr:nvSpPr>
      <xdr:spPr>
        <a:xfrm>
          <a:off x="7047992" y="914408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12</xdr:col>
      <xdr:colOff>309509</xdr:colOff>
      <xdr:row>4</xdr:row>
      <xdr:rowOff>172283</xdr:rowOff>
    </xdr:from>
    <xdr:to>
      <xdr:col>13</xdr:col>
      <xdr:colOff>275909</xdr:colOff>
      <xdr:row>5</xdr:row>
      <xdr:rowOff>160127</xdr:rowOff>
    </xdr:to>
    <xdr:sp macro="" textlink="">
      <xdr:nvSpPr>
        <xdr:cNvPr id="104" name="Прямоугольник 103">
          <a:extLst>
            <a:ext uri="{FF2B5EF4-FFF2-40B4-BE49-F238E27FC236}">
              <a16:creationId xmlns:a16="http://schemas.microsoft.com/office/drawing/2014/main" id="{32269CB5-230B-4EA4-8E26-F44BF7030E72}"/>
            </a:ext>
          </a:extLst>
        </xdr:cNvPr>
        <xdr:cNvSpPr/>
      </xdr:nvSpPr>
      <xdr:spPr>
        <a:xfrm>
          <a:off x="7624709" y="914405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13</xdr:col>
      <xdr:colOff>274214</xdr:colOff>
      <xdr:row>4</xdr:row>
      <xdr:rowOff>172283</xdr:rowOff>
    </xdr:from>
    <xdr:to>
      <xdr:col>14</xdr:col>
      <xdr:colOff>240614</xdr:colOff>
      <xdr:row>5</xdr:row>
      <xdr:rowOff>160127</xdr:rowOff>
    </xdr:to>
    <xdr:sp macro="" textlink="">
      <xdr:nvSpPr>
        <xdr:cNvPr id="105" name="Прямоугольник 104">
          <a:extLst>
            <a:ext uri="{FF2B5EF4-FFF2-40B4-BE49-F238E27FC236}">
              <a16:creationId xmlns:a16="http://schemas.microsoft.com/office/drawing/2014/main" id="{5D71DA26-2EBE-432E-AF99-A03681214F91}"/>
            </a:ext>
          </a:extLst>
        </xdr:cNvPr>
        <xdr:cNvSpPr/>
      </xdr:nvSpPr>
      <xdr:spPr>
        <a:xfrm>
          <a:off x="8199014" y="914405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14</xdr:col>
      <xdr:colOff>233302</xdr:colOff>
      <xdr:row>4</xdr:row>
      <xdr:rowOff>172281</xdr:rowOff>
    </xdr:from>
    <xdr:to>
      <xdr:col>15</xdr:col>
      <xdr:colOff>199702</xdr:colOff>
      <xdr:row>5</xdr:row>
      <xdr:rowOff>160125</xdr:rowOff>
    </xdr:to>
    <xdr:sp macro="" textlink="">
      <xdr:nvSpPr>
        <xdr:cNvPr id="106" name="Прямоугольник 105">
          <a:extLst>
            <a:ext uri="{FF2B5EF4-FFF2-40B4-BE49-F238E27FC236}">
              <a16:creationId xmlns:a16="http://schemas.microsoft.com/office/drawing/2014/main" id="{00CBBF3B-136B-481D-A8F3-151EC63DFE9B}"/>
            </a:ext>
          </a:extLst>
        </xdr:cNvPr>
        <xdr:cNvSpPr/>
      </xdr:nvSpPr>
      <xdr:spPr>
        <a:xfrm>
          <a:off x="8767702" y="914403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15</xdr:col>
      <xdr:colOff>198007</xdr:colOff>
      <xdr:row>4</xdr:row>
      <xdr:rowOff>172281</xdr:rowOff>
    </xdr:from>
    <xdr:to>
      <xdr:col>16</xdr:col>
      <xdr:colOff>164407</xdr:colOff>
      <xdr:row>5</xdr:row>
      <xdr:rowOff>160125</xdr:rowOff>
    </xdr:to>
    <xdr:sp macro="" textlink="">
      <xdr:nvSpPr>
        <xdr:cNvPr id="107" name="Прямоугольник 106">
          <a:extLst>
            <a:ext uri="{FF2B5EF4-FFF2-40B4-BE49-F238E27FC236}">
              <a16:creationId xmlns:a16="http://schemas.microsoft.com/office/drawing/2014/main" id="{C9A7886A-73B6-426D-B32E-474C4DA293AD}"/>
            </a:ext>
          </a:extLst>
        </xdr:cNvPr>
        <xdr:cNvSpPr/>
      </xdr:nvSpPr>
      <xdr:spPr>
        <a:xfrm>
          <a:off x="9342007" y="914403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16</xdr:col>
      <xdr:colOff>165124</xdr:colOff>
      <xdr:row>4</xdr:row>
      <xdr:rowOff>172278</xdr:rowOff>
    </xdr:from>
    <xdr:to>
      <xdr:col>17</xdr:col>
      <xdr:colOff>131524</xdr:colOff>
      <xdr:row>5</xdr:row>
      <xdr:rowOff>160122</xdr:rowOff>
    </xdr:to>
    <xdr:sp macro="" textlink="">
      <xdr:nvSpPr>
        <xdr:cNvPr id="108" name="Прямоугольник 107">
          <a:extLst>
            <a:ext uri="{FF2B5EF4-FFF2-40B4-BE49-F238E27FC236}">
              <a16:creationId xmlns:a16="http://schemas.microsoft.com/office/drawing/2014/main" id="{7F70B5A1-E267-4D1E-B272-3B9171C0E96F}"/>
            </a:ext>
          </a:extLst>
        </xdr:cNvPr>
        <xdr:cNvSpPr/>
      </xdr:nvSpPr>
      <xdr:spPr>
        <a:xfrm>
          <a:off x="9918724" y="914400"/>
          <a:ext cx="576000" cy="180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10</xdr:col>
      <xdr:colOff>377687</xdr:colOff>
      <xdr:row>5</xdr:row>
      <xdr:rowOff>150099</xdr:rowOff>
    </xdr:from>
    <xdr:to>
      <xdr:col>11</xdr:col>
      <xdr:colOff>344087</xdr:colOff>
      <xdr:row>6</xdr:row>
      <xdr:rowOff>137593</xdr:rowOff>
    </xdr:to>
    <xdr:sp macro="" textlink="">
      <xdr:nvSpPr>
        <xdr:cNvPr id="109" name="Прямоугольник 108">
          <a:extLst>
            <a:ext uri="{FF2B5EF4-FFF2-40B4-BE49-F238E27FC236}">
              <a16:creationId xmlns:a16="http://schemas.microsoft.com/office/drawing/2014/main" id="{99839287-465F-44BD-8802-536D5156807C}"/>
            </a:ext>
          </a:extLst>
        </xdr:cNvPr>
        <xdr:cNvSpPr/>
      </xdr:nvSpPr>
      <xdr:spPr>
        <a:xfrm>
          <a:off x="6473687" y="1084377"/>
          <a:ext cx="576000" cy="179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11</xdr:col>
      <xdr:colOff>345602</xdr:colOff>
      <xdr:row>5</xdr:row>
      <xdr:rowOff>150099</xdr:rowOff>
    </xdr:from>
    <xdr:to>
      <xdr:col>12</xdr:col>
      <xdr:colOff>312002</xdr:colOff>
      <xdr:row>6</xdr:row>
      <xdr:rowOff>137593</xdr:rowOff>
    </xdr:to>
    <xdr:sp macro="" textlink="">
      <xdr:nvSpPr>
        <xdr:cNvPr id="110" name="Прямоугольник 109">
          <a:extLst>
            <a:ext uri="{FF2B5EF4-FFF2-40B4-BE49-F238E27FC236}">
              <a16:creationId xmlns:a16="http://schemas.microsoft.com/office/drawing/2014/main" id="{17FE1AEF-FC9F-4D36-B66A-0B74C52F2E2E}"/>
            </a:ext>
          </a:extLst>
        </xdr:cNvPr>
        <xdr:cNvSpPr/>
      </xdr:nvSpPr>
      <xdr:spPr>
        <a:xfrm>
          <a:off x="7051202" y="1084377"/>
          <a:ext cx="576000" cy="179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14</xdr:col>
      <xdr:colOff>249350</xdr:colOff>
      <xdr:row>5</xdr:row>
      <xdr:rowOff>150099</xdr:rowOff>
    </xdr:from>
    <xdr:to>
      <xdr:col>15</xdr:col>
      <xdr:colOff>215750</xdr:colOff>
      <xdr:row>6</xdr:row>
      <xdr:rowOff>137593</xdr:rowOff>
    </xdr:to>
    <xdr:sp macro="" textlink="">
      <xdr:nvSpPr>
        <xdr:cNvPr id="111" name="Прямоугольник 110">
          <a:extLst>
            <a:ext uri="{FF2B5EF4-FFF2-40B4-BE49-F238E27FC236}">
              <a16:creationId xmlns:a16="http://schemas.microsoft.com/office/drawing/2014/main" id="{5AEAD745-3096-47D9-B765-C6F9F42D9646}"/>
            </a:ext>
          </a:extLst>
        </xdr:cNvPr>
        <xdr:cNvSpPr/>
      </xdr:nvSpPr>
      <xdr:spPr>
        <a:xfrm>
          <a:off x="8783750" y="1084377"/>
          <a:ext cx="576000" cy="179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12</xdr:col>
      <xdr:colOff>313515</xdr:colOff>
      <xdr:row>5</xdr:row>
      <xdr:rowOff>150099</xdr:rowOff>
    </xdr:from>
    <xdr:to>
      <xdr:col>13</xdr:col>
      <xdr:colOff>279915</xdr:colOff>
      <xdr:row>6</xdr:row>
      <xdr:rowOff>137593</xdr:rowOff>
    </xdr:to>
    <xdr:sp macro="" textlink="">
      <xdr:nvSpPr>
        <xdr:cNvPr id="112" name="Прямоугольник 111">
          <a:extLst>
            <a:ext uri="{FF2B5EF4-FFF2-40B4-BE49-F238E27FC236}">
              <a16:creationId xmlns:a16="http://schemas.microsoft.com/office/drawing/2014/main" id="{FE85FF34-1E85-41B3-8F17-60437C4C138B}"/>
            </a:ext>
          </a:extLst>
        </xdr:cNvPr>
        <xdr:cNvSpPr/>
      </xdr:nvSpPr>
      <xdr:spPr>
        <a:xfrm>
          <a:off x="7628715" y="1084377"/>
          <a:ext cx="576000" cy="179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13</xdr:col>
      <xdr:colOff>281430</xdr:colOff>
      <xdr:row>5</xdr:row>
      <xdr:rowOff>150099</xdr:rowOff>
    </xdr:from>
    <xdr:to>
      <xdr:col>14</xdr:col>
      <xdr:colOff>247830</xdr:colOff>
      <xdr:row>6</xdr:row>
      <xdr:rowOff>137593</xdr:rowOff>
    </xdr:to>
    <xdr:sp macro="" textlink="">
      <xdr:nvSpPr>
        <xdr:cNvPr id="113" name="Прямоугольник 112">
          <a:extLst>
            <a:ext uri="{FF2B5EF4-FFF2-40B4-BE49-F238E27FC236}">
              <a16:creationId xmlns:a16="http://schemas.microsoft.com/office/drawing/2014/main" id="{368FF43D-35E1-41FA-9C24-80188FD46109}"/>
            </a:ext>
          </a:extLst>
        </xdr:cNvPr>
        <xdr:cNvSpPr/>
      </xdr:nvSpPr>
      <xdr:spPr>
        <a:xfrm>
          <a:off x="8206230" y="1084377"/>
          <a:ext cx="576000" cy="179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160</a:t>
          </a:r>
        </a:p>
      </xdr:txBody>
    </xdr:sp>
    <xdr:clientData/>
  </xdr:twoCellAnchor>
  <xdr:twoCellAnchor>
    <xdr:from>
      <xdr:col>15</xdr:col>
      <xdr:colOff>221266</xdr:colOff>
      <xdr:row>5</xdr:row>
      <xdr:rowOff>149751</xdr:rowOff>
    </xdr:from>
    <xdr:to>
      <xdr:col>16</xdr:col>
      <xdr:colOff>223666</xdr:colOff>
      <xdr:row>6</xdr:row>
      <xdr:rowOff>137594</xdr:rowOff>
    </xdr:to>
    <xdr:sp macro="" textlink="">
      <xdr:nvSpPr>
        <xdr:cNvPr id="114" name="Прямоугольник 113">
          <a:extLst>
            <a:ext uri="{FF2B5EF4-FFF2-40B4-BE49-F238E27FC236}">
              <a16:creationId xmlns:a16="http://schemas.microsoft.com/office/drawing/2014/main" id="{A8C3361C-4A51-40B0-81A9-EDFA6C20A2B3}"/>
            </a:ext>
          </a:extLst>
        </xdr:cNvPr>
        <xdr:cNvSpPr/>
      </xdr:nvSpPr>
      <xdr:spPr>
        <a:xfrm>
          <a:off x="9365266" y="1084029"/>
          <a:ext cx="612000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4400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170</a:t>
          </a:r>
        </a:p>
      </xdr:txBody>
    </xdr:sp>
    <xdr:clientData/>
  </xdr:twoCellAnchor>
  <xdr:twoCellAnchor>
    <xdr:from>
      <xdr:col>16</xdr:col>
      <xdr:colOff>225284</xdr:colOff>
      <xdr:row>5</xdr:row>
      <xdr:rowOff>149751</xdr:rowOff>
    </xdr:from>
    <xdr:to>
      <xdr:col>17</xdr:col>
      <xdr:colOff>263684</xdr:colOff>
      <xdr:row>6</xdr:row>
      <xdr:rowOff>137594</xdr:rowOff>
    </xdr:to>
    <xdr:sp macro="" textlink="">
      <xdr:nvSpPr>
        <xdr:cNvPr id="115" name="Прямоугольник 114">
          <a:extLst>
            <a:ext uri="{FF2B5EF4-FFF2-40B4-BE49-F238E27FC236}">
              <a16:creationId xmlns:a16="http://schemas.microsoft.com/office/drawing/2014/main" id="{40E93F65-E8A3-4E83-9098-7A72CF50A88D}"/>
            </a:ext>
          </a:extLst>
        </xdr:cNvPr>
        <xdr:cNvSpPr/>
      </xdr:nvSpPr>
      <xdr:spPr>
        <a:xfrm>
          <a:off x="9978884" y="1084029"/>
          <a:ext cx="648000" cy="1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180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6</xdr:row>
      <xdr:rowOff>114300</xdr:rowOff>
    </xdr:from>
    <xdr:to>
      <xdr:col>11</xdr:col>
      <xdr:colOff>28575</xdr:colOff>
      <xdr:row>8</xdr:row>
      <xdr:rowOff>104775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27EEE3EB-DD20-4A33-A596-E05B05415FCB}"/>
            </a:ext>
          </a:extLst>
        </xdr:cNvPr>
        <xdr:cNvCxnSpPr/>
      </xdr:nvCxnSpPr>
      <xdr:spPr>
        <a:xfrm flipH="1">
          <a:off x="2647950" y="12763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6</xdr:row>
      <xdr:rowOff>171450</xdr:rowOff>
    </xdr:from>
    <xdr:to>
      <xdr:col>11</xdr:col>
      <xdr:colOff>323850</xdr:colOff>
      <xdr:row>8</xdr:row>
      <xdr:rowOff>9525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5BAED8B-CFE5-4A4E-BDE5-99972B0BDDC7}"/>
            </a:ext>
          </a:extLst>
        </xdr:cNvPr>
        <xdr:cNvCxnSpPr/>
      </xdr:nvCxnSpPr>
      <xdr:spPr>
        <a:xfrm>
          <a:off x="6638925" y="1333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123825</xdr:rowOff>
    </xdr:from>
    <xdr:to>
      <xdr:col>18</xdr:col>
      <xdr:colOff>180975</xdr:colOff>
      <xdr:row>8</xdr:row>
      <xdr:rowOff>76200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CB2DD220-E8AD-4DBE-B7D6-AA956BA74970}"/>
            </a:ext>
          </a:extLst>
        </xdr:cNvPr>
        <xdr:cNvCxnSpPr/>
      </xdr:nvCxnSpPr>
      <xdr:spPr>
        <a:xfrm>
          <a:off x="6934200" y="1285875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8</xdr:row>
      <xdr:rowOff>85725</xdr:rowOff>
    </xdr:from>
    <xdr:to>
      <xdr:col>4</xdr:col>
      <xdr:colOff>238125</xdr:colOff>
      <xdr:row>10</xdr:row>
      <xdr:rowOff>38100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880C9987-6A97-4F6A-B63D-967952140A9B}"/>
            </a:ext>
          </a:extLst>
        </xdr:cNvPr>
        <xdr:cNvCxnSpPr/>
      </xdr:nvCxnSpPr>
      <xdr:spPr>
        <a:xfrm flipH="1">
          <a:off x="1466850" y="16383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8</xdr:row>
      <xdr:rowOff>161925</xdr:rowOff>
    </xdr:from>
    <xdr:to>
      <xdr:col>4</xdr:col>
      <xdr:colOff>333375</xdr:colOff>
      <xdr:row>10</xdr:row>
      <xdr:rowOff>9525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CD779D81-5485-46C5-AA9A-2C53AA226841}"/>
            </a:ext>
          </a:extLst>
        </xdr:cNvPr>
        <xdr:cNvCxnSpPr/>
      </xdr:nvCxnSpPr>
      <xdr:spPr>
        <a:xfrm>
          <a:off x="2381250" y="1714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</xdr:row>
      <xdr:rowOff>133350</xdr:rowOff>
    </xdr:from>
    <xdr:to>
      <xdr:col>6</xdr:col>
      <xdr:colOff>123825</xdr:colOff>
      <xdr:row>10</xdr:row>
      <xdr:rowOff>57150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A5EC463F-E48A-4083-B6DF-183F1EAE12AB}"/>
            </a:ext>
          </a:extLst>
        </xdr:cNvPr>
        <xdr:cNvCxnSpPr/>
      </xdr:nvCxnSpPr>
      <xdr:spPr>
        <a:xfrm>
          <a:off x="2638425" y="16859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8</xdr:row>
      <xdr:rowOff>104775</xdr:rowOff>
    </xdr:from>
    <xdr:to>
      <xdr:col>11</xdr:col>
      <xdr:colOff>171450</xdr:colOff>
      <xdr:row>10</xdr:row>
      <xdr:rowOff>57150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3F7DA34C-AFAC-475A-BE53-B37E2DE00AAC}"/>
            </a:ext>
          </a:extLst>
        </xdr:cNvPr>
        <xdr:cNvCxnSpPr/>
      </xdr:nvCxnSpPr>
      <xdr:spPr>
        <a:xfrm flipH="1">
          <a:off x="5667375" y="16573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8</xdr:row>
      <xdr:rowOff>180975</xdr:rowOff>
    </xdr:from>
    <xdr:to>
      <xdr:col>11</xdr:col>
      <xdr:colOff>266700</xdr:colOff>
      <xdr:row>10</xdr:row>
      <xdr:rowOff>28575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B47CA209-E4A6-457F-9B3E-ED8DA67BAE39}"/>
            </a:ext>
          </a:extLst>
        </xdr:cNvPr>
        <xdr:cNvCxnSpPr/>
      </xdr:nvCxnSpPr>
      <xdr:spPr>
        <a:xfrm>
          <a:off x="6581775" y="17335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8</xdr:row>
      <xdr:rowOff>152400</xdr:rowOff>
    </xdr:from>
    <xdr:to>
      <xdr:col>13</xdr:col>
      <xdr:colOff>57150</xdr:colOff>
      <xdr:row>10</xdr:row>
      <xdr:rowOff>76200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BC0A5998-32B4-4883-9215-C80E753B0C45}"/>
            </a:ext>
          </a:extLst>
        </xdr:cNvPr>
        <xdr:cNvCxnSpPr/>
      </xdr:nvCxnSpPr>
      <xdr:spPr>
        <a:xfrm>
          <a:off x="6838950" y="17049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561975</xdr:colOff>
      <xdr:row>8</xdr:row>
      <xdr:rowOff>114300</xdr:rowOff>
    </xdr:from>
    <xdr:to>
      <xdr:col>18</xdr:col>
      <xdr:colOff>171450</xdr:colOff>
      <xdr:row>10</xdr:row>
      <xdr:rowOff>66675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18F89664-D86B-4B9C-B570-A3C13701F4DB}"/>
            </a:ext>
          </a:extLst>
        </xdr:cNvPr>
        <xdr:cNvCxnSpPr/>
      </xdr:nvCxnSpPr>
      <xdr:spPr>
        <a:xfrm flipH="1">
          <a:off x="9934575" y="16668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257175</xdr:colOff>
      <xdr:row>9</xdr:row>
      <xdr:rowOff>0</xdr:rowOff>
    </xdr:from>
    <xdr:to>
      <xdr:col>18</xdr:col>
      <xdr:colOff>266700</xdr:colOff>
      <xdr:row>10</xdr:row>
      <xdr:rowOff>38100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529FA0B7-96F2-4ED2-900A-9999AF1EA60E}"/>
            </a:ext>
          </a:extLst>
        </xdr:cNvPr>
        <xdr:cNvCxnSpPr/>
      </xdr:nvCxnSpPr>
      <xdr:spPr>
        <a:xfrm>
          <a:off x="10848975" y="17430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8</xdr:row>
      <xdr:rowOff>161925</xdr:rowOff>
    </xdr:from>
    <xdr:to>
      <xdr:col>20</xdr:col>
      <xdr:colOff>57150</xdr:colOff>
      <xdr:row>10</xdr:row>
      <xdr:rowOff>85725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03843FCE-938C-40A4-889D-3C515E5F4677}"/>
            </a:ext>
          </a:extLst>
        </xdr:cNvPr>
        <xdr:cNvCxnSpPr/>
      </xdr:nvCxnSpPr>
      <xdr:spPr>
        <a:xfrm>
          <a:off x="11106150" y="17145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1</xdr:row>
      <xdr:rowOff>142875</xdr:rowOff>
    </xdr:from>
    <xdr:to>
      <xdr:col>31</xdr:col>
      <xdr:colOff>38100</xdr:colOff>
      <xdr:row>6</xdr:row>
      <xdr:rowOff>19050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3C525CEF-05E2-4801-957E-D8A74F015D05}"/>
            </a:ext>
          </a:extLst>
        </xdr:cNvPr>
        <xdr:cNvCxnSpPr/>
      </xdr:nvCxnSpPr>
      <xdr:spPr>
        <a:xfrm flipH="1">
          <a:off x="6867525" y="3429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323850</xdr:colOff>
      <xdr:row>2</xdr:row>
      <xdr:rowOff>0</xdr:rowOff>
    </xdr:from>
    <xdr:to>
      <xdr:col>31</xdr:col>
      <xdr:colOff>333375</xdr:colOff>
      <xdr:row>6</xdr:row>
      <xdr:rowOff>9525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9FDB09DE-FA6C-466F-A73E-ECC248FD5F2D}"/>
            </a:ext>
          </a:extLst>
        </xdr:cNvPr>
        <xdr:cNvCxnSpPr/>
      </xdr:nvCxnSpPr>
      <xdr:spPr>
        <a:xfrm>
          <a:off x="18840450" y="3905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571500</xdr:colOff>
      <xdr:row>1</xdr:row>
      <xdr:rowOff>123825</xdr:rowOff>
    </xdr:from>
    <xdr:to>
      <xdr:col>51</xdr:col>
      <xdr:colOff>114300</xdr:colOff>
      <xdr:row>6</xdr:row>
      <xdr:rowOff>57150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4E625D3D-D735-4083-ACC6-2E1090FCF7BD}"/>
            </a:ext>
          </a:extLst>
        </xdr:cNvPr>
        <xdr:cNvCxnSpPr/>
      </xdr:nvCxnSpPr>
      <xdr:spPr>
        <a:xfrm>
          <a:off x="19088100" y="3238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590550</xdr:colOff>
      <xdr:row>6</xdr:row>
      <xdr:rowOff>114300</xdr:rowOff>
    </xdr:from>
    <xdr:to>
      <xdr:col>71</xdr:col>
      <xdr:colOff>28575</xdr:colOff>
      <xdr:row>8</xdr:row>
      <xdr:rowOff>104775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EC28B323-72F0-4344-9EE7-6B6A55DCAB05}"/>
            </a:ext>
          </a:extLst>
        </xdr:cNvPr>
        <xdr:cNvCxnSpPr/>
      </xdr:nvCxnSpPr>
      <xdr:spPr>
        <a:xfrm flipH="1">
          <a:off x="39223950" y="12763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314325</xdr:colOff>
      <xdr:row>6</xdr:row>
      <xdr:rowOff>171450</xdr:rowOff>
    </xdr:from>
    <xdr:to>
      <xdr:col>71</xdr:col>
      <xdr:colOff>323850</xdr:colOff>
      <xdr:row>8</xdr:row>
      <xdr:rowOff>9525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2226924-FAD0-49B7-8879-5C05AB180921}"/>
            </a:ext>
          </a:extLst>
        </xdr:cNvPr>
        <xdr:cNvCxnSpPr/>
      </xdr:nvCxnSpPr>
      <xdr:spPr>
        <a:xfrm>
          <a:off x="43214925" y="1333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6</xdr:row>
      <xdr:rowOff>123825</xdr:rowOff>
    </xdr:from>
    <xdr:to>
      <xdr:col>78</xdr:col>
      <xdr:colOff>180975</xdr:colOff>
      <xdr:row>8</xdr:row>
      <xdr:rowOff>76200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EF3AF6AE-1FE3-4057-AD8C-3F8938351A34}"/>
            </a:ext>
          </a:extLst>
        </xdr:cNvPr>
        <xdr:cNvCxnSpPr/>
      </xdr:nvCxnSpPr>
      <xdr:spPr>
        <a:xfrm>
          <a:off x="43510200" y="1285875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19050</xdr:colOff>
      <xdr:row>8</xdr:row>
      <xdr:rowOff>85725</xdr:rowOff>
    </xdr:from>
    <xdr:to>
      <xdr:col>64</xdr:col>
      <xdr:colOff>238125</xdr:colOff>
      <xdr:row>10</xdr:row>
      <xdr:rowOff>38100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E800337-514C-4ED8-8312-9E56E69C0064}"/>
            </a:ext>
          </a:extLst>
        </xdr:cNvPr>
        <xdr:cNvCxnSpPr/>
      </xdr:nvCxnSpPr>
      <xdr:spPr>
        <a:xfrm flipH="1">
          <a:off x="38042850" y="16383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8</xdr:row>
      <xdr:rowOff>161925</xdr:rowOff>
    </xdr:from>
    <xdr:to>
      <xdr:col>64</xdr:col>
      <xdr:colOff>333375</xdr:colOff>
      <xdr:row>10</xdr:row>
      <xdr:rowOff>9525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0956947B-97B5-4124-B8F7-87BDE4503566}"/>
            </a:ext>
          </a:extLst>
        </xdr:cNvPr>
        <xdr:cNvCxnSpPr/>
      </xdr:nvCxnSpPr>
      <xdr:spPr>
        <a:xfrm>
          <a:off x="38957250" y="1714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581025</xdr:colOff>
      <xdr:row>8</xdr:row>
      <xdr:rowOff>133350</xdr:rowOff>
    </xdr:from>
    <xdr:to>
      <xdr:col>66</xdr:col>
      <xdr:colOff>123825</xdr:colOff>
      <xdr:row>10</xdr:row>
      <xdr:rowOff>57150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E25CA6D8-30D7-4D49-BA9A-05D155D5230A}"/>
            </a:ext>
          </a:extLst>
        </xdr:cNvPr>
        <xdr:cNvCxnSpPr/>
      </xdr:nvCxnSpPr>
      <xdr:spPr>
        <a:xfrm>
          <a:off x="39214425" y="16859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561975</xdr:colOff>
      <xdr:row>8</xdr:row>
      <xdr:rowOff>104775</xdr:rowOff>
    </xdr:from>
    <xdr:to>
      <xdr:col>71</xdr:col>
      <xdr:colOff>171450</xdr:colOff>
      <xdr:row>10</xdr:row>
      <xdr:rowOff>57150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250AC0D4-F5E9-4E90-A981-C46173AEE667}"/>
            </a:ext>
          </a:extLst>
        </xdr:cNvPr>
        <xdr:cNvCxnSpPr/>
      </xdr:nvCxnSpPr>
      <xdr:spPr>
        <a:xfrm flipH="1">
          <a:off x="42243375" y="16573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257175</xdr:colOff>
      <xdr:row>8</xdr:row>
      <xdr:rowOff>180975</xdr:rowOff>
    </xdr:from>
    <xdr:to>
      <xdr:col>71</xdr:col>
      <xdr:colOff>266700</xdr:colOff>
      <xdr:row>10</xdr:row>
      <xdr:rowOff>28575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561CC131-0C5C-47DC-8966-D3ABBBC1DAD0}"/>
            </a:ext>
          </a:extLst>
        </xdr:cNvPr>
        <xdr:cNvCxnSpPr/>
      </xdr:nvCxnSpPr>
      <xdr:spPr>
        <a:xfrm>
          <a:off x="43157775" y="17335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514350</xdr:colOff>
      <xdr:row>8</xdr:row>
      <xdr:rowOff>152400</xdr:rowOff>
    </xdr:from>
    <xdr:to>
      <xdr:col>73</xdr:col>
      <xdr:colOff>57150</xdr:colOff>
      <xdr:row>10</xdr:row>
      <xdr:rowOff>76200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561A8217-A84D-4097-B194-DF5748730E74}"/>
            </a:ext>
          </a:extLst>
        </xdr:cNvPr>
        <xdr:cNvCxnSpPr/>
      </xdr:nvCxnSpPr>
      <xdr:spPr>
        <a:xfrm>
          <a:off x="43414950" y="17049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561975</xdr:colOff>
      <xdr:row>8</xdr:row>
      <xdr:rowOff>114300</xdr:rowOff>
    </xdr:from>
    <xdr:to>
      <xdr:col>78</xdr:col>
      <xdr:colOff>171450</xdr:colOff>
      <xdr:row>10</xdr:row>
      <xdr:rowOff>66675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E1B6FA22-4AD3-4DF2-929B-2E12448713DF}"/>
            </a:ext>
          </a:extLst>
        </xdr:cNvPr>
        <xdr:cNvCxnSpPr/>
      </xdr:nvCxnSpPr>
      <xdr:spPr>
        <a:xfrm flipH="1">
          <a:off x="46510575" y="16668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257175</xdr:colOff>
      <xdr:row>9</xdr:row>
      <xdr:rowOff>0</xdr:rowOff>
    </xdr:from>
    <xdr:to>
      <xdr:col>78</xdr:col>
      <xdr:colOff>266700</xdr:colOff>
      <xdr:row>10</xdr:row>
      <xdr:rowOff>38100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01DD8485-1CAA-4797-95D2-04D6C7DE7B0B}"/>
            </a:ext>
          </a:extLst>
        </xdr:cNvPr>
        <xdr:cNvCxnSpPr/>
      </xdr:nvCxnSpPr>
      <xdr:spPr>
        <a:xfrm>
          <a:off x="47424975" y="17430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514350</xdr:colOff>
      <xdr:row>8</xdr:row>
      <xdr:rowOff>161925</xdr:rowOff>
    </xdr:from>
    <xdr:to>
      <xdr:col>80</xdr:col>
      <xdr:colOff>57150</xdr:colOff>
      <xdr:row>10</xdr:row>
      <xdr:rowOff>85725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86050CA7-6165-4BEE-89C0-69609397FDD1}"/>
            </a:ext>
          </a:extLst>
        </xdr:cNvPr>
        <xdr:cNvCxnSpPr/>
      </xdr:nvCxnSpPr>
      <xdr:spPr>
        <a:xfrm>
          <a:off x="47682150" y="17145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542925</xdr:colOff>
      <xdr:row>1</xdr:row>
      <xdr:rowOff>142875</xdr:rowOff>
    </xdr:from>
    <xdr:to>
      <xdr:col>91</xdr:col>
      <xdr:colOff>38100</xdr:colOff>
      <xdr:row>6</xdr:row>
      <xdr:rowOff>19050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5C7FA5C9-CCBB-447C-9D75-39A8E80CEA7D}"/>
            </a:ext>
          </a:extLst>
        </xdr:cNvPr>
        <xdr:cNvCxnSpPr/>
      </xdr:nvCxnSpPr>
      <xdr:spPr>
        <a:xfrm flipH="1">
          <a:off x="43443525" y="3429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323850</xdr:colOff>
      <xdr:row>2</xdr:row>
      <xdr:rowOff>0</xdr:rowOff>
    </xdr:from>
    <xdr:to>
      <xdr:col>91</xdr:col>
      <xdr:colOff>333375</xdr:colOff>
      <xdr:row>6</xdr:row>
      <xdr:rowOff>9525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32C26E37-0D06-417B-9A2E-950FE3804DFE}"/>
            </a:ext>
          </a:extLst>
        </xdr:cNvPr>
        <xdr:cNvCxnSpPr/>
      </xdr:nvCxnSpPr>
      <xdr:spPr>
        <a:xfrm>
          <a:off x="55416450" y="3905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571500</xdr:colOff>
      <xdr:row>1</xdr:row>
      <xdr:rowOff>123825</xdr:rowOff>
    </xdr:from>
    <xdr:to>
      <xdr:col>111</xdr:col>
      <xdr:colOff>114300</xdr:colOff>
      <xdr:row>6</xdr:row>
      <xdr:rowOff>57150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628AC3BB-D4DB-4F2E-BAC5-F6016D9F679A}"/>
            </a:ext>
          </a:extLst>
        </xdr:cNvPr>
        <xdr:cNvCxnSpPr/>
      </xdr:nvCxnSpPr>
      <xdr:spPr>
        <a:xfrm>
          <a:off x="55664100" y="3238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6</xdr:row>
      <xdr:rowOff>114300</xdr:rowOff>
    </xdr:from>
    <xdr:to>
      <xdr:col>131</xdr:col>
      <xdr:colOff>28575</xdr:colOff>
      <xdr:row>8</xdr:row>
      <xdr:rowOff>104775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0D7233C6-AE9A-4EF0-B233-F0A854D175CD}"/>
            </a:ext>
          </a:extLst>
        </xdr:cNvPr>
        <xdr:cNvCxnSpPr/>
      </xdr:nvCxnSpPr>
      <xdr:spPr>
        <a:xfrm flipH="1">
          <a:off x="75799950" y="12763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314325</xdr:colOff>
      <xdr:row>6</xdr:row>
      <xdr:rowOff>171450</xdr:rowOff>
    </xdr:from>
    <xdr:to>
      <xdr:col>131</xdr:col>
      <xdr:colOff>323850</xdr:colOff>
      <xdr:row>8</xdr:row>
      <xdr:rowOff>9525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C65E13A5-7819-41DF-BA8F-0A4D1B787592}"/>
            </a:ext>
          </a:extLst>
        </xdr:cNvPr>
        <xdr:cNvCxnSpPr/>
      </xdr:nvCxnSpPr>
      <xdr:spPr>
        <a:xfrm>
          <a:off x="79790925" y="1333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6</xdr:row>
      <xdr:rowOff>123825</xdr:rowOff>
    </xdr:from>
    <xdr:to>
      <xdr:col>138</xdr:col>
      <xdr:colOff>180975</xdr:colOff>
      <xdr:row>8</xdr:row>
      <xdr:rowOff>76200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05C14933-E4B3-45CE-874B-306E3F970D5D}"/>
            </a:ext>
          </a:extLst>
        </xdr:cNvPr>
        <xdr:cNvCxnSpPr/>
      </xdr:nvCxnSpPr>
      <xdr:spPr>
        <a:xfrm>
          <a:off x="80086200" y="1285875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19050</xdr:colOff>
      <xdr:row>8</xdr:row>
      <xdr:rowOff>85725</xdr:rowOff>
    </xdr:from>
    <xdr:to>
      <xdr:col>124</xdr:col>
      <xdr:colOff>238125</xdr:colOff>
      <xdr:row>10</xdr:row>
      <xdr:rowOff>38100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1554EA58-367F-4D0C-A1DD-AF9975F5A2D4}"/>
            </a:ext>
          </a:extLst>
        </xdr:cNvPr>
        <xdr:cNvCxnSpPr/>
      </xdr:nvCxnSpPr>
      <xdr:spPr>
        <a:xfrm flipH="1">
          <a:off x="74618850" y="16383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323850</xdr:colOff>
      <xdr:row>8</xdr:row>
      <xdr:rowOff>161925</xdr:rowOff>
    </xdr:from>
    <xdr:to>
      <xdr:col>124</xdr:col>
      <xdr:colOff>333375</xdr:colOff>
      <xdr:row>10</xdr:row>
      <xdr:rowOff>9525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450337A5-E3CB-4A96-AC95-605E54C3D937}"/>
            </a:ext>
          </a:extLst>
        </xdr:cNvPr>
        <xdr:cNvCxnSpPr/>
      </xdr:nvCxnSpPr>
      <xdr:spPr>
        <a:xfrm>
          <a:off x="75533250" y="17145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581025</xdr:colOff>
      <xdr:row>8</xdr:row>
      <xdr:rowOff>133350</xdr:rowOff>
    </xdr:from>
    <xdr:to>
      <xdr:col>126</xdr:col>
      <xdr:colOff>123825</xdr:colOff>
      <xdr:row>10</xdr:row>
      <xdr:rowOff>57150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87ED0EB9-8B2F-43E0-9B39-4F1C933548F6}"/>
            </a:ext>
          </a:extLst>
        </xdr:cNvPr>
        <xdr:cNvCxnSpPr/>
      </xdr:nvCxnSpPr>
      <xdr:spPr>
        <a:xfrm>
          <a:off x="75790425" y="16859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129</xdr:col>
      <xdr:colOff>561975</xdr:colOff>
      <xdr:row>8</xdr:row>
      <xdr:rowOff>104775</xdr:rowOff>
    </xdr:from>
    <xdr:to>
      <xdr:col>131</xdr:col>
      <xdr:colOff>171450</xdr:colOff>
      <xdr:row>10</xdr:row>
      <xdr:rowOff>57150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05C909EF-2197-4A52-8E07-9A255AA5E73B}"/>
            </a:ext>
          </a:extLst>
        </xdr:cNvPr>
        <xdr:cNvCxnSpPr/>
      </xdr:nvCxnSpPr>
      <xdr:spPr>
        <a:xfrm flipH="1">
          <a:off x="78819375" y="16573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257175</xdr:colOff>
      <xdr:row>8</xdr:row>
      <xdr:rowOff>180975</xdr:rowOff>
    </xdr:from>
    <xdr:to>
      <xdr:col>131</xdr:col>
      <xdr:colOff>266700</xdr:colOff>
      <xdr:row>10</xdr:row>
      <xdr:rowOff>28575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790789FC-376E-4DD1-814F-BB33E3633005}"/>
            </a:ext>
          </a:extLst>
        </xdr:cNvPr>
        <xdr:cNvCxnSpPr/>
      </xdr:nvCxnSpPr>
      <xdr:spPr>
        <a:xfrm>
          <a:off x="79733775" y="17335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514350</xdr:colOff>
      <xdr:row>8</xdr:row>
      <xdr:rowOff>152400</xdr:rowOff>
    </xdr:from>
    <xdr:to>
      <xdr:col>133</xdr:col>
      <xdr:colOff>57150</xdr:colOff>
      <xdr:row>10</xdr:row>
      <xdr:rowOff>76200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548B50D3-3FA6-43E3-BA11-704A4191A068}"/>
            </a:ext>
          </a:extLst>
        </xdr:cNvPr>
        <xdr:cNvCxnSpPr/>
      </xdr:nvCxnSpPr>
      <xdr:spPr>
        <a:xfrm>
          <a:off x="79990950" y="17049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561975</xdr:colOff>
      <xdr:row>8</xdr:row>
      <xdr:rowOff>114300</xdr:rowOff>
    </xdr:from>
    <xdr:to>
      <xdr:col>138</xdr:col>
      <xdr:colOff>171450</xdr:colOff>
      <xdr:row>10</xdr:row>
      <xdr:rowOff>66675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54E90E2B-49C2-4F67-B2A2-9D4C9E525967}"/>
            </a:ext>
          </a:extLst>
        </xdr:cNvPr>
        <xdr:cNvCxnSpPr/>
      </xdr:nvCxnSpPr>
      <xdr:spPr>
        <a:xfrm flipH="1">
          <a:off x="83086575" y="16668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257175</xdr:colOff>
      <xdr:row>9</xdr:row>
      <xdr:rowOff>0</xdr:rowOff>
    </xdr:from>
    <xdr:to>
      <xdr:col>138</xdr:col>
      <xdr:colOff>266700</xdr:colOff>
      <xdr:row>10</xdr:row>
      <xdr:rowOff>38100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E02A7AD0-0159-43A1-A437-5AB27272052D}"/>
            </a:ext>
          </a:extLst>
        </xdr:cNvPr>
        <xdr:cNvCxnSpPr/>
      </xdr:nvCxnSpPr>
      <xdr:spPr>
        <a:xfrm>
          <a:off x="84000975" y="17430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514350</xdr:colOff>
      <xdr:row>8</xdr:row>
      <xdr:rowOff>161925</xdr:rowOff>
    </xdr:from>
    <xdr:to>
      <xdr:col>140</xdr:col>
      <xdr:colOff>57150</xdr:colOff>
      <xdr:row>10</xdr:row>
      <xdr:rowOff>85725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C25755AD-4979-4BDE-BB44-41BA94FB4CFC}"/>
            </a:ext>
          </a:extLst>
        </xdr:cNvPr>
        <xdr:cNvCxnSpPr/>
      </xdr:nvCxnSpPr>
      <xdr:spPr>
        <a:xfrm>
          <a:off x="84258150" y="17145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542925</xdr:colOff>
      <xdr:row>1</xdr:row>
      <xdr:rowOff>142875</xdr:rowOff>
    </xdr:from>
    <xdr:to>
      <xdr:col>151</xdr:col>
      <xdr:colOff>38100</xdr:colOff>
      <xdr:row>6</xdr:row>
      <xdr:rowOff>19050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AFD1712B-4D2C-49BC-91C4-F6EF02BF70B4}"/>
            </a:ext>
          </a:extLst>
        </xdr:cNvPr>
        <xdr:cNvCxnSpPr/>
      </xdr:nvCxnSpPr>
      <xdr:spPr>
        <a:xfrm flipH="1">
          <a:off x="80019525" y="3429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323850</xdr:colOff>
      <xdr:row>2</xdr:row>
      <xdr:rowOff>0</xdr:rowOff>
    </xdr:from>
    <xdr:to>
      <xdr:col>151</xdr:col>
      <xdr:colOff>333375</xdr:colOff>
      <xdr:row>6</xdr:row>
      <xdr:rowOff>9525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B62857C4-B473-4F5B-90DE-ED6061927737}"/>
            </a:ext>
          </a:extLst>
        </xdr:cNvPr>
        <xdr:cNvCxnSpPr/>
      </xdr:nvCxnSpPr>
      <xdr:spPr>
        <a:xfrm>
          <a:off x="91992450" y="3905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571500</xdr:colOff>
      <xdr:row>1</xdr:row>
      <xdr:rowOff>123825</xdr:rowOff>
    </xdr:from>
    <xdr:to>
      <xdr:col>171</xdr:col>
      <xdr:colOff>114300</xdr:colOff>
      <xdr:row>6</xdr:row>
      <xdr:rowOff>57150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A6ED8EC2-6042-4DF2-A562-117F73C78E0D}"/>
            </a:ext>
          </a:extLst>
        </xdr:cNvPr>
        <xdr:cNvCxnSpPr/>
      </xdr:nvCxnSpPr>
      <xdr:spPr>
        <a:xfrm>
          <a:off x="92240100" y="3238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27</xdr:row>
      <xdr:rowOff>114300</xdr:rowOff>
    </xdr:from>
    <xdr:to>
      <xdr:col>11</xdr:col>
      <xdr:colOff>28575</xdr:colOff>
      <xdr:row>29</xdr:row>
      <xdr:rowOff>104775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1A74B518-FDAA-4330-957F-ECE7FFCC2D20}"/>
            </a:ext>
          </a:extLst>
        </xdr:cNvPr>
        <xdr:cNvCxnSpPr/>
      </xdr:nvCxnSpPr>
      <xdr:spPr>
        <a:xfrm flipH="1">
          <a:off x="2647950" y="53149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27</xdr:row>
      <xdr:rowOff>171450</xdr:rowOff>
    </xdr:from>
    <xdr:to>
      <xdr:col>11</xdr:col>
      <xdr:colOff>323850</xdr:colOff>
      <xdr:row>29</xdr:row>
      <xdr:rowOff>9525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7DB2BD37-7E06-4EFB-9B18-65B92DA35E3E}"/>
            </a:ext>
          </a:extLst>
        </xdr:cNvPr>
        <xdr:cNvCxnSpPr/>
      </xdr:nvCxnSpPr>
      <xdr:spPr>
        <a:xfrm>
          <a:off x="6638925" y="5372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178254</xdr:rowOff>
    </xdr:from>
    <xdr:to>
      <xdr:col>18</xdr:col>
      <xdr:colOff>180975</xdr:colOff>
      <xdr:row>29</xdr:row>
      <xdr:rowOff>130629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39966BD1-7B7D-454C-8ECF-9BD94465C023}"/>
            </a:ext>
          </a:extLst>
        </xdr:cNvPr>
        <xdr:cNvCxnSpPr/>
      </xdr:nvCxnSpPr>
      <xdr:spPr>
        <a:xfrm>
          <a:off x="6934200" y="5378904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29</xdr:row>
      <xdr:rowOff>85725</xdr:rowOff>
    </xdr:from>
    <xdr:to>
      <xdr:col>4</xdr:col>
      <xdr:colOff>238125</xdr:colOff>
      <xdr:row>31</xdr:row>
      <xdr:rowOff>38100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BFD0A0C2-3D15-484E-9BF1-13D54F7E86B5}"/>
            </a:ext>
          </a:extLst>
        </xdr:cNvPr>
        <xdr:cNvCxnSpPr/>
      </xdr:nvCxnSpPr>
      <xdr:spPr>
        <a:xfrm flipH="1">
          <a:off x="1466850" y="56769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29</xdr:row>
      <xdr:rowOff>161925</xdr:rowOff>
    </xdr:from>
    <xdr:to>
      <xdr:col>4</xdr:col>
      <xdr:colOff>333375</xdr:colOff>
      <xdr:row>31</xdr:row>
      <xdr:rowOff>9525</xdr:rowOff>
    </xdr:to>
    <xdr:cxnSp macro="">
      <xdr:nvCxnSpPr>
        <xdr:cNvPr id="51" name="Прямая со стрелкой 50">
          <a:extLst>
            <a:ext uri="{FF2B5EF4-FFF2-40B4-BE49-F238E27FC236}">
              <a16:creationId xmlns:a16="http://schemas.microsoft.com/office/drawing/2014/main" id="{2DFC4F0A-E8BB-4A3F-8608-A0D805BF5C93}"/>
            </a:ext>
          </a:extLst>
        </xdr:cNvPr>
        <xdr:cNvCxnSpPr/>
      </xdr:nvCxnSpPr>
      <xdr:spPr>
        <a:xfrm>
          <a:off x="2381250" y="5753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29</xdr:row>
      <xdr:rowOff>133350</xdr:rowOff>
    </xdr:from>
    <xdr:to>
      <xdr:col>6</xdr:col>
      <xdr:colOff>123825</xdr:colOff>
      <xdr:row>31</xdr:row>
      <xdr:rowOff>57150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65353A39-F720-4F56-929A-08E190270BAC}"/>
            </a:ext>
          </a:extLst>
        </xdr:cNvPr>
        <xdr:cNvCxnSpPr/>
      </xdr:nvCxnSpPr>
      <xdr:spPr>
        <a:xfrm>
          <a:off x="2638425" y="57245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29</xdr:row>
      <xdr:rowOff>104775</xdr:rowOff>
    </xdr:from>
    <xdr:to>
      <xdr:col>11</xdr:col>
      <xdr:colOff>171450</xdr:colOff>
      <xdr:row>31</xdr:row>
      <xdr:rowOff>57150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45B86C6E-FAEA-4935-8C7D-7F3922E57178}"/>
            </a:ext>
          </a:extLst>
        </xdr:cNvPr>
        <xdr:cNvCxnSpPr/>
      </xdr:nvCxnSpPr>
      <xdr:spPr>
        <a:xfrm flipH="1">
          <a:off x="5667375" y="56959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29</xdr:row>
      <xdr:rowOff>180975</xdr:rowOff>
    </xdr:from>
    <xdr:to>
      <xdr:col>11</xdr:col>
      <xdr:colOff>266700</xdr:colOff>
      <xdr:row>31</xdr:row>
      <xdr:rowOff>28575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49978167-2087-44CB-8667-FA9C57789423}"/>
            </a:ext>
          </a:extLst>
        </xdr:cNvPr>
        <xdr:cNvCxnSpPr/>
      </xdr:nvCxnSpPr>
      <xdr:spPr>
        <a:xfrm>
          <a:off x="6581775" y="57721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29</xdr:row>
      <xdr:rowOff>152400</xdr:rowOff>
    </xdr:from>
    <xdr:to>
      <xdr:col>13</xdr:col>
      <xdr:colOff>57150</xdr:colOff>
      <xdr:row>31</xdr:row>
      <xdr:rowOff>76200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6FBDA381-5156-4103-8216-83D71599CA2D}"/>
            </a:ext>
          </a:extLst>
        </xdr:cNvPr>
        <xdr:cNvCxnSpPr/>
      </xdr:nvCxnSpPr>
      <xdr:spPr>
        <a:xfrm>
          <a:off x="6838950" y="57435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561975</xdr:colOff>
      <xdr:row>29</xdr:row>
      <xdr:rowOff>114300</xdr:rowOff>
    </xdr:from>
    <xdr:to>
      <xdr:col>18</xdr:col>
      <xdr:colOff>171450</xdr:colOff>
      <xdr:row>31</xdr:row>
      <xdr:rowOff>66675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EE74936B-4E0E-4410-B8F2-F309652A5441}"/>
            </a:ext>
          </a:extLst>
        </xdr:cNvPr>
        <xdr:cNvCxnSpPr/>
      </xdr:nvCxnSpPr>
      <xdr:spPr>
        <a:xfrm flipH="1">
          <a:off x="9934575" y="57054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257175</xdr:colOff>
      <xdr:row>30</xdr:row>
      <xdr:rowOff>0</xdr:rowOff>
    </xdr:from>
    <xdr:to>
      <xdr:col>18</xdr:col>
      <xdr:colOff>266700</xdr:colOff>
      <xdr:row>31</xdr:row>
      <xdr:rowOff>38100</xdr:rowOff>
    </xdr:to>
    <xdr:cxnSp macro="">
      <xdr:nvCxnSpPr>
        <xdr:cNvPr id="57" name="Прямая со стрелкой 56">
          <a:extLst>
            <a:ext uri="{FF2B5EF4-FFF2-40B4-BE49-F238E27FC236}">
              <a16:creationId xmlns:a16="http://schemas.microsoft.com/office/drawing/2014/main" id="{7331ED22-A876-4717-8AA1-EC5C8BD1CEBF}"/>
            </a:ext>
          </a:extLst>
        </xdr:cNvPr>
        <xdr:cNvCxnSpPr/>
      </xdr:nvCxnSpPr>
      <xdr:spPr>
        <a:xfrm>
          <a:off x="10848975" y="57816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29</xdr:row>
      <xdr:rowOff>161925</xdr:rowOff>
    </xdr:from>
    <xdr:to>
      <xdr:col>20</xdr:col>
      <xdr:colOff>57150</xdr:colOff>
      <xdr:row>31</xdr:row>
      <xdr:rowOff>85725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A08253A3-451F-4E8D-B751-0AB86CD52ACC}"/>
            </a:ext>
          </a:extLst>
        </xdr:cNvPr>
        <xdr:cNvCxnSpPr/>
      </xdr:nvCxnSpPr>
      <xdr:spPr>
        <a:xfrm>
          <a:off x="11106150" y="5753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22</xdr:row>
      <xdr:rowOff>142875</xdr:rowOff>
    </xdr:from>
    <xdr:to>
      <xdr:col>31</xdr:col>
      <xdr:colOff>38100</xdr:colOff>
      <xdr:row>27</xdr:row>
      <xdr:rowOff>19050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D6C29B06-6477-443B-9F7F-3E90BFDEAB52}"/>
            </a:ext>
          </a:extLst>
        </xdr:cNvPr>
        <xdr:cNvCxnSpPr/>
      </xdr:nvCxnSpPr>
      <xdr:spPr>
        <a:xfrm flipH="1">
          <a:off x="6867525" y="43815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323850</xdr:colOff>
      <xdr:row>23</xdr:row>
      <xdr:rowOff>0</xdr:rowOff>
    </xdr:from>
    <xdr:to>
      <xdr:col>31</xdr:col>
      <xdr:colOff>333375</xdr:colOff>
      <xdr:row>27</xdr:row>
      <xdr:rowOff>9525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2A3C6B07-4615-4CFC-ABF5-B8D59A1E6244}"/>
            </a:ext>
          </a:extLst>
        </xdr:cNvPr>
        <xdr:cNvCxnSpPr/>
      </xdr:nvCxnSpPr>
      <xdr:spPr>
        <a:xfrm>
          <a:off x="18840450" y="44291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571500</xdr:colOff>
      <xdr:row>22</xdr:row>
      <xdr:rowOff>123825</xdr:rowOff>
    </xdr:from>
    <xdr:to>
      <xdr:col>51</xdr:col>
      <xdr:colOff>114300</xdr:colOff>
      <xdr:row>27</xdr:row>
      <xdr:rowOff>57150</xdr:rowOff>
    </xdr:to>
    <xdr:cxnSp macro="">
      <xdr:nvCxnSpPr>
        <xdr:cNvPr id="61" name="Прямая со стрелкой 60">
          <a:extLst>
            <a:ext uri="{FF2B5EF4-FFF2-40B4-BE49-F238E27FC236}">
              <a16:creationId xmlns:a16="http://schemas.microsoft.com/office/drawing/2014/main" id="{B6DCB591-0DB6-4316-8C7A-98B26275640E}"/>
            </a:ext>
          </a:extLst>
        </xdr:cNvPr>
        <xdr:cNvCxnSpPr/>
      </xdr:nvCxnSpPr>
      <xdr:spPr>
        <a:xfrm>
          <a:off x="19088100" y="43624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590550</xdr:colOff>
      <xdr:row>27</xdr:row>
      <xdr:rowOff>114300</xdr:rowOff>
    </xdr:from>
    <xdr:to>
      <xdr:col>71</xdr:col>
      <xdr:colOff>28575</xdr:colOff>
      <xdr:row>29</xdr:row>
      <xdr:rowOff>104775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1E5BDF72-C73B-4C10-B73D-AACB1447F334}"/>
            </a:ext>
          </a:extLst>
        </xdr:cNvPr>
        <xdr:cNvCxnSpPr/>
      </xdr:nvCxnSpPr>
      <xdr:spPr>
        <a:xfrm flipH="1">
          <a:off x="39223950" y="53149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314325</xdr:colOff>
      <xdr:row>27</xdr:row>
      <xdr:rowOff>171450</xdr:rowOff>
    </xdr:from>
    <xdr:to>
      <xdr:col>71</xdr:col>
      <xdr:colOff>323850</xdr:colOff>
      <xdr:row>29</xdr:row>
      <xdr:rowOff>9525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C4067AEC-EB1D-4CEA-BDC1-1A342CD78912}"/>
            </a:ext>
          </a:extLst>
        </xdr:cNvPr>
        <xdr:cNvCxnSpPr/>
      </xdr:nvCxnSpPr>
      <xdr:spPr>
        <a:xfrm>
          <a:off x="43214925" y="5372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27</xdr:row>
      <xdr:rowOff>123825</xdr:rowOff>
    </xdr:from>
    <xdr:to>
      <xdr:col>78</xdr:col>
      <xdr:colOff>180975</xdr:colOff>
      <xdr:row>29</xdr:row>
      <xdr:rowOff>76200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5A9629AD-51E9-48C1-9121-5560B09BDBCF}"/>
            </a:ext>
          </a:extLst>
        </xdr:cNvPr>
        <xdr:cNvCxnSpPr/>
      </xdr:nvCxnSpPr>
      <xdr:spPr>
        <a:xfrm>
          <a:off x="43510200" y="5324475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19050</xdr:colOff>
      <xdr:row>29</xdr:row>
      <xdr:rowOff>85725</xdr:rowOff>
    </xdr:from>
    <xdr:to>
      <xdr:col>64</xdr:col>
      <xdr:colOff>238125</xdr:colOff>
      <xdr:row>31</xdr:row>
      <xdr:rowOff>38100</xdr:rowOff>
    </xdr:to>
    <xdr:cxnSp macro="">
      <xdr:nvCxnSpPr>
        <xdr:cNvPr id="65" name="Прямая со стрелкой 64">
          <a:extLst>
            <a:ext uri="{FF2B5EF4-FFF2-40B4-BE49-F238E27FC236}">
              <a16:creationId xmlns:a16="http://schemas.microsoft.com/office/drawing/2014/main" id="{603FF632-5E22-4A09-B91A-2DBC39420AD8}"/>
            </a:ext>
          </a:extLst>
        </xdr:cNvPr>
        <xdr:cNvCxnSpPr/>
      </xdr:nvCxnSpPr>
      <xdr:spPr>
        <a:xfrm flipH="1">
          <a:off x="38042850" y="56769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29</xdr:row>
      <xdr:rowOff>161925</xdr:rowOff>
    </xdr:from>
    <xdr:to>
      <xdr:col>64</xdr:col>
      <xdr:colOff>333375</xdr:colOff>
      <xdr:row>31</xdr:row>
      <xdr:rowOff>9525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963A8599-B956-4BA2-8F50-FFB37EF2D021}"/>
            </a:ext>
          </a:extLst>
        </xdr:cNvPr>
        <xdr:cNvCxnSpPr/>
      </xdr:nvCxnSpPr>
      <xdr:spPr>
        <a:xfrm>
          <a:off x="38957250" y="5753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581025</xdr:colOff>
      <xdr:row>29</xdr:row>
      <xdr:rowOff>133350</xdr:rowOff>
    </xdr:from>
    <xdr:to>
      <xdr:col>66</xdr:col>
      <xdr:colOff>123825</xdr:colOff>
      <xdr:row>31</xdr:row>
      <xdr:rowOff>57150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AB86A6C5-71C2-4B9C-91D4-C3F2E2576531}"/>
            </a:ext>
          </a:extLst>
        </xdr:cNvPr>
        <xdr:cNvCxnSpPr/>
      </xdr:nvCxnSpPr>
      <xdr:spPr>
        <a:xfrm>
          <a:off x="39214425" y="57245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561975</xdr:colOff>
      <xdr:row>29</xdr:row>
      <xdr:rowOff>104775</xdr:rowOff>
    </xdr:from>
    <xdr:to>
      <xdr:col>71</xdr:col>
      <xdr:colOff>171450</xdr:colOff>
      <xdr:row>31</xdr:row>
      <xdr:rowOff>57150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620F43F3-319E-4D2B-9AA8-1B6A8C23A851}"/>
            </a:ext>
          </a:extLst>
        </xdr:cNvPr>
        <xdr:cNvCxnSpPr/>
      </xdr:nvCxnSpPr>
      <xdr:spPr>
        <a:xfrm flipH="1">
          <a:off x="42243375" y="56959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257175</xdr:colOff>
      <xdr:row>29</xdr:row>
      <xdr:rowOff>180975</xdr:rowOff>
    </xdr:from>
    <xdr:to>
      <xdr:col>71</xdr:col>
      <xdr:colOff>266700</xdr:colOff>
      <xdr:row>31</xdr:row>
      <xdr:rowOff>28575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8847B4AF-7EF9-492F-890B-B6085D3831F6}"/>
            </a:ext>
          </a:extLst>
        </xdr:cNvPr>
        <xdr:cNvCxnSpPr/>
      </xdr:nvCxnSpPr>
      <xdr:spPr>
        <a:xfrm>
          <a:off x="43157775" y="57721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514350</xdr:colOff>
      <xdr:row>29</xdr:row>
      <xdr:rowOff>152400</xdr:rowOff>
    </xdr:from>
    <xdr:to>
      <xdr:col>73</xdr:col>
      <xdr:colOff>57150</xdr:colOff>
      <xdr:row>31</xdr:row>
      <xdr:rowOff>76200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C55F5024-5B67-4A34-94D7-4DC5F325AFC9}"/>
            </a:ext>
          </a:extLst>
        </xdr:cNvPr>
        <xdr:cNvCxnSpPr/>
      </xdr:nvCxnSpPr>
      <xdr:spPr>
        <a:xfrm>
          <a:off x="43414950" y="57435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561975</xdr:colOff>
      <xdr:row>29</xdr:row>
      <xdr:rowOff>114300</xdr:rowOff>
    </xdr:from>
    <xdr:to>
      <xdr:col>78</xdr:col>
      <xdr:colOff>171450</xdr:colOff>
      <xdr:row>31</xdr:row>
      <xdr:rowOff>66675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4A2D8A0A-0E67-4563-99FE-E1C8EAF2CC2A}"/>
            </a:ext>
          </a:extLst>
        </xdr:cNvPr>
        <xdr:cNvCxnSpPr/>
      </xdr:nvCxnSpPr>
      <xdr:spPr>
        <a:xfrm flipH="1">
          <a:off x="46510575" y="57054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257175</xdr:colOff>
      <xdr:row>30</xdr:row>
      <xdr:rowOff>0</xdr:rowOff>
    </xdr:from>
    <xdr:to>
      <xdr:col>78</xdr:col>
      <xdr:colOff>266700</xdr:colOff>
      <xdr:row>31</xdr:row>
      <xdr:rowOff>38100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CCF57F42-80B7-47E7-940B-BBC295A5DB87}"/>
            </a:ext>
          </a:extLst>
        </xdr:cNvPr>
        <xdr:cNvCxnSpPr/>
      </xdr:nvCxnSpPr>
      <xdr:spPr>
        <a:xfrm>
          <a:off x="47424975" y="57816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514350</xdr:colOff>
      <xdr:row>29</xdr:row>
      <xdr:rowOff>161925</xdr:rowOff>
    </xdr:from>
    <xdr:to>
      <xdr:col>80</xdr:col>
      <xdr:colOff>57150</xdr:colOff>
      <xdr:row>31</xdr:row>
      <xdr:rowOff>85725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494DD3DA-177A-4555-884F-56FD7BE3148A}"/>
            </a:ext>
          </a:extLst>
        </xdr:cNvPr>
        <xdr:cNvCxnSpPr/>
      </xdr:nvCxnSpPr>
      <xdr:spPr>
        <a:xfrm>
          <a:off x="47682150" y="5753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542925</xdr:colOff>
      <xdr:row>22</xdr:row>
      <xdr:rowOff>142875</xdr:rowOff>
    </xdr:from>
    <xdr:to>
      <xdr:col>91</xdr:col>
      <xdr:colOff>38100</xdr:colOff>
      <xdr:row>27</xdr:row>
      <xdr:rowOff>19050</xdr:rowOff>
    </xdr:to>
    <xdr:cxnSp macro="">
      <xdr:nvCxnSpPr>
        <xdr:cNvPr id="74" name="Прямая со стрелкой 73">
          <a:extLst>
            <a:ext uri="{FF2B5EF4-FFF2-40B4-BE49-F238E27FC236}">
              <a16:creationId xmlns:a16="http://schemas.microsoft.com/office/drawing/2014/main" id="{FB26A21A-398E-40E6-95E0-DD7D485C8E9F}"/>
            </a:ext>
          </a:extLst>
        </xdr:cNvPr>
        <xdr:cNvCxnSpPr/>
      </xdr:nvCxnSpPr>
      <xdr:spPr>
        <a:xfrm flipH="1">
          <a:off x="43443525" y="43815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323850</xdr:colOff>
      <xdr:row>23</xdr:row>
      <xdr:rowOff>0</xdr:rowOff>
    </xdr:from>
    <xdr:to>
      <xdr:col>91</xdr:col>
      <xdr:colOff>333375</xdr:colOff>
      <xdr:row>27</xdr:row>
      <xdr:rowOff>9525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71EE9DC7-B550-49DC-96B2-24293D79626E}"/>
            </a:ext>
          </a:extLst>
        </xdr:cNvPr>
        <xdr:cNvCxnSpPr/>
      </xdr:nvCxnSpPr>
      <xdr:spPr>
        <a:xfrm>
          <a:off x="55416450" y="44291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571500</xdr:colOff>
      <xdr:row>22</xdr:row>
      <xdr:rowOff>123825</xdr:rowOff>
    </xdr:from>
    <xdr:to>
      <xdr:col>111</xdr:col>
      <xdr:colOff>114300</xdr:colOff>
      <xdr:row>27</xdr:row>
      <xdr:rowOff>57150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CCE04B19-36C0-45E4-8781-745299694CC3}"/>
            </a:ext>
          </a:extLst>
        </xdr:cNvPr>
        <xdr:cNvCxnSpPr/>
      </xdr:nvCxnSpPr>
      <xdr:spPr>
        <a:xfrm>
          <a:off x="55664100" y="43624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27</xdr:row>
      <xdr:rowOff>114300</xdr:rowOff>
    </xdr:from>
    <xdr:to>
      <xdr:col>131</xdr:col>
      <xdr:colOff>28575</xdr:colOff>
      <xdr:row>29</xdr:row>
      <xdr:rowOff>104775</xdr:rowOff>
    </xdr:to>
    <xdr:cxnSp macro="">
      <xdr:nvCxnSpPr>
        <xdr:cNvPr id="77" name="Прямая со стрелкой 76">
          <a:extLst>
            <a:ext uri="{FF2B5EF4-FFF2-40B4-BE49-F238E27FC236}">
              <a16:creationId xmlns:a16="http://schemas.microsoft.com/office/drawing/2014/main" id="{31BA7488-85C4-4A0F-B99B-B739FD493EA3}"/>
            </a:ext>
          </a:extLst>
        </xdr:cNvPr>
        <xdr:cNvCxnSpPr/>
      </xdr:nvCxnSpPr>
      <xdr:spPr>
        <a:xfrm flipH="1">
          <a:off x="75799950" y="53149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314325</xdr:colOff>
      <xdr:row>27</xdr:row>
      <xdr:rowOff>171450</xdr:rowOff>
    </xdr:from>
    <xdr:to>
      <xdr:col>131</xdr:col>
      <xdr:colOff>323850</xdr:colOff>
      <xdr:row>29</xdr:row>
      <xdr:rowOff>9525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EF59A3B3-2D9D-499A-9E9D-69042CA9A700}"/>
            </a:ext>
          </a:extLst>
        </xdr:cNvPr>
        <xdr:cNvCxnSpPr/>
      </xdr:nvCxnSpPr>
      <xdr:spPr>
        <a:xfrm>
          <a:off x="79790925" y="5372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27</xdr:row>
      <xdr:rowOff>123825</xdr:rowOff>
    </xdr:from>
    <xdr:to>
      <xdr:col>138</xdr:col>
      <xdr:colOff>180975</xdr:colOff>
      <xdr:row>29</xdr:row>
      <xdr:rowOff>76200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24BF0EE9-A5BC-49B2-ACED-5DD6943B4C2F}"/>
            </a:ext>
          </a:extLst>
        </xdr:cNvPr>
        <xdr:cNvCxnSpPr/>
      </xdr:nvCxnSpPr>
      <xdr:spPr>
        <a:xfrm>
          <a:off x="80086200" y="5324475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19050</xdr:colOff>
      <xdr:row>29</xdr:row>
      <xdr:rowOff>85725</xdr:rowOff>
    </xdr:from>
    <xdr:to>
      <xdr:col>124</xdr:col>
      <xdr:colOff>238125</xdr:colOff>
      <xdr:row>31</xdr:row>
      <xdr:rowOff>38100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DE459090-5C6E-4400-8C1D-6FE424FEEC64}"/>
            </a:ext>
          </a:extLst>
        </xdr:cNvPr>
        <xdr:cNvCxnSpPr/>
      </xdr:nvCxnSpPr>
      <xdr:spPr>
        <a:xfrm flipH="1">
          <a:off x="74618850" y="56769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323850</xdr:colOff>
      <xdr:row>29</xdr:row>
      <xdr:rowOff>161925</xdr:rowOff>
    </xdr:from>
    <xdr:to>
      <xdr:col>124</xdr:col>
      <xdr:colOff>333375</xdr:colOff>
      <xdr:row>31</xdr:row>
      <xdr:rowOff>9525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5EAC7314-5558-4595-8001-D792B7DB0CF0}"/>
            </a:ext>
          </a:extLst>
        </xdr:cNvPr>
        <xdr:cNvCxnSpPr/>
      </xdr:nvCxnSpPr>
      <xdr:spPr>
        <a:xfrm>
          <a:off x="75533250" y="5753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581025</xdr:colOff>
      <xdr:row>29</xdr:row>
      <xdr:rowOff>133350</xdr:rowOff>
    </xdr:from>
    <xdr:to>
      <xdr:col>126</xdr:col>
      <xdr:colOff>123825</xdr:colOff>
      <xdr:row>31</xdr:row>
      <xdr:rowOff>57150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887A522D-90C5-49A3-A7BC-11B01D464C68}"/>
            </a:ext>
          </a:extLst>
        </xdr:cNvPr>
        <xdr:cNvCxnSpPr/>
      </xdr:nvCxnSpPr>
      <xdr:spPr>
        <a:xfrm>
          <a:off x="75790425" y="57245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129</xdr:col>
      <xdr:colOff>561975</xdr:colOff>
      <xdr:row>29</xdr:row>
      <xdr:rowOff>104775</xdr:rowOff>
    </xdr:from>
    <xdr:to>
      <xdr:col>131</xdr:col>
      <xdr:colOff>171450</xdr:colOff>
      <xdr:row>31</xdr:row>
      <xdr:rowOff>57150</xdr:rowOff>
    </xdr:to>
    <xdr:cxnSp macro="">
      <xdr:nvCxnSpPr>
        <xdr:cNvPr id="83" name="Прямая со стрелкой 82">
          <a:extLst>
            <a:ext uri="{FF2B5EF4-FFF2-40B4-BE49-F238E27FC236}">
              <a16:creationId xmlns:a16="http://schemas.microsoft.com/office/drawing/2014/main" id="{3301510A-D7C8-4F0C-B543-2032E5316583}"/>
            </a:ext>
          </a:extLst>
        </xdr:cNvPr>
        <xdr:cNvCxnSpPr/>
      </xdr:nvCxnSpPr>
      <xdr:spPr>
        <a:xfrm flipH="1">
          <a:off x="78819375" y="56959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257175</xdr:colOff>
      <xdr:row>29</xdr:row>
      <xdr:rowOff>180975</xdr:rowOff>
    </xdr:from>
    <xdr:to>
      <xdr:col>131</xdr:col>
      <xdr:colOff>266700</xdr:colOff>
      <xdr:row>31</xdr:row>
      <xdr:rowOff>28575</xdr:rowOff>
    </xdr:to>
    <xdr:cxnSp macro="">
      <xdr:nvCxnSpPr>
        <xdr:cNvPr id="84" name="Прямая со стрелкой 83">
          <a:extLst>
            <a:ext uri="{FF2B5EF4-FFF2-40B4-BE49-F238E27FC236}">
              <a16:creationId xmlns:a16="http://schemas.microsoft.com/office/drawing/2014/main" id="{30F97119-0C79-40B9-B785-F18496C74FDF}"/>
            </a:ext>
          </a:extLst>
        </xdr:cNvPr>
        <xdr:cNvCxnSpPr/>
      </xdr:nvCxnSpPr>
      <xdr:spPr>
        <a:xfrm>
          <a:off x="79733775" y="57721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514350</xdr:colOff>
      <xdr:row>29</xdr:row>
      <xdr:rowOff>152400</xdr:rowOff>
    </xdr:from>
    <xdr:to>
      <xdr:col>133</xdr:col>
      <xdr:colOff>57150</xdr:colOff>
      <xdr:row>31</xdr:row>
      <xdr:rowOff>76200</xdr:rowOff>
    </xdr:to>
    <xdr:cxnSp macro="">
      <xdr:nvCxnSpPr>
        <xdr:cNvPr id="85" name="Прямая со стрелкой 84">
          <a:extLst>
            <a:ext uri="{FF2B5EF4-FFF2-40B4-BE49-F238E27FC236}">
              <a16:creationId xmlns:a16="http://schemas.microsoft.com/office/drawing/2014/main" id="{9D8D73B2-1BF0-4A7C-B996-CE823EE55590}"/>
            </a:ext>
          </a:extLst>
        </xdr:cNvPr>
        <xdr:cNvCxnSpPr/>
      </xdr:nvCxnSpPr>
      <xdr:spPr>
        <a:xfrm>
          <a:off x="79990950" y="57435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561975</xdr:colOff>
      <xdr:row>29</xdr:row>
      <xdr:rowOff>114300</xdr:rowOff>
    </xdr:from>
    <xdr:to>
      <xdr:col>138</xdr:col>
      <xdr:colOff>171450</xdr:colOff>
      <xdr:row>31</xdr:row>
      <xdr:rowOff>66675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E135911D-5DDE-440D-97F7-0956B25477A9}"/>
            </a:ext>
          </a:extLst>
        </xdr:cNvPr>
        <xdr:cNvCxnSpPr/>
      </xdr:nvCxnSpPr>
      <xdr:spPr>
        <a:xfrm flipH="1">
          <a:off x="83086575" y="57054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257175</xdr:colOff>
      <xdr:row>30</xdr:row>
      <xdr:rowOff>0</xdr:rowOff>
    </xdr:from>
    <xdr:to>
      <xdr:col>138</xdr:col>
      <xdr:colOff>266700</xdr:colOff>
      <xdr:row>31</xdr:row>
      <xdr:rowOff>38100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B8D36207-A617-452B-B93D-F99B4C359D82}"/>
            </a:ext>
          </a:extLst>
        </xdr:cNvPr>
        <xdr:cNvCxnSpPr/>
      </xdr:nvCxnSpPr>
      <xdr:spPr>
        <a:xfrm>
          <a:off x="84000975" y="57816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514350</xdr:colOff>
      <xdr:row>29</xdr:row>
      <xdr:rowOff>161925</xdr:rowOff>
    </xdr:from>
    <xdr:to>
      <xdr:col>140</xdr:col>
      <xdr:colOff>57150</xdr:colOff>
      <xdr:row>31</xdr:row>
      <xdr:rowOff>85725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3C3A7623-BCDD-4B82-A4E9-653276B3B620}"/>
            </a:ext>
          </a:extLst>
        </xdr:cNvPr>
        <xdr:cNvCxnSpPr/>
      </xdr:nvCxnSpPr>
      <xdr:spPr>
        <a:xfrm>
          <a:off x="84258150" y="5753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542925</xdr:colOff>
      <xdr:row>22</xdr:row>
      <xdr:rowOff>142875</xdr:rowOff>
    </xdr:from>
    <xdr:to>
      <xdr:col>151</xdr:col>
      <xdr:colOff>38100</xdr:colOff>
      <xdr:row>27</xdr:row>
      <xdr:rowOff>19050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A25A2BD6-6732-439F-933C-DF8A4D3D8D6B}"/>
            </a:ext>
          </a:extLst>
        </xdr:cNvPr>
        <xdr:cNvCxnSpPr/>
      </xdr:nvCxnSpPr>
      <xdr:spPr>
        <a:xfrm flipH="1">
          <a:off x="80019525" y="4381500"/>
          <a:ext cx="116871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323850</xdr:colOff>
      <xdr:row>23</xdr:row>
      <xdr:rowOff>0</xdr:rowOff>
    </xdr:from>
    <xdr:to>
      <xdr:col>151</xdr:col>
      <xdr:colOff>333375</xdr:colOff>
      <xdr:row>27</xdr:row>
      <xdr:rowOff>9525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328D08BE-43BC-485C-A372-ACD6D1BF3CEE}"/>
            </a:ext>
          </a:extLst>
        </xdr:cNvPr>
        <xdr:cNvCxnSpPr/>
      </xdr:nvCxnSpPr>
      <xdr:spPr>
        <a:xfrm>
          <a:off x="91992450" y="4429125"/>
          <a:ext cx="95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571500</xdr:colOff>
      <xdr:row>22</xdr:row>
      <xdr:rowOff>123825</xdr:rowOff>
    </xdr:from>
    <xdr:to>
      <xdr:col>171</xdr:col>
      <xdr:colOff>114300</xdr:colOff>
      <xdr:row>27</xdr:row>
      <xdr:rowOff>57150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3DE779C0-67AE-422D-A6EC-6B22468B43AF}"/>
            </a:ext>
          </a:extLst>
        </xdr:cNvPr>
        <xdr:cNvCxnSpPr/>
      </xdr:nvCxnSpPr>
      <xdr:spPr>
        <a:xfrm>
          <a:off x="92240100" y="4362450"/>
          <a:ext cx="117348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590550</xdr:colOff>
      <xdr:row>27</xdr:row>
      <xdr:rowOff>114300</xdr:rowOff>
    </xdr:from>
    <xdr:to>
      <xdr:col>71</xdr:col>
      <xdr:colOff>28575</xdr:colOff>
      <xdr:row>29</xdr:row>
      <xdr:rowOff>104775</xdr:rowOff>
    </xdr:to>
    <xdr:cxnSp macro="">
      <xdr:nvCxnSpPr>
        <xdr:cNvPr id="92" name="Прямая со стрелкой 91">
          <a:extLst>
            <a:ext uri="{FF2B5EF4-FFF2-40B4-BE49-F238E27FC236}">
              <a16:creationId xmlns:a16="http://schemas.microsoft.com/office/drawing/2014/main" id="{4BEEDC58-84A2-4205-8E2B-DC1F8B20C5FA}"/>
            </a:ext>
          </a:extLst>
        </xdr:cNvPr>
        <xdr:cNvCxnSpPr/>
      </xdr:nvCxnSpPr>
      <xdr:spPr>
        <a:xfrm flipH="1">
          <a:off x="39223950" y="53149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314325</xdr:colOff>
      <xdr:row>27</xdr:row>
      <xdr:rowOff>171450</xdr:rowOff>
    </xdr:from>
    <xdr:to>
      <xdr:col>71</xdr:col>
      <xdr:colOff>323850</xdr:colOff>
      <xdr:row>29</xdr:row>
      <xdr:rowOff>9525</xdr:rowOff>
    </xdr:to>
    <xdr:cxnSp macro="">
      <xdr:nvCxnSpPr>
        <xdr:cNvPr id="93" name="Прямая со стрелкой 92">
          <a:extLst>
            <a:ext uri="{FF2B5EF4-FFF2-40B4-BE49-F238E27FC236}">
              <a16:creationId xmlns:a16="http://schemas.microsoft.com/office/drawing/2014/main" id="{72B99871-A832-407A-B8AC-3EA35BF38A9C}"/>
            </a:ext>
          </a:extLst>
        </xdr:cNvPr>
        <xdr:cNvCxnSpPr/>
      </xdr:nvCxnSpPr>
      <xdr:spPr>
        <a:xfrm>
          <a:off x="43214925" y="5372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27</xdr:row>
      <xdr:rowOff>178254</xdr:rowOff>
    </xdr:from>
    <xdr:to>
      <xdr:col>78</xdr:col>
      <xdr:colOff>180975</xdr:colOff>
      <xdr:row>29</xdr:row>
      <xdr:rowOff>130629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5713F243-0D57-4C3F-BC4F-D33CF4ECECAC}"/>
            </a:ext>
          </a:extLst>
        </xdr:cNvPr>
        <xdr:cNvCxnSpPr/>
      </xdr:nvCxnSpPr>
      <xdr:spPr>
        <a:xfrm>
          <a:off x="43510200" y="5378904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19050</xdr:colOff>
      <xdr:row>29</xdr:row>
      <xdr:rowOff>85725</xdr:rowOff>
    </xdr:from>
    <xdr:to>
      <xdr:col>64</xdr:col>
      <xdr:colOff>238125</xdr:colOff>
      <xdr:row>31</xdr:row>
      <xdr:rowOff>38100</xdr:rowOff>
    </xdr:to>
    <xdr:cxnSp macro="">
      <xdr:nvCxnSpPr>
        <xdr:cNvPr id="95" name="Прямая со стрелкой 94">
          <a:extLst>
            <a:ext uri="{FF2B5EF4-FFF2-40B4-BE49-F238E27FC236}">
              <a16:creationId xmlns:a16="http://schemas.microsoft.com/office/drawing/2014/main" id="{4E6C18AC-18CF-4819-866D-E158072D57EA}"/>
            </a:ext>
          </a:extLst>
        </xdr:cNvPr>
        <xdr:cNvCxnSpPr/>
      </xdr:nvCxnSpPr>
      <xdr:spPr>
        <a:xfrm flipH="1">
          <a:off x="38042850" y="56769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29</xdr:row>
      <xdr:rowOff>161925</xdr:rowOff>
    </xdr:from>
    <xdr:to>
      <xdr:col>64</xdr:col>
      <xdr:colOff>333375</xdr:colOff>
      <xdr:row>31</xdr:row>
      <xdr:rowOff>9525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043A8B42-C6E1-4103-9758-95EE89F72C1A}"/>
            </a:ext>
          </a:extLst>
        </xdr:cNvPr>
        <xdr:cNvCxnSpPr/>
      </xdr:nvCxnSpPr>
      <xdr:spPr>
        <a:xfrm>
          <a:off x="38957250" y="5753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581025</xdr:colOff>
      <xdr:row>29</xdr:row>
      <xdr:rowOff>133350</xdr:rowOff>
    </xdr:from>
    <xdr:to>
      <xdr:col>66</xdr:col>
      <xdr:colOff>123825</xdr:colOff>
      <xdr:row>31</xdr:row>
      <xdr:rowOff>57150</xdr:rowOff>
    </xdr:to>
    <xdr:cxnSp macro="">
      <xdr:nvCxnSpPr>
        <xdr:cNvPr id="97" name="Прямая со стрелкой 96">
          <a:extLst>
            <a:ext uri="{FF2B5EF4-FFF2-40B4-BE49-F238E27FC236}">
              <a16:creationId xmlns:a16="http://schemas.microsoft.com/office/drawing/2014/main" id="{D16DD572-EF95-4404-BB30-8BAEB811E16E}"/>
            </a:ext>
          </a:extLst>
        </xdr:cNvPr>
        <xdr:cNvCxnSpPr/>
      </xdr:nvCxnSpPr>
      <xdr:spPr>
        <a:xfrm>
          <a:off x="39214425" y="57245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561975</xdr:colOff>
      <xdr:row>29</xdr:row>
      <xdr:rowOff>104775</xdr:rowOff>
    </xdr:from>
    <xdr:to>
      <xdr:col>71</xdr:col>
      <xdr:colOff>171450</xdr:colOff>
      <xdr:row>31</xdr:row>
      <xdr:rowOff>57150</xdr:rowOff>
    </xdr:to>
    <xdr:cxnSp macro="">
      <xdr:nvCxnSpPr>
        <xdr:cNvPr id="98" name="Прямая со стрелкой 97">
          <a:extLst>
            <a:ext uri="{FF2B5EF4-FFF2-40B4-BE49-F238E27FC236}">
              <a16:creationId xmlns:a16="http://schemas.microsoft.com/office/drawing/2014/main" id="{6DCFB3AF-1ABC-475E-821C-993B514E7E6B}"/>
            </a:ext>
          </a:extLst>
        </xdr:cNvPr>
        <xdr:cNvCxnSpPr/>
      </xdr:nvCxnSpPr>
      <xdr:spPr>
        <a:xfrm flipH="1">
          <a:off x="42243375" y="56959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257175</xdr:colOff>
      <xdr:row>29</xdr:row>
      <xdr:rowOff>180975</xdr:rowOff>
    </xdr:from>
    <xdr:to>
      <xdr:col>71</xdr:col>
      <xdr:colOff>266700</xdr:colOff>
      <xdr:row>31</xdr:row>
      <xdr:rowOff>28575</xdr:rowOff>
    </xdr:to>
    <xdr:cxnSp macro="">
      <xdr:nvCxnSpPr>
        <xdr:cNvPr id="99" name="Прямая со стрелкой 98">
          <a:extLst>
            <a:ext uri="{FF2B5EF4-FFF2-40B4-BE49-F238E27FC236}">
              <a16:creationId xmlns:a16="http://schemas.microsoft.com/office/drawing/2014/main" id="{A9FD8327-960A-45F2-9DCE-7D406920EA84}"/>
            </a:ext>
          </a:extLst>
        </xdr:cNvPr>
        <xdr:cNvCxnSpPr/>
      </xdr:nvCxnSpPr>
      <xdr:spPr>
        <a:xfrm>
          <a:off x="43157775" y="57721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514350</xdr:colOff>
      <xdr:row>29</xdr:row>
      <xdr:rowOff>152400</xdr:rowOff>
    </xdr:from>
    <xdr:to>
      <xdr:col>73</xdr:col>
      <xdr:colOff>57150</xdr:colOff>
      <xdr:row>31</xdr:row>
      <xdr:rowOff>76200</xdr:rowOff>
    </xdr:to>
    <xdr:cxnSp macro="">
      <xdr:nvCxnSpPr>
        <xdr:cNvPr id="100" name="Прямая со стрелкой 99">
          <a:extLst>
            <a:ext uri="{FF2B5EF4-FFF2-40B4-BE49-F238E27FC236}">
              <a16:creationId xmlns:a16="http://schemas.microsoft.com/office/drawing/2014/main" id="{8B6B6DFA-7B5A-4613-BA97-E1888E64F2CA}"/>
            </a:ext>
          </a:extLst>
        </xdr:cNvPr>
        <xdr:cNvCxnSpPr/>
      </xdr:nvCxnSpPr>
      <xdr:spPr>
        <a:xfrm>
          <a:off x="43414950" y="57435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561975</xdr:colOff>
      <xdr:row>29</xdr:row>
      <xdr:rowOff>114300</xdr:rowOff>
    </xdr:from>
    <xdr:to>
      <xdr:col>78</xdr:col>
      <xdr:colOff>171450</xdr:colOff>
      <xdr:row>31</xdr:row>
      <xdr:rowOff>66675</xdr:rowOff>
    </xdr:to>
    <xdr:cxnSp macro="">
      <xdr:nvCxnSpPr>
        <xdr:cNvPr id="101" name="Прямая со стрелкой 100">
          <a:extLst>
            <a:ext uri="{FF2B5EF4-FFF2-40B4-BE49-F238E27FC236}">
              <a16:creationId xmlns:a16="http://schemas.microsoft.com/office/drawing/2014/main" id="{DCA8BE89-82B4-4088-B016-8229711070C6}"/>
            </a:ext>
          </a:extLst>
        </xdr:cNvPr>
        <xdr:cNvCxnSpPr/>
      </xdr:nvCxnSpPr>
      <xdr:spPr>
        <a:xfrm flipH="1">
          <a:off x="46510575" y="57054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257175</xdr:colOff>
      <xdr:row>30</xdr:row>
      <xdr:rowOff>0</xdr:rowOff>
    </xdr:from>
    <xdr:to>
      <xdr:col>78</xdr:col>
      <xdr:colOff>266700</xdr:colOff>
      <xdr:row>31</xdr:row>
      <xdr:rowOff>38100</xdr:rowOff>
    </xdr:to>
    <xdr:cxnSp macro="">
      <xdr:nvCxnSpPr>
        <xdr:cNvPr id="102" name="Прямая со стрелкой 101">
          <a:extLst>
            <a:ext uri="{FF2B5EF4-FFF2-40B4-BE49-F238E27FC236}">
              <a16:creationId xmlns:a16="http://schemas.microsoft.com/office/drawing/2014/main" id="{7415942E-4865-4810-9592-F0EE42697DF8}"/>
            </a:ext>
          </a:extLst>
        </xdr:cNvPr>
        <xdr:cNvCxnSpPr/>
      </xdr:nvCxnSpPr>
      <xdr:spPr>
        <a:xfrm>
          <a:off x="47424975" y="57816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514350</xdr:colOff>
      <xdr:row>29</xdr:row>
      <xdr:rowOff>161925</xdr:rowOff>
    </xdr:from>
    <xdr:to>
      <xdr:col>80</xdr:col>
      <xdr:colOff>57150</xdr:colOff>
      <xdr:row>31</xdr:row>
      <xdr:rowOff>85725</xdr:rowOff>
    </xdr:to>
    <xdr:cxnSp macro="">
      <xdr:nvCxnSpPr>
        <xdr:cNvPr id="103" name="Прямая со стрелкой 102">
          <a:extLst>
            <a:ext uri="{FF2B5EF4-FFF2-40B4-BE49-F238E27FC236}">
              <a16:creationId xmlns:a16="http://schemas.microsoft.com/office/drawing/2014/main" id="{A56F0104-9371-47E5-93ED-08D42256A10B}"/>
            </a:ext>
          </a:extLst>
        </xdr:cNvPr>
        <xdr:cNvCxnSpPr/>
      </xdr:nvCxnSpPr>
      <xdr:spPr>
        <a:xfrm>
          <a:off x="47682150" y="5753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27</xdr:row>
      <xdr:rowOff>114300</xdr:rowOff>
    </xdr:from>
    <xdr:to>
      <xdr:col>131</xdr:col>
      <xdr:colOff>28575</xdr:colOff>
      <xdr:row>29</xdr:row>
      <xdr:rowOff>104775</xdr:rowOff>
    </xdr:to>
    <xdr:cxnSp macro="">
      <xdr:nvCxnSpPr>
        <xdr:cNvPr id="104" name="Прямая со стрелкой 103">
          <a:extLst>
            <a:ext uri="{FF2B5EF4-FFF2-40B4-BE49-F238E27FC236}">
              <a16:creationId xmlns:a16="http://schemas.microsoft.com/office/drawing/2014/main" id="{037B38DB-6DAB-43F2-BB5B-FFECDEAF8274}"/>
            </a:ext>
          </a:extLst>
        </xdr:cNvPr>
        <xdr:cNvCxnSpPr/>
      </xdr:nvCxnSpPr>
      <xdr:spPr>
        <a:xfrm flipH="1">
          <a:off x="75799950" y="5314950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314325</xdr:colOff>
      <xdr:row>27</xdr:row>
      <xdr:rowOff>171450</xdr:rowOff>
    </xdr:from>
    <xdr:to>
      <xdr:col>131</xdr:col>
      <xdr:colOff>323850</xdr:colOff>
      <xdr:row>29</xdr:row>
      <xdr:rowOff>9525</xdr:rowOff>
    </xdr:to>
    <xdr:cxnSp macro="">
      <xdr:nvCxnSpPr>
        <xdr:cNvPr id="105" name="Прямая со стрелкой 104">
          <a:extLst>
            <a:ext uri="{FF2B5EF4-FFF2-40B4-BE49-F238E27FC236}">
              <a16:creationId xmlns:a16="http://schemas.microsoft.com/office/drawing/2014/main" id="{53CAC208-DAA5-4B7D-BAF1-A395DDBD85FD}"/>
            </a:ext>
          </a:extLst>
        </xdr:cNvPr>
        <xdr:cNvCxnSpPr/>
      </xdr:nvCxnSpPr>
      <xdr:spPr>
        <a:xfrm>
          <a:off x="79790925" y="5372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27</xdr:row>
      <xdr:rowOff>178254</xdr:rowOff>
    </xdr:from>
    <xdr:to>
      <xdr:col>138</xdr:col>
      <xdr:colOff>180975</xdr:colOff>
      <xdr:row>29</xdr:row>
      <xdr:rowOff>130629</xdr:rowOff>
    </xdr:to>
    <xdr:cxnSp macro="">
      <xdr:nvCxnSpPr>
        <xdr:cNvPr id="106" name="Прямая со стрелкой 105">
          <a:extLst>
            <a:ext uri="{FF2B5EF4-FFF2-40B4-BE49-F238E27FC236}">
              <a16:creationId xmlns:a16="http://schemas.microsoft.com/office/drawing/2014/main" id="{638B8240-3C89-49B8-8512-29871B883149}"/>
            </a:ext>
          </a:extLst>
        </xdr:cNvPr>
        <xdr:cNvCxnSpPr/>
      </xdr:nvCxnSpPr>
      <xdr:spPr>
        <a:xfrm>
          <a:off x="80086200" y="5378904"/>
          <a:ext cx="3838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19050</xdr:colOff>
      <xdr:row>29</xdr:row>
      <xdr:rowOff>85725</xdr:rowOff>
    </xdr:from>
    <xdr:to>
      <xdr:col>124</xdr:col>
      <xdr:colOff>238125</xdr:colOff>
      <xdr:row>31</xdr:row>
      <xdr:rowOff>38100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4C3DA6DA-D621-45DA-985A-72E994544887}"/>
            </a:ext>
          </a:extLst>
        </xdr:cNvPr>
        <xdr:cNvCxnSpPr/>
      </xdr:nvCxnSpPr>
      <xdr:spPr>
        <a:xfrm flipH="1">
          <a:off x="74618850" y="567690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323850</xdr:colOff>
      <xdr:row>29</xdr:row>
      <xdr:rowOff>161925</xdr:rowOff>
    </xdr:from>
    <xdr:to>
      <xdr:col>124</xdr:col>
      <xdr:colOff>333375</xdr:colOff>
      <xdr:row>31</xdr:row>
      <xdr:rowOff>9525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10575376-FE8F-47BB-A45F-0DD5AF304AC3}"/>
            </a:ext>
          </a:extLst>
        </xdr:cNvPr>
        <xdr:cNvCxnSpPr/>
      </xdr:nvCxnSpPr>
      <xdr:spPr>
        <a:xfrm>
          <a:off x="75533250" y="57531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581025</xdr:colOff>
      <xdr:row>29</xdr:row>
      <xdr:rowOff>133350</xdr:rowOff>
    </xdr:from>
    <xdr:to>
      <xdr:col>126</xdr:col>
      <xdr:colOff>123825</xdr:colOff>
      <xdr:row>31</xdr:row>
      <xdr:rowOff>57150</xdr:rowOff>
    </xdr:to>
    <xdr:cxnSp macro="">
      <xdr:nvCxnSpPr>
        <xdr:cNvPr id="109" name="Прямая со стрелкой 108">
          <a:extLst>
            <a:ext uri="{FF2B5EF4-FFF2-40B4-BE49-F238E27FC236}">
              <a16:creationId xmlns:a16="http://schemas.microsoft.com/office/drawing/2014/main" id="{FB304750-07EA-4A6E-BD7D-96F198EE2877}"/>
            </a:ext>
          </a:extLst>
        </xdr:cNvPr>
        <xdr:cNvCxnSpPr/>
      </xdr:nvCxnSpPr>
      <xdr:spPr>
        <a:xfrm>
          <a:off x="75790425" y="572452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129</xdr:col>
      <xdr:colOff>561975</xdr:colOff>
      <xdr:row>29</xdr:row>
      <xdr:rowOff>104775</xdr:rowOff>
    </xdr:from>
    <xdr:to>
      <xdr:col>131</xdr:col>
      <xdr:colOff>171450</xdr:colOff>
      <xdr:row>31</xdr:row>
      <xdr:rowOff>57150</xdr:rowOff>
    </xdr:to>
    <xdr:cxnSp macro="">
      <xdr:nvCxnSpPr>
        <xdr:cNvPr id="110" name="Прямая со стрелкой 109">
          <a:extLst>
            <a:ext uri="{FF2B5EF4-FFF2-40B4-BE49-F238E27FC236}">
              <a16:creationId xmlns:a16="http://schemas.microsoft.com/office/drawing/2014/main" id="{5190A803-B78E-4F77-8087-7486B27AF1C5}"/>
            </a:ext>
          </a:extLst>
        </xdr:cNvPr>
        <xdr:cNvCxnSpPr/>
      </xdr:nvCxnSpPr>
      <xdr:spPr>
        <a:xfrm flipH="1">
          <a:off x="78819375" y="5695950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257175</xdr:colOff>
      <xdr:row>29</xdr:row>
      <xdr:rowOff>180975</xdr:rowOff>
    </xdr:from>
    <xdr:to>
      <xdr:col>131</xdr:col>
      <xdr:colOff>266700</xdr:colOff>
      <xdr:row>31</xdr:row>
      <xdr:rowOff>28575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16E59D8E-CEA6-46A4-83D7-BB0662C6E1D7}"/>
            </a:ext>
          </a:extLst>
        </xdr:cNvPr>
        <xdr:cNvCxnSpPr/>
      </xdr:nvCxnSpPr>
      <xdr:spPr>
        <a:xfrm>
          <a:off x="79733775" y="577215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514350</xdr:colOff>
      <xdr:row>29</xdr:row>
      <xdr:rowOff>152400</xdr:rowOff>
    </xdr:from>
    <xdr:to>
      <xdr:col>133</xdr:col>
      <xdr:colOff>57150</xdr:colOff>
      <xdr:row>31</xdr:row>
      <xdr:rowOff>76200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61080729-06D1-4ED3-86D3-91509E32D3F0}"/>
            </a:ext>
          </a:extLst>
        </xdr:cNvPr>
        <xdr:cNvCxnSpPr/>
      </xdr:nvCxnSpPr>
      <xdr:spPr>
        <a:xfrm>
          <a:off x="79990950" y="5743575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561975</xdr:colOff>
      <xdr:row>29</xdr:row>
      <xdr:rowOff>114300</xdr:rowOff>
    </xdr:from>
    <xdr:to>
      <xdr:col>138</xdr:col>
      <xdr:colOff>171450</xdr:colOff>
      <xdr:row>31</xdr:row>
      <xdr:rowOff>66675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432E2B74-F4FD-46F9-9DE7-685F07AD224D}"/>
            </a:ext>
          </a:extLst>
        </xdr:cNvPr>
        <xdr:cNvCxnSpPr/>
      </xdr:nvCxnSpPr>
      <xdr:spPr>
        <a:xfrm flipH="1">
          <a:off x="83086575" y="5705475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257175</xdr:colOff>
      <xdr:row>30</xdr:row>
      <xdr:rowOff>0</xdr:rowOff>
    </xdr:from>
    <xdr:to>
      <xdr:col>138</xdr:col>
      <xdr:colOff>266700</xdr:colOff>
      <xdr:row>31</xdr:row>
      <xdr:rowOff>38100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5A71A3E8-A641-4DF3-8932-F8E0F8BA0694}"/>
            </a:ext>
          </a:extLst>
        </xdr:cNvPr>
        <xdr:cNvCxnSpPr/>
      </xdr:nvCxnSpPr>
      <xdr:spPr>
        <a:xfrm>
          <a:off x="84000975" y="5781675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514350</xdr:colOff>
      <xdr:row>29</xdr:row>
      <xdr:rowOff>161925</xdr:rowOff>
    </xdr:from>
    <xdr:to>
      <xdr:col>140</xdr:col>
      <xdr:colOff>57150</xdr:colOff>
      <xdr:row>31</xdr:row>
      <xdr:rowOff>85725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0181B9F4-C707-4975-99C2-0301A3E407E4}"/>
            </a:ext>
          </a:extLst>
        </xdr:cNvPr>
        <xdr:cNvCxnSpPr/>
      </xdr:nvCxnSpPr>
      <xdr:spPr>
        <a:xfrm>
          <a:off x="84258150" y="5753100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547008</xdr:colOff>
      <xdr:row>6</xdr:row>
      <xdr:rowOff>96611</xdr:rowOff>
    </xdr:from>
    <xdr:to>
      <xdr:col>30</xdr:col>
      <xdr:colOff>597354</xdr:colOff>
      <xdr:row>8</xdr:row>
      <xdr:rowOff>87086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54595AC8-6E97-4C7B-897D-5481E886F5D6}"/>
            </a:ext>
          </a:extLst>
        </xdr:cNvPr>
        <xdr:cNvCxnSpPr/>
      </xdr:nvCxnSpPr>
      <xdr:spPr>
        <a:xfrm flipH="1">
          <a:off x="14796408" y="1258661"/>
          <a:ext cx="3707946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568779</xdr:colOff>
      <xdr:row>6</xdr:row>
      <xdr:rowOff>106136</xdr:rowOff>
    </xdr:from>
    <xdr:to>
      <xdr:col>38</xdr:col>
      <xdr:colOff>137433</xdr:colOff>
      <xdr:row>8</xdr:row>
      <xdr:rowOff>58511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A91D5CF7-5B42-4A84-B2FE-64AC12DC87F0}"/>
            </a:ext>
          </a:extLst>
        </xdr:cNvPr>
        <xdr:cNvCxnSpPr/>
      </xdr:nvCxnSpPr>
      <xdr:spPr>
        <a:xfrm>
          <a:off x="19085379" y="1268186"/>
          <a:ext cx="3835854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587829</xdr:colOff>
      <xdr:row>8</xdr:row>
      <xdr:rowOff>68036</xdr:rowOff>
    </xdr:from>
    <xdr:to>
      <xdr:col>24</xdr:col>
      <xdr:colOff>194583</xdr:colOff>
      <xdr:row>10</xdr:row>
      <xdr:rowOff>20411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5568B220-4222-44D5-ACC9-0F3A5D3B208E}"/>
            </a:ext>
          </a:extLst>
        </xdr:cNvPr>
        <xdr:cNvCxnSpPr/>
      </xdr:nvCxnSpPr>
      <xdr:spPr>
        <a:xfrm flipH="1">
          <a:off x="13618029" y="1620611"/>
          <a:ext cx="825954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280308</xdr:colOff>
      <xdr:row>8</xdr:row>
      <xdr:rowOff>144236</xdr:rowOff>
    </xdr:from>
    <xdr:to>
      <xdr:col>24</xdr:col>
      <xdr:colOff>289833</xdr:colOff>
      <xdr:row>9</xdr:row>
      <xdr:rowOff>182336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BAE384FC-9A90-4303-B927-BC431652E4F1}"/>
            </a:ext>
          </a:extLst>
        </xdr:cNvPr>
        <xdr:cNvCxnSpPr/>
      </xdr:nvCxnSpPr>
      <xdr:spPr>
        <a:xfrm>
          <a:off x="14529708" y="1696811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537483</xdr:colOff>
      <xdr:row>8</xdr:row>
      <xdr:rowOff>115661</xdr:rowOff>
    </xdr:from>
    <xdr:to>
      <xdr:col>26</xdr:col>
      <xdr:colOff>80283</xdr:colOff>
      <xdr:row>10</xdr:row>
      <xdr:rowOff>39461</xdr:rowOff>
    </xdr:to>
    <xdr:cxnSp macro="">
      <xdr:nvCxnSpPr>
        <xdr:cNvPr id="120" name="Прямая со стрелкой 119">
          <a:extLst>
            <a:ext uri="{FF2B5EF4-FFF2-40B4-BE49-F238E27FC236}">
              <a16:creationId xmlns:a16="http://schemas.microsoft.com/office/drawing/2014/main" id="{5C5B2C52-1BAC-499D-981D-A3745E13B3A3}"/>
            </a:ext>
          </a:extLst>
        </xdr:cNvPr>
        <xdr:cNvCxnSpPr/>
      </xdr:nvCxnSpPr>
      <xdr:spPr>
        <a:xfrm>
          <a:off x="14786883" y="1668236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518433</xdr:colOff>
      <xdr:row>8</xdr:row>
      <xdr:rowOff>87086</xdr:rowOff>
    </xdr:from>
    <xdr:to>
      <xdr:col>31</xdr:col>
      <xdr:colOff>127908</xdr:colOff>
      <xdr:row>10</xdr:row>
      <xdr:rowOff>39461</xdr:rowOff>
    </xdr:to>
    <xdr:cxnSp macro="">
      <xdr:nvCxnSpPr>
        <xdr:cNvPr id="121" name="Прямая со стрелкой 120">
          <a:extLst>
            <a:ext uri="{FF2B5EF4-FFF2-40B4-BE49-F238E27FC236}">
              <a16:creationId xmlns:a16="http://schemas.microsoft.com/office/drawing/2014/main" id="{6788F994-52D6-4FAF-A93C-0C54885DFAAB}"/>
            </a:ext>
          </a:extLst>
        </xdr:cNvPr>
        <xdr:cNvCxnSpPr/>
      </xdr:nvCxnSpPr>
      <xdr:spPr>
        <a:xfrm flipH="1">
          <a:off x="17815833" y="1639661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213633</xdr:colOff>
      <xdr:row>8</xdr:row>
      <xdr:rowOff>163286</xdr:rowOff>
    </xdr:from>
    <xdr:to>
      <xdr:col>31</xdr:col>
      <xdr:colOff>223158</xdr:colOff>
      <xdr:row>10</xdr:row>
      <xdr:rowOff>10886</xdr:rowOff>
    </xdr:to>
    <xdr:cxnSp macro="">
      <xdr:nvCxnSpPr>
        <xdr:cNvPr id="122" name="Прямая со стрелкой 121">
          <a:extLst>
            <a:ext uri="{FF2B5EF4-FFF2-40B4-BE49-F238E27FC236}">
              <a16:creationId xmlns:a16="http://schemas.microsoft.com/office/drawing/2014/main" id="{FA118D4C-A1D9-44E1-9986-0B8042D9B5AB}"/>
            </a:ext>
          </a:extLst>
        </xdr:cNvPr>
        <xdr:cNvCxnSpPr/>
      </xdr:nvCxnSpPr>
      <xdr:spPr>
        <a:xfrm>
          <a:off x="18730233" y="1715861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470808</xdr:colOff>
      <xdr:row>8</xdr:row>
      <xdr:rowOff>134711</xdr:rowOff>
    </xdr:from>
    <xdr:to>
      <xdr:col>33</xdr:col>
      <xdr:colOff>13608</xdr:colOff>
      <xdr:row>10</xdr:row>
      <xdr:rowOff>58511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502D658C-F3ED-4B82-B384-8AF382039A73}"/>
            </a:ext>
          </a:extLst>
        </xdr:cNvPr>
        <xdr:cNvCxnSpPr/>
      </xdr:nvCxnSpPr>
      <xdr:spPr>
        <a:xfrm>
          <a:off x="18987408" y="1687286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518433</xdr:colOff>
      <xdr:row>8</xdr:row>
      <xdr:rowOff>96611</xdr:rowOff>
    </xdr:from>
    <xdr:to>
      <xdr:col>38</xdr:col>
      <xdr:colOff>127908</xdr:colOff>
      <xdr:row>10</xdr:row>
      <xdr:rowOff>48986</xdr:rowOff>
    </xdr:to>
    <xdr:cxnSp macro="">
      <xdr:nvCxnSpPr>
        <xdr:cNvPr id="124" name="Прямая со стрелкой 123">
          <a:extLst>
            <a:ext uri="{FF2B5EF4-FFF2-40B4-BE49-F238E27FC236}">
              <a16:creationId xmlns:a16="http://schemas.microsoft.com/office/drawing/2014/main" id="{B377DFAB-3D3F-4EB3-BCE1-4D7240118421}"/>
            </a:ext>
          </a:extLst>
        </xdr:cNvPr>
        <xdr:cNvCxnSpPr/>
      </xdr:nvCxnSpPr>
      <xdr:spPr>
        <a:xfrm flipH="1">
          <a:off x="22083033" y="1649186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213633</xdr:colOff>
      <xdr:row>8</xdr:row>
      <xdr:rowOff>172811</xdr:rowOff>
    </xdr:from>
    <xdr:to>
      <xdr:col>38</xdr:col>
      <xdr:colOff>223158</xdr:colOff>
      <xdr:row>10</xdr:row>
      <xdr:rowOff>20411</xdr:rowOff>
    </xdr:to>
    <xdr:cxnSp macro="">
      <xdr:nvCxnSpPr>
        <xdr:cNvPr id="125" name="Прямая со стрелкой 124">
          <a:extLst>
            <a:ext uri="{FF2B5EF4-FFF2-40B4-BE49-F238E27FC236}">
              <a16:creationId xmlns:a16="http://schemas.microsoft.com/office/drawing/2014/main" id="{88CE545C-E0C2-4F0D-AF9E-D5B0CC45930B}"/>
            </a:ext>
          </a:extLst>
        </xdr:cNvPr>
        <xdr:cNvCxnSpPr/>
      </xdr:nvCxnSpPr>
      <xdr:spPr>
        <a:xfrm>
          <a:off x="22997433" y="1725386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470808</xdr:colOff>
      <xdr:row>8</xdr:row>
      <xdr:rowOff>144236</xdr:rowOff>
    </xdr:from>
    <xdr:to>
      <xdr:col>40</xdr:col>
      <xdr:colOff>13608</xdr:colOff>
      <xdr:row>10</xdr:row>
      <xdr:rowOff>68036</xdr:rowOff>
    </xdr:to>
    <xdr:cxnSp macro="">
      <xdr:nvCxnSpPr>
        <xdr:cNvPr id="126" name="Прямая со стрелкой 125">
          <a:extLst>
            <a:ext uri="{FF2B5EF4-FFF2-40B4-BE49-F238E27FC236}">
              <a16:creationId xmlns:a16="http://schemas.microsoft.com/office/drawing/2014/main" id="{FE7F1DCD-F607-48D7-B6D3-2AF78BB25FEC}"/>
            </a:ext>
          </a:extLst>
        </xdr:cNvPr>
        <xdr:cNvCxnSpPr/>
      </xdr:nvCxnSpPr>
      <xdr:spPr>
        <a:xfrm>
          <a:off x="23254608" y="1696811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576943</xdr:colOff>
      <xdr:row>6</xdr:row>
      <xdr:rowOff>126547</xdr:rowOff>
    </xdr:from>
    <xdr:to>
      <xdr:col>51</xdr:col>
      <xdr:colOff>14968</xdr:colOff>
      <xdr:row>8</xdr:row>
      <xdr:rowOff>117022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6B0373D6-9581-4CDD-A682-BAF084B8B232}"/>
            </a:ext>
          </a:extLst>
        </xdr:cNvPr>
        <xdr:cNvCxnSpPr/>
      </xdr:nvCxnSpPr>
      <xdr:spPr>
        <a:xfrm flipH="1">
          <a:off x="27018343" y="1288597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598714</xdr:colOff>
      <xdr:row>6</xdr:row>
      <xdr:rowOff>136072</xdr:rowOff>
    </xdr:from>
    <xdr:to>
      <xdr:col>58</xdr:col>
      <xdr:colOff>167368</xdr:colOff>
      <xdr:row>8</xdr:row>
      <xdr:rowOff>88447</xdr:rowOff>
    </xdr:to>
    <xdr:cxnSp macro="">
      <xdr:nvCxnSpPr>
        <xdr:cNvPr id="128" name="Прямая со стрелкой 127">
          <a:extLst>
            <a:ext uri="{FF2B5EF4-FFF2-40B4-BE49-F238E27FC236}">
              <a16:creationId xmlns:a16="http://schemas.microsoft.com/office/drawing/2014/main" id="{EA564BB7-9FD7-44BD-8D4D-488714778AF0}"/>
            </a:ext>
          </a:extLst>
        </xdr:cNvPr>
        <xdr:cNvCxnSpPr/>
      </xdr:nvCxnSpPr>
      <xdr:spPr>
        <a:xfrm>
          <a:off x="31307314" y="1298122"/>
          <a:ext cx="3835854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5443</xdr:colOff>
      <xdr:row>8</xdr:row>
      <xdr:rowOff>97972</xdr:rowOff>
    </xdr:from>
    <xdr:to>
      <xdr:col>44</xdr:col>
      <xdr:colOff>224518</xdr:colOff>
      <xdr:row>10</xdr:row>
      <xdr:rowOff>50347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5A1AE0A7-AB09-46A5-9A61-A16DF1DF291D}"/>
            </a:ext>
          </a:extLst>
        </xdr:cNvPr>
        <xdr:cNvCxnSpPr/>
      </xdr:nvCxnSpPr>
      <xdr:spPr>
        <a:xfrm flipH="1">
          <a:off x="25837243" y="1650547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310243</xdr:colOff>
      <xdr:row>8</xdr:row>
      <xdr:rowOff>174172</xdr:rowOff>
    </xdr:from>
    <xdr:to>
      <xdr:col>44</xdr:col>
      <xdr:colOff>319768</xdr:colOff>
      <xdr:row>10</xdr:row>
      <xdr:rowOff>21772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7F833AFA-1C97-4C8D-A8AC-C6AA341450C9}"/>
            </a:ext>
          </a:extLst>
        </xdr:cNvPr>
        <xdr:cNvCxnSpPr/>
      </xdr:nvCxnSpPr>
      <xdr:spPr>
        <a:xfrm>
          <a:off x="26751643" y="1726747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567418</xdr:colOff>
      <xdr:row>8</xdr:row>
      <xdr:rowOff>145597</xdr:rowOff>
    </xdr:from>
    <xdr:to>
      <xdr:col>46</xdr:col>
      <xdr:colOff>110218</xdr:colOff>
      <xdr:row>10</xdr:row>
      <xdr:rowOff>69397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4BD42B18-5C48-4334-8B9F-2B855D667E21}"/>
            </a:ext>
          </a:extLst>
        </xdr:cNvPr>
        <xdr:cNvCxnSpPr/>
      </xdr:nvCxnSpPr>
      <xdr:spPr>
        <a:xfrm>
          <a:off x="27008818" y="1698172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548368</xdr:colOff>
      <xdr:row>8</xdr:row>
      <xdr:rowOff>117022</xdr:rowOff>
    </xdr:from>
    <xdr:to>
      <xdr:col>51</xdr:col>
      <xdr:colOff>157843</xdr:colOff>
      <xdr:row>10</xdr:row>
      <xdr:rowOff>69397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69C0DEA5-81EF-4A6C-AFFA-CA02FA9558DE}"/>
            </a:ext>
          </a:extLst>
        </xdr:cNvPr>
        <xdr:cNvCxnSpPr/>
      </xdr:nvCxnSpPr>
      <xdr:spPr>
        <a:xfrm flipH="1">
          <a:off x="30037768" y="1669597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243568</xdr:colOff>
      <xdr:row>9</xdr:row>
      <xdr:rowOff>2722</xdr:rowOff>
    </xdr:from>
    <xdr:to>
      <xdr:col>51</xdr:col>
      <xdr:colOff>253093</xdr:colOff>
      <xdr:row>10</xdr:row>
      <xdr:rowOff>40822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5A2E963A-FB06-4949-A5D3-14894210BEEC}"/>
            </a:ext>
          </a:extLst>
        </xdr:cNvPr>
        <xdr:cNvCxnSpPr/>
      </xdr:nvCxnSpPr>
      <xdr:spPr>
        <a:xfrm>
          <a:off x="30952168" y="1745797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500743</xdr:colOff>
      <xdr:row>8</xdr:row>
      <xdr:rowOff>164647</xdr:rowOff>
    </xdr:from>
    <xdr:to>
      <xdr:col>53</xdr:col>
      <xdr:colOff>43543</xdr:colOff>
      <xdr:row>10</xdr:row>
      <xdr:rowOff>88447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05C3570F-3874-4C5C-A108-BFF484FAEEA0}"/>
            </a:ext>
          </a:extLst>
        </xdr:cNvPr>
        <xdr:cNvCxnSpPr/>
      </xdr:nvCxnSpPr>
      <xdr:spPr>
        <a:xfrm>
          <a:off x="31209343" y="1717222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548368</xdr:colOff>
      <xdr:row>8</xdr:row>
      <xdr:rowOff>126547</xdr:rowOff>
    </xdr:from>
    <xdr:to>
      <xdr:col>58</xdr:col>
      <xdr:colOff>157843</xdr:colOff>
      <xdr:row>10</xdr:row>
      <xdr:rowOff>78922</xdr:rowOff>
    </xdr:to>
    <xdr:cxnSp macro="">
      <xdr:nvCxnSpPr>
        <xdr:cNvPr id="135" name="Прямая со стрелкой 134">
          <a:extLst>
            <a:ext uri="{FF2B5EF4-FFF2-40B4-BE49-F238E27FC236}">
              <a16:creationId xmlns:a16="http://schemas.microsoft.com/office/drawing/2014/main" id="{0F5C5F9D-8616-42D2-895D-2C1B27F35FF0}"/>
            </a:ext>
          </a:extLst>
        </xdr:cNvPr>
        <xdr:cNvCxnSpPr/>
      </xdr:nvCxnSpPr>
      <xdr:spPr>
        <a:xfrm flipH="1">
          <a:off x="34304968" y="1679122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243568</xdr:colOff>
      <xdr:row>9</xdr:row>
      <xdr:rowOff>12247</xdr:rowOff>
    </xdr:from>
    <xdr:to>
      <xdr:col>58</xdr:col>
      <xdr:colOff>253093</xdr:colOff>
      <xdr:row>10</xdr:row>
      <xdr:rowOff>50347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31A7EFCD-0CA0-487D-B696-EBE418C4697D}"/>
            </a:ext>
          </a:extLst>
        </xdr:cNvPr>
        <xdr:cNvCxnSpPr/>
      </xdr:nvCxnSpPr>
      <xdr:spPr>
        <a:xfrm>
          <a:off x="35219368" y="1755322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500743</xdr:colOff>
      <xdr:row>8</xdr:row>
      <xdr:rowOff>174172</xdr:rowOff>
    </xdr:from>
    <xdr:to>
      <xdr:col>60</xdr:col>
      <xdr:colOff>43543</xdr:colOff>
      <xdr:row>10</xdr:row>
      <xdr:rowOff>97972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172E2E53-61CE-4650-836A-239B755785A6}"/>
            </a:ext>
          </a:extLst>
        </xdr:cNvPr>
        <xdr:cNvCxnSpPr/>
      </xdr:nvCxnSpPr>
      <xdr:spPr>
        <a:xfrm>
          <a:off x="35476543" y="1726747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552450</xdr:colOff>
      <xdr:row>6</xdr:row>
      <xdr:rowOff>129268</xdr:rowOff>
    </xdr:from>
    <xdr:to>
      <xdr:col>90</xdr:col>
      <xdr:colOff>602796</xdr:colOff>
      <xdr:row>8</xdr:row>
      <xdr:rowOff>119743</xdr:rowOff>
    </xdr:to>
    <xdr:cxnSp macro="">
      <xdr:nvCxnSpPr>
        <xdr:cNvPr id="138" name="Прямая со стрелкой 137">
          <a:extLst>
            <a:ext uri="{FF2B5EF4-FFF2-40B4-BE49-F238E27FC236}">
              <a16:creationId xmlns:a16="http://schemas.microsoft.com/office/drawing/2014/main" id="{1BBD6F47-65AF-4EAA-961B-4AFDB76A13E6}"/>
            </a:ext>
          </a:extLst>
        </xdr:cNvPr>
        <xdr:cNvCxnSpPr/>
      </xdr:nvCxnSpPr>
      <xdr:spPr>
        <a:xfrm flipH="1">
          <a:off x="51377850" y="1291318"/>
          <a:ext cx="3707946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574221</xdr:colOff>
      <xdr:row>6</xdr:row>
      <xdr:rowOff>138793</xdr:rowOff>
    </xdr:from>
    <xdr:to>
      <xdr:col>98</xdr:col>
      <xdr:colOff>142875</xdr:colOff>
      <xdr:row>8</xdr:row>
      <xdr:rowOff>91168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8A5B1A26-0ADF-4F8D-AF1D-0EB79590098B}"/>
            </a:ext>
          </a:extLst>
        </xdr:cNvPr>
        <xdr:cNvCxnSpPr/>
      </xdr:nvCxnSpPr>
      <xdr:spPr>
        <a:xfrm>
          <a:off x="55666821" y="1300843"/>
          <a:ext cx="3835854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593271</xdr:colOff>
      <xdr:row>8</xdr:row>
      <xdr:rowOff>100693</xdr:rowOff>
    </xdr:from>
    <xdr:to>
      <xdr:col>84</xdr:col>
      <xdr:colOff>200025</xdr:colOff>
      <xdr:row>10</xdr:row>
      <xdr:rowOff>53068</xdr:rowOff>
    </xdr:to>
    <xdr:cxnSp macro="">
      <xdr:nvCxnSpPr>
        <xdr:cNvPr id="140" name="Прямая со стрелкой 139">
          <a:extLst>
            <a:ext uri="{FF2B5EF4-FFF2-40B4-BE49-F238E27FC236}">
              <a16:creationId xmlns:a16="http://schemas.microsoft.com/office/drawing/2014/main" id="{929C15FE-BA5F-4EF3-B393-5BA3C3BAC3BB}"/>
            </a:ext>
          </a:extLst>
        </xdr:cNvPr>
        <xdr:cNvCxnSpPr/>
      </xdr:nvCxnSpPr>
      <xdr:spPr>
        <a:xfrm flipH="1">
          <a:off x="50199471" y="1653268"/>
          <a:ext cx="825954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285750</xdr:colOff>
      <xdr:row>8</xdr:row>
      <xdr:rowOff>176893</xdr:rowOff>
    </xdr:from>
    <xdr:to>
      <xdr:col>84</xdr:col>
      <xdr:colOff>295275</xdr:colOff>
      <xdr:row>10</xdr:row>
      <xdr:rowOff>24493</xdr:rowOff>
    </xdr:to>
    <xdr:cxnSp macro="">
      <xdr:nvCxnSpPr>
        <xdr:cNvPr id="141" name="Прямая со стрелкой 140">
          <a:extLst>
            <a:ext uri="{FF2B5EF4-FFF2-40B4-BE49-F238E27FC236}">
              <a16:creationId xmlns:a16="http://schemas.microsoft.com/office/drawing/2014/main" id="{60E63526-439B-4B01-AC19-E4C1F704EFCA}"/>
            </a:ext>
          </a:extLst>
        </xdr:cNvPr>
        <xdr:cNvCxnSpPr/>
      </xdr:nvCxnSpPr>
      <xdr:spPr>
        <a:xfrm>
          <a:off x="51111150" y="1729468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542925</xdr:colOff>
      <xdr:row>8</xdr:row>
      <xdr:rowOff>148318</xdr:rowOff>
    </xdr:from>
    <xdr:to>
      <xdr:col>86</xdr:col>
      <xdr:colOff>85725</xdr:colOff>
      <xdr:row>10</xdr:row>
      <xdr:rowOff>72118</xdr:rowOff>
    </xdr:to>
    <xdr:cxnSp macro="">
      <xdr:nvCxnSpPr>
        <xdr:cNvPr id="142" name="Прямая со стрелкой 141">
          <a:extLst>
            <a:ext uri="{FF2B5EF4-FFF2-40B4-BE49-F238E27FC236}">
              <a16:creationId xmlns:a16="http://schemas.microsoft.com/office/drawing/2014/main" id="{3FA681A2-A529-4F12-A2B8-4238ED4214F9}"/>
            </a:ext>
          </a:extLst>
        </xdr:cNvPr>
        <xdr:cNvCxnSpPr/>
      </xdr:nvCxnSpPr>
      <xdr:spPr>
        <a:xfrm>
          <a:off x="51368325" y="1700893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523875</xdr:colOff>
      <xdr:row>8</xdr:row>
      <xdr:rowOff>119743</xdr:rowOff>
    </xdr:from>
    <xdr:to>
      <xdr:col>91</xdr:col>
      <xdr:colOff>133350</xdr:colOff>
      <xdr:row>10</xdr:row>
      <xdr:rowOff>72118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C8946DA0-4EDC-475C-991F-BADC693A6894}"/>
            </a:ext>
          </a:extLst>
        </xdr:cNvPr>
        <xdr:cNvCxnSpPr/>
      </xdr:nvCxnSpPr>
      <xdr:spPr>
        <a:xfrm flipH="1">
          <a:off x="54397275" y="1672318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219075</xdr:colOff>
      <xdr:row>9</xdr:row>
      <xdr:rowOff>5443</xdr:rowOff>
    </xdr:from>
    <xdr:to>
      <xdr:col>91</xdr:col>
      <xdr:colOff>228600</xdr:colOff>
      <xdr:row>10</xdr:row>
      <xdr:rowOff>43543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109F937C-0743-4882-A14C-2733E848A027}"/>
            </a:ext>
          </a:extLst>
        </xdr:cNvPr>
        <xdr:cNvCxnSpPr/>
      </xdr:nvCxnSpPr>
      <xdr:spPr>
        <a:xfrm>
          <a:off x="55311675" y="1748518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476250</xdr:colOff>
      <xdr:row>8</xdr:row>
      <xdr:rowOff>167368</xdr:rowOff>
    </xdr:from>
    <xdr:to>
      <xdr:col>93</xdr:col>
      <xdr:colOff>19050</xdr:colOff>
      <xdr:row>10</xdr:row>
      <xdr:rowOff>91168</xdr:rowOff>
    </xdr:to>
    <xdr:cxnSp macro="">
      <xdr:nvCxnSpPr>
        <xdr:cNvPr id="145" name="Прямая со стрелкой 144">
          <a:extLst>
            <a:ext uri="{FF2B5EF4-FFF2-40B4-BE49-F238E27FC236}">
              <a16:creationId xmlns:a16="http://schemas.microsoft.com/office/drawing/2014/main" id="{29DCF54C-8EB0-474F-8053-C0C9A037E033}"/>
            </a:ext>
          </a:extLst>
        </xdr:cNvPr>
        <xdr:cNvCxnSpPr/>
      </xdr:nvCxnSpPr>
      <xdr:spPr>
        <a:xfrm>
          <a:off x="55568850" y="1719943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523875</xdr:colOff>
      <xdr:row>8</xdr:row>
      <xdr:rowOff>129268</xdr:rowOff>
    </xdr:from>
    <xdr:to>
      <xdr:col>98</xdr:col>
      <xdr:colOff>133350</xdr:colOff>
      <xdr:row>10</xdr:row>
      <xdr:rowOff>81643</xdr:rowOff>
    </xdr:to>
    <xdr:cxnSp macro="">
      <xdr:nvCxnSpPr>
        <xdr:cNvPr id="146" name="Прямая со стрелкой 145">
          <a:extLst>
            <a:ext uri="{FF2B5EF4-FFF2-40B4-BE49-F238E27FC236}">
              <a16:creationId xmlns:a16="http://schemas.microsoft.com/office/drawing/2014/main" id="{F2A1221D-4A39-4354-9A41-08180F463EB4}"/>
            </a:ext>
          </a:extLst>
        </xdr:cNvPr>
        <xdr:cNvCxnSpPr/>
      </xdr:nvCxnSpPr>
      <xdr:spPr>
        <a:xfrm flipH="1">
          <a:off x="58664475" y="1681843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219075</xdr:colOff>
      <xdr:row>9</xdr:row>
      <xdr:rowOff>14968</xdr:rowOff>
    </xdr:from>
    <xdr:to>
      <xdr:col>98</xdr:col>
      <xdr:colOff>228600</xdr:colOff>
      <xdr:row>10</xdr:row>
      <xdr:rowOff>53068</xdr:rowOff>
    </xdr:to>
    <xdr:cxnSp macro="">
      <xdr:nvCxnSpPr>
        <xdr:cNvPr id="147" name="Прямая со стрелкой 146">
          <a:extLst>
            <a:ext uri="{FF2B5EF4-FFF2-40B4-BE49-F238E27FC236}">
              <a16:creationId xmlns:a16="http://schemas.microsoft.com/office/drawing/2014/main" id="{759685F4-0912-4305-A2BB-590D41038C08}"/>
            </a:ext>
          </a:extLst>
        </xdr:cNvPr>
        <xdr:cNvCxnSpPr/>
      </xdr:nvCxnSpPr>
      <xdr:spPr>
        <a:xfrm>
          <a:off x="59578875" y="1758043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476250</xdr:colOff>
      <xdr:row>8</xdr:row>
      <xdr:rowOff>176893</xdr:rowOff>
    </xdr:from>
    <xdr:to>
      <xdr:col>100</xdr:col>
      <xdr:colOff>19050</xdr:colOff>
      <xdr:row>10</xdr:row>
      <xdr:rowOff>100693</xdr:rowOff>
    </xdr:to>
    <xdr:cxnSp macro="">
      <xdr:nvCxnSpPr>
        <xdr:cNvPr id="148" name="Прямая со стрелкой 147">
          <a:extLst>
            <a:ext uri="{FF2B5EF4-FFF2-40B4-BE49-F238E27FC236}">
              <a16:creationId xmlns:a16="http://schemas.microsoft.com/office/drawing/2014/main" id="{A588686F-B6C8-488A-90C8-6EB97C54D463}"/>
            </a:ext>
          </a:extLst>
        </xdr:cNvPr>
        <xdr:cNvCxnSpPr/>
      </xdr:nvCxnSpPr>
      <xdr:spPr>
        <a:xfrm>
          <a:off x="59836050" y="1729468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500742</xdr:colOff>
      <xdr:row>6</xdr:row>
      <xdr:rowOff>131989</xdr:rowOff>
    </xdr:from>
    <xdr:to>
      <xdr:col>110</xdr:col>
      <xdr:colOff>551089</xdr:colOff>
      <xdr:row>8</xdr:row>
      <xdr:rowOff>122464</xdr:rowOff>
    </xdr:to>
    <xdr:cxnSp macro="">
      <xdr:nvCxnSpPr>
        <xdr:cNvPr id="149" name="Прямая со стрелкой 148">
          <a:extLst>
            <a:ext uri="{FF2B5EF4-FFF2-40B4-BE49-F238E27FC236}">
              <a16:creationId xmlns:a16="http://schemas.microsoft.com/office/drawing/2014/main" id="{9A15682E-F756-4E86-9404-09D69EDD2BA7}"/>
            </a:ext>
          </a:extLst>
        </xdr:cNvPr>
        <xdr:cNvCxnSpPr/>
      </xdr:nvCxnSpPr>
      <xdr:spPr>
        <a:xfrm flipH="1">
          <a:off x="63518142" y="1294039"/>
          <a:ext cx="3707947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522513</xdr:colOff>
      <xdr:row>6</xdr:row>
      <xdr:rowOff>141514</xdr:rowOff>
    </xdr:from>
    <xdr:to>
      <xdr:col>118</xdr:col>
      <xdr:colOff>91167</xdr:colOff>
      <xdr:row>8</xdr:row>
      <xdr:rowOff>93889</xdr:rowOff>
    </xdr:to>
    <xdr:cxnSp macro="">
      <xdr:nvCxnSpPr>
        <xdr:cNvPr id="150" name="Прямая со стрелкой 149">
          <a:extLst>
            <a:ext uri="{FF2B5EF4-FFF2-40B4-BE49-F238E27FC236}">
              <a16:creationId xmlns:a16="http://schemas.microsoft.com/office/drawing/2014/main" id="{ADF2C7D9-E0DC-4B7B-BB12-E906C6CE9A5F}"/>
            </a:ext>
          </a:extLst>
        </xdr:cNvPr>
        <xdr:cNvCxnSpPr/>
      </xdr:nvCxnSpPr>
      <xdr:spPr>
        <a:xfrm>
          <a:off x="67807113" y="1303564"/>
          <a:ext cx="3835854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541563</xdr:colOff>
      <xdr:row>8</xdr:row>
      <xdr:rowOff>103414</xdr:rowOff>
    </xdr:from>
    <xdr:to>
      <xdr:col>104</xdr:col>
      <xdr:colOff>148317</xdr:colOff>
      <xdr:row>10</xdr:row>
      <xdr:rowOff>55789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EB0DA59D-D828-4FC8-9615-7B774DA88C6B}"/>
            </a:ext>
          </a:extLst>
        </xdr:cNvPr>
        <xdr:cNvCxnSpPr/>
      </xdr:nvCxnSpPr>
      <xdr:spPr>
        <a:xfrm flipH="1">
          <a:off x="62339763" y="1655989"/>
          <a:ext cx="825954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234042</xdr:colOff>
      <xdr:row>8</xdr:row>
      <xdr:rowOff>179614</xdr:rowOff>
    </xdr:from>
    <xdr:to>
      <xdr:col>104</xdr:col>
      <xdr:colOff>243567</xdr:colOff>
      <xdr:row>10</xdr:row>
      <xdr:rowOff>27214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C0A9A141-89C6-486E-AF56-2FD2DF919C41}"/>
            </a:ext>
          </a:extLst>
        </xdr:cNvPr>
        <xdr:cNvCxnSpPr/>
      </xdr:nvCxnSpPr>
      <xdr:spPr>
        <a:xfrm>
          <a:off x="63251442" y="1732189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491217</xdr:colOff>
      <xdr:row>8</xdr:row>
      <xdr:rowOff>151039</xdr:rowOff>
    </xdr:from>
    <xdr:to>
      <xdr:col>106</xdr:col>
      <xdr:colOff>34018</xdr:colOff>
      <xdr:row>10</xdr:row>
      <xdr:rowOff>74839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A02CF280-A399-4CAB-803B-9E0ADA345C1A}"/>
            </a:ext>
          </a:extLst>
        </xdr:cNvPr>
        <xdr:cNvCxnSpPr/>
      </xdr:nvCxnSpPr>
      <xdr:spPr>
        <a:xfrm>
          <a:off x="63508617" y="1703614"/>
          <a:ext cx="762001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472167</xdr:colOff>
      <xdr:row>8</xdr:row>
      <xdr:rowOff>122464</xdr:rowOff>
    </xdr:from>
    <xdr:to>
      <xdr:col>111</xdr:col>
      <xdr:colOff>81642</xdr:colOff>
      <xdr:row>10</xdr:row>
      <xdr:rowOff>74839</xdr:rowOff>
    </xdr:to>
    <xdr:cxnSp macro="">
      <xdr:nvCxnSpPr>
        <xdr:cNvPr id="154" name="Прямая со стрелкой 153">
          <a:extLst>
            <a:ext uri="{FF2B5EF4-FFF2-40B4-BE49-F238E27FC236}">
              <a16:creationId xmlns:a16="http://schemas.microsoft.com/office/drawing/2014/main" id="{DAFAE07E-4098-4569-9D8B-6E860452635B}"/>
            </a:ext>
          </a:extLst>
        </xdr:cNvPr>
        <xdr:cNvCxnSpPr/>
      </xdr:nvCxnSpPr>
      <xdr:spPr>
        <a:xfrm flipH="1">
          <a:off x="66537567" y="1675039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167367</xdr:colOff>
      <xdr:row>9</xdr:row>
      <xdr:rowOff>8164</xdr:rowOff>
    </xdr:from>
    <xdr:to>
      <xdr:col>111</xdr:col>
      <xdr:colOff>176892</xdr:colOff>
      <xdr:row>10</xdr:row>
      <xdr:rowOff>46264</xdr:rowOff>
    </xdr:to>
    <xdr:cxnSp macro="">
      <xdr:nvCxnSpPr>
        <xdr:cNvPr id="155" name="Прямая со стрелкой 154">
          <a:extLst>
            <a:ext uri="{FF2B5EF4-FFF2-40B4-BE49-F238E27FC236}">
              <a16:creationId xmlns:a16="http://schemas.microsoft.com/office/drawing/2014/main" id="{72E023B0-2259-44F7-BCED-AA13C0ACB519}"/>
            </a:ext>
          </a:extLst>
        </xdr:cNvPr>
        <xdr:cNvCxnSpPr/>
      </xdr:nvCxnSpPr>
      <xdr:spPr>
        <a:xfrm>
          <a:off x="67451967" y="1751239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424542</xdr:colOff>
      <xdr:row>8</xdr:row>
      <xdr:rowOff>170089</xdr:rowOff>
    </xdr:from>
    <xdr:to>
      <xdr:col>112</xdr:col>
      <xdr:colOff>579664</xdr:colOff>
      <xdr:row>10</xdr:row>
      <xdr:rowOff>93889</xdr:rowOff>
    </xdr:to>
    <xdr:cxnSp macro="">
      <xdr:nvCxnSpPr>
        <xdr:cNvPr id="156" name="Прямая со стрелкой 155">
          <a:extLst>
            <a:ext uri="{FF2B5EF4-FFF2-40B4-BE49-F238E27FC236}">
              <a16:creationId xmlns:a16="http://schemas.microsoft.com/office/drawing/2014/main" id="{B0C10A9C-3BAE-4B55-8114-2066F6C86DD2}"/>
            </a:ext>
          </a:extLst>
        </xdr:cNvPr>
        <xdr:cNvCxnSpPr/>
      </xdr:nvCxnSpPr>
      <xdr:spPr>
        <a:xfrm>
          <a:off x="67709142" y="1722664"/>
          <a:ext cx="76472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472167</xdr:colOff>
      <xdr:row>8</xdr:row>
      <xdr:rowOff>131989</xdr:rowOff>
    </xdr:from>
    <xdr:to>
      <xdr:col>118</xdr:col>
      <xdr:colOff>81642</xdr:colOff>
      <xdr:row>10</xdr:row>
      <xdr:rowOff>84364</xdr:rowOff>
    </xdr:to>
    <xdr:cxnSp macro="">
      <xdr:nvCxnSpPr>
        <xdr:cNvPr id="157" name="Прямая со стрелкой 156">
          <a:extLst>
            <a:ext uri="{FF2B5EF4-FFF2-40B4-BE49-F238E27FC236}">
              <a16:creationId xmlns:a16="http://schemas.microsoft.com/office/drawing/2014/main" id="{57BE9312-2973-4D25-BC27-B5193ACA6B4C}"/>
            </a:ext>
          </a:extLst>
        </xdr:cNvPr>
        <xdr:cNvCxnSpPr/>
      </xdr:nvCxnSpPr>
      <xdr:spPr>
        <a:xfrm flipH="1">
          <a:off x="70804767" y="1684564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167367</xdr:colOff>
      <xdr:row>9</xdr:row>
      <xdr:rowOff>17689</xdr:rowOff>
    </xdr:from>
    <xdr:to>
      <xdr:col>118</xdr:col>
      <xdr:colOff>176892</xdr:colOff>
      <xdr:row>10</xdr:row>
      <xdr:rowOff>55789</xdr:rowOff>
    </xdr:to>
    <xdr:cxnSp macro="">
      <xdr:nvCxnSpPr>
        <xdr:cNvPr id="158" name="Прямая со стрелкой 157">
          <a:extLst>
            <a:ext uri="{FF2B5EF4-FFF2-40B4-BE49-F238E27FC236}">
              <a16:creationId xmlns:a16="http://schemas.microsoft.com/office/drawing/2014/main" id="{53DDC55B-36B4-4F94-80DE-D728E50C38D2}"/>
            </a:ext>
          </a:extLst>
        </xdr:cNvPr>
        <xdr:cNvCxnSpPr/>
      </xdr:nvCxnSpPr>
      <xdr:spPr>
        <a:xfrm>
          <a:off x="71719167" y="1760764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424542</xdr:colOff>
      <xdr:row>8</xdr:row>
      <xdr:rowOff>179614</xdr:rowOff>
    </xdr:from>
    <xdr:to>
      <xdr:col>119</xdr:col>
      <xdr:colOff>579664</xdr:colOff>
      <xdr:row>10</xdr:row>
      <xdr:rowOff>103414</xdr:rowOff>
    </xdr:to>
    <xdr:cxnSp macro="">
      <xdr:nvCxnSpPr>
        <xdr:cNvPr id="159" name="Прямая со стрелкой 158">
          <a:extLst>
            <a:ext uri="{FF2B5EF4-FFF2-40B4-BE49-F238E27FC236}">
              <a16:creationId xmlns:a16="http://schemas.microsoft.com/office/drawing/2014/main" id="{B0A226CA-9400-41E6-80D1-2A66E2335CCF}"/>
            </a:ext>
          </a:extLst>
        </xdr:cNvPr>
        <xdr:cNvCxnSpPr/>
      </xdr:nvCxnSpPr>
      <xdr:spPr>
        <a:xfrm>
          <a:off x="71976342" y="1732189"/>
          <a:ext cx="76472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571500</xdr:colOff>
      <xdr:row>6</xdr:row>
      <xdr:rowOff>107496</xdr:rowOff>
    </xdr:from>
    <xdr:to>
      <xdr:col>151</xdr:col>
      <xdr:colOff>9525</xdr:colOff>
      <xdr:row>8</xdr:row>
      <xdr:rowOff>97971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20120A78-DE67-4AF0-B7A2-66B4E2A87706}"/>
            </a:ext>
          </a:extLst>
        </xdr:cNvPr>
        <xdr:cNvCxnSpPr/>
      </xdr:nvCxnSpPr>
      <xdr:spPr>
        <a:xfrm flipH="1">
          <a:off x="87972900" y="1269546"/>
          <a:ext cx="37052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593271</xdr:colOff>
      <xdr:row>6</xdr:row>
      <xdr:rowOff>117021</xdr:rowOff>
    </xdr:from>
    <xdr:to>
      <xdr:col>158</xdr:col>
      <xdr:colOff>161925</xdr:colOff>
      <xdr:row>8</xdr:row>
      <xdr:rowOff>69396</xdr:rowOff>
    </xdr:to>
    <xdr:cxnSp macro="">
      <xdr:nvCxnSpPr>
        <xdr:cNvPr id="161" name="Прямая со стрелкой 160">
          <a:extLst>
            <a:ext uri="{FF2B5EF4-FFF2-40B4-BE49-F238E27FC236}">
              <a16:creationId xmlns:a16="http://schemas.microsoft.com/office/drawing/2014/main" id="{D8D07D0F-F5F8-484E-9516-178B4CB51663}"/>
            </a:ext>
          </a:extLst>
        </xdr:cNvPr>
        <xdr:cNvCxnSpPr/>
      </xdr:nvCxnSpPr>
      <xdr:spPr>
        <a:xfrm>
          <a:off x="92261871" y="1279071"/>
          <a:ext cx="3835854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8</xdr:row>
      <xdr:rowOff>78921</xdr:rowOff>
    </xdr:from>
    <xdr:to>
      <xdr:col>144</xdr:col>
      <xdr:colOff>219075</xdr:colOff>
      <xdr:row>10</xdr:row>
      <xdr:rowOff>31296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A710FF01-ACFA-44A8-951B-EF0D80A9081E}"/>
            </a:ext>
          </a:extLst>
        </xdr:cNvPr>
        <xdr:cNvCxnSpPr/>
      </xdr:nvCxnSpPr>
      <xdr:spPr>
        <a:xfrm flipH="1">
          <a:off x="86791800" y="1631496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304800</xdr:colOff>
      <xdr:row>8</xdr:row>
      <xdr:rowOff>155121</xdr:rowOff>
    </xdr:from>
    <xdr:to>
      <xdr:col>144</xdr:col>
      <xdr:colOff>314325</xdr:colOff>
      <xdr:row>10</xdr:row>
      <xdr:rowOff>2721</xdr:rowOff>
    </xdr:to>
    <xdr:cxnSp macro="">
      <xdr:nvCxnSpPr>
        <xdr:cNvPr id="163" name="Прямая со стрелкой 162">
          <a:extLst>
            <a:ext uri="{FF2B5EF4-FFF2-40B4-BE49-F238E27FC236}">
              <a16:creationId xmlns:a16="http://schemas.microsoft.com/office/drawing/2014/main" id="{24F9EBAE-682B-44E6-9102-96EB184B88A6}"/>
            </a:ext>
          </a:extLst>
        </xdr:cNvPr>
        <xdr:cNvCxnSpPr/>
      </xdr:nvCxnSpPr>
      <xdr:spPr>
        <a:xfrm>
          <a:off x="87706200" y="1707696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561975</xdr:colOff>
      <xdr:row>8</xdr:row>
      <xdr:rowOff>126546</xdr:rowOff>
    </xdr:from>
    <xdr:to>
      <xdr:col>146</xdr:col>
      <xdr:colOff>104775</xdr:colOff>
      <xdr:row>10</xdr:row>
      <xdr:rowOff>50346</xdr:rowOff>
    </xdr:to>
    <xdr:cxnSp macro="">
      <xdr:nvCxnSpPr>
        <xdr:cNvPr id="164" name="Прямая со стрелкой 163">
          <a:extLst>
            <a:ext uri="{FF2B5EF4-FFF2-40B4-BE49-F238E27FC236}">
              <a16:creationId xmlns:a16="http://schemas.microsoft.com/office/drawing/2014/main" id="{D1CAD025-8031-4EB1-8274-444BDF215BC7}"/>
            </a:ext>
          </a:extLst>
        </xdr:cNvPr>
        <xdr:cNvCxnSpPr/>
      </xdr:nvCxnSpPr>
      <xdr:spPr>
        <a:xfrm>
          <a:off x="87963375" y="1679121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542925</xdr:colOff>
      <xdr:row>8</xdr:row>
      <xdr:rowOff>97971</xdr:rowOff>
    </xdr:from>
    <xdr:to>
      <xdr:col>151</xdr:col>
      <xdr:colOff>152400</xdr:colOff>
      <xdr:row>10</xdr:row>
      <xdr:rowOff>50346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86932B28-47A0-4302-AEF7-B1833F9FD74C}"/>
            </a:ext>
          </a:extLst>
        </xdr:cNvPr>
        <xdr:cNvCxnSpPr/>
      </xdr:nvCxnSpPr>
      <xdr:spPr>
        <a:xfrm flipH="1">
          <a:off x="90992325" y="1650546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238125</xdr:colOff>
      <xdr:row>8</xdr:row>
      <xdr:rowOff>174171</xdr:rowOff>
    </xdr:from>
    <xdr:to>
      <xdr:col>151</xdr:col>
      <xdr:colOff>247650</xdr:colOff>
      <xdr:row>10</xdr:row>
      <xdr:rowOff>21771</xdr:rowOff>
    </xdr:to>
    <xdr:cxnSp macro="">
      <xdr:nvCxnSpPr>
        <xdr:cNvPr id="166" name="Прямая со стрелкой 165">
          <a:extLst>
            <a:ext uri="{FF2B5EF4-FFF2-40B4-BE49-F238E27FC236}">
              <a16:creationId xmlns:a16="http://schemas.microsoft.com/office/drawing/2014/main" id="{BACEC645-1B10-4C34-9D83-BCCB144EE02A}"/>
            </a:ext>
          </a:extLst>
        </xdr:cNvPr>
        <xdr:cNvCxnSpPr/>
      </xdr:nvCxnSpPr>
      <xdr:spPr>
        <a:xfrm>
          <a:off x="91906725" y="1726746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495300</xdr:colOff>
      <xdr:row>8</xdr:row>
      <xdr:rowOff>145596</xdr:rowOff>
    </xdr:from>
    <xdr:to>
      <xdr:col>153</xdr:col>
      <xdr:colOff>38100</xdr:colOff>
      <xdr:row>10</xdr:row>
      <xdr:rowOff>69396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32F29EA6-092E-4338-B1AC-8EED6764A56F}"/>
            </a:ext>
          </a:extLst>
        </xdr:cNvPr>
        <xdr:cNvCxnSpPr/>
      </xdr:nvCxnSpPr>
      <xdr:spPr>
        <a:xfrm>
          <a:off x="92163900" y="1698171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542925</xdr:colOff>
      <xdr:row>8</xdr:row>
      <xdr:rowOff>107496</xdr:rowOff>
    </xdr:from>
    <xdr:to>
      <xdr:col>158</xdr:col>
      <xdr:colOff>152400</xdr:colOff>
      <xdr:row>10</xdr:row>
      <xdr:rowOff>59871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54707916-07CA-40C0-A636-AFD66D873CA6}"/>
            </a:ext>
          </a:extLst>
        </xdr:cNvPr>
        <xdr:cNvCxnSpPr/>
      </xdr:nvCxnSpPr>
      <xdr:spPr>
        <a:xfrm flipH="1">
          <a:off x="95259525" y="1660071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238125</xdr:colOff>
      <xdr:row>8</xdr:row>
      <xdr:rowOff>183696</xdr:rowOff>
    </xdr:from>
    <xdr:to>
      <xdr:col>158</xdr:col>
      <xdr:colOff>247650</xdr:colOff>
      <xdr:row>10</xdr:row>
      <xdr:rowOff>31296</xdr:rowOff>
    </xdr:to>
    <xdr:cxnSp macro="">
      <xdr:nvCxnSpPr>
        <xdr:cNvPr id="169" name="Прямая со стрелкой 168">
          <a:extLst>
            <a:ext uri="{FF2B5EF4-FFF2-40B4-BE49-F238E27FC236}">
              <a16:creationId xmlns:a16="http://schemas.microsoft.com/office/drawing/2014/main" id="{5D7B6331-46BB-438E-8783-22D711077291}"/>
            </a:ext>
          </a:extLst>
        </xdr:cNvPr>
        <xdr:cNvCxnSpPr/>
      </xdr:nvCxnSpPr>
      <xdr:spPr>
        <a:xfrm>
          <a:off x="96173925" y="1736271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495300</xdr:colOff>
      <xdr:row>8</xdr:row>
      <xdr:rowOff>155121</xdr:rowOff>
    </xdr:from>
    <xdr:to>
      <xdr:col>160</xdr:col>
      <xdr:colOff>38100</xdr:colOff>
      <xdr:row>10</xdr:row>
      <xdr:rowOff>78921</xdr:rowOff>
    </xdr:to>
    <xdr:cxnSp macro="">
      <xdr:nvCxnSpPr>
        <xdr:cNvPr id="170" name="Прямая со стрелкой 169">
          <a:extLst>
            <a:ext uri="{FF2B5EF4-FFF2-40B4-BE49-F238E27FC236}">
              <a16:creationId xmlns:a16="http://schemas.microsoft.com/office/drawing/2014/main" id="{7CED6A96-4C72-4DC9-83CE-43050E93D6C2}"/>
            </a:ext>
          </a:extLst>
        </xdr:cNvPr>
        <xdr:cNvCxnSpPr/>
      </xdr:nvCxnSpPr>
      <xdr:spPr>
        <a:xfrm>
          <a:off x="96431100" y="1707696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2721</xdr:colOff>
      <xdr:row>6</xdr:row>
      <xdr:rowOff>137432</xdr:rowOff>
    </xdr:from>
    <xdr:to>
      <xdr:col>171</xdr:col>
      <xdr:colOff>53068</xdr:colOff>
      <xdr:row>8</xdr:row>
      <xdr:rowOff>127907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3E369E4F-789F-4DD4-8A8B-519229C14139}"/>
            </a:ext>
          </a:extLst>
        </xdr:cNvPr>
        <xdr:cNvCxnSpPr/>
      </xdr:nvCxnSpPr>
      <xdr:spPr>
        <a:xfrm flipH="1">
          <a:off x="100205721" y="1299482"/>
          <a:ext cx="3707947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172</xdr:col>
      <xdr:colOff>24492</xdr:colOff>
      <xdr:row>6</xdr:row>
      <xdr:rowOff>146957</xdr:rowOff>
    </xdr:from>
    <xdr:to>
      <xdr:col>178</xdr:col>
      <xdr:colOff>205468</xdr:colOff>
      <xdr:row>8</xdr:row>
      <xdr:rowOff>99332</xdr:rowOff>
    </xdr:to>
    <xdr:cxnSp macro="">
      <xdr:nvCxnSpPr>
        <xdr:cNvPr id="172" name="Прямая со стрелкой 171">
          <a:extLst>
            <a:ext uri="{FF2B5EF4-FFF2-40B4-BE49-F238E27FC236}">
              <a16:creationId xmlns:a16="http://schemas.microsoft.com/office/drawing/2014/main" id="{504E0464-1575-4FC4-857D-240BFAF6E477}"/>
            </a:ext>
          </a:extLst>
        </xdr:cNvPr>
        <xdr:cNvCxnSpPr/>
      </xdr:nvCxnSpPr>
      <xdr:spPr>
        <a:xfrm>
          <a:off x="104494692" y="1309007"/>
          <a:ext cx="3838576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43542</xdr:colOff>
      <xdr:row>8</xdr:row>
      <xdr:rowOff>108857</xdr:rowOff>
    </xdr:from>
    <xdr:to>
      <xdr:col>164</xdr:col>
      <xdr:colOff>262618</xdr:colOff>
      <xdr:row>10</xdr:row>
      <xdr:rowOff>61232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AF5E8C5B-7532-4E71-A6E1-5041FFC50E8B}"/>
            </a:ext>
          </a:extLst>
        </xdr:cNvPr>
        <xdr:cNvCxnSpPr/>
      </xdr:nvCxnSpPr>
      <xdr:spPr>
        <a:xfrm flipH="1">
          <a:off x="99027342" y="1661432"/>
          <a:ext cx="828676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348343</xdr:colOff>
      <xdr:row>8</xdr:row>
      <xdr:rowOff>185057</xdr:rowOff>
    </xdr:from>
    <xdr:to>
      <xdr:col>164</xdr:col>
      <xdr:colOff>357868</xdr:colOff>
      <xdr:row>10</xdr:row>
      <xdr:rowOff>32657</xdr:rowOff>
    </xdr:to>
    <xdr:cxnSp macro="">
      <xdr:nvCxnSpPr>
        <xdr:cNvPr id="174" name="Прямая со стрелкой 173">
          <a:extLst>
            <a:ext uri="{FF2B5EF4-FFF2-40B4-BE49-F238E27FC236}">
              <a16:creationId xmlns:a16="http://schemas.microsoft.com/office/drawing/2014/main" id="{835B8A0B-8454-4B04-B3B3-BD14FE08ED38}"/>
            </a:ext>
          </a:extLst>
        </xdr:cNvPr>
        <xdr:cNvCxnSpPr/>
      </xdr:nvCxnSpPr>
      <xdr:spPr>
        <a:xfrm>
          <a:off x="99941743" y="1737632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605518</xdr:colOff>
      <xdr:row>8</xdr:row>
      <xdr:rowOff>156482</xdr:rowOff>
    </xdr:from>
    <xdr:to>
      <xdr:col>166</xdr:col>
      <xdr:colOff>148318</xdr:colOff>
      <xdr:row>10</xdr:row>
      <xdr:rowOff>80282</xdr:rowOff>
    </xdr:to>
    <xdr:cxnSp macro="">
      <xdr:nvCxnSpPr>
        <xdr:cNvPr id="175" name="Прямая со стрелкой 174">
          <a:extLst>
            <a:ext uri="{FF2B5EF4-FFF2-40B4-BE49-F238E27FC236}">
              <a16:creationId xmlns:a16="http://schemas.microsoft.com/office/drawing/2014/main" id="{C118E95F-98C0-4483-A05B-87BE23771FA0}"/>
            </a:ext>
          </a:extLst>
        </xdr:cNvPr>
        <xdr:cNvCxnSpPr/>
      </xdr:nvCxnSpPr>
      <xdr:spPr>
        <a:xfrm>
          <a:off x="100198918" y="1709057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586468</xdr:colOff>
      <xdr:row>8</xdr:row>
      <xdr:rowOff>127907</xdr:rowOff>
    </xdr:from>
    <xdr:to>
      <xdr:col>171</xdr:col>
      <xdr:colOff>195943</xdr:colOff>
      <xdr:row>10</xdr:row>
      <xdr:rowOff>80282</xdr:rowOff>
    </xdr:to>
    <xdr:cxnSp macro="">
      <xdr:nvCxnSpPr>
        <xdr:cNvPr id="176" name="Прямая со стрелкой 175">
          <a:extLst>
            <a:ext uri="{FF2B5EF4-FFF2-40B4-BE49-F238E27FC236}">
              <a16:creationId xmlns:a16="http://schemas.microsoft.com/office/drawing/2014/main" id="{F770AC8E-5AF3-4230-A8B0-29C5B42D2FBB}"/>
            </a:ext>
          </a:extLst>
        </xdr:cNvPr>
        <xdr:cNvCxnSpPr/>
      </xdr:nvCxnSpPr>
      <xdr:spPr>
        <a:xfrm flipH="1">
          <a:off x="103227868" y="1680482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281668</xdr:colOff>
      <xdr:row>9</xdr:row>
      <xdr:rowOff>13607</xdr:rowOff>
    </xdr:from>
    <xdr:to>
      <xdr:col>171</xdr:col>
      <xdr:colOff>291193</xdr:colOff>
      <xdr:row>10</xdr:row>
      <xdr:rowOff>51707</xdr:rowOff>
    </xdr:to>
    <xdr:cxnSp macro="">
      <xdr:nvCxnSpPr>
        <xdr:cNvPr id="177" name="Прямая со стрелкой 176">
          <a:extLst>
            <a:ext uri="{FF2B5EF4-FFF2-40B4-BE49-F238E27FC236}">
              <a16:creationId xmlns:a16="http://schemas.microsoft.com/office/drawing/2014/main" id="{BD00F972-11AF-4904-925E-B5486BFBF6B7}"/>
            </a:ext>
          </a:extLst>
        </xdr:cNvPr>
        <xdr:cNvCxnSpPr/>
      </xdr:nvCxnSpPr>
      <xdr:spPr>
        <a:xfrm>
          <a:off x="104142268" y="1756682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538843</xdr:colOff>
      <xdr:row>8</xdr:row>
      <xdr:rowOff>175532</xdr:rowOff>
    </xdr:from>
    <xdr:to>
      <xdr:col>173</xdr:col>
      <xdr:colOff>81643</xdr:colOff>
      <xdr:row>10</xdr:row>
      <xdr:rowOff>99332</xdr:rowOff>
    </xdr:to>
    <xdr:cxnSp macro="">
      <xdr:nvCxnSpPr>
        <xdr:cNvPr id="178" name="Прямая со стрелкой 177">
          <a:extLst>
            <a:ext uri="{FF2B5EF4-FFF2-40B4-BE49-F238E27FC236}">
              <a16:creationId xmlns:a16="http://schemas.microsoft.com/office/drawing/2014/main" id="{5BBD3EFE-8649-4110-BA00-1D100AE25AF9}"/>
            </a:ext>
          </a:extLst>
        </xdr:cNvPr>
        <xdr:cNvCxnSpPr/>
      </xdr:nvCxnSpPr>
      <xdr:spPr>
        <a:xfrm>
          <a:off x="104399443" y="1728107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586468</xdr:colOff>
      <xdr:row>8</xdr:row>
      <xdr:rowOff>137432</xdr:rowOff>
    </xdr:from>
    <xdr:to>
      <xdr:col>178</xdr:col>
      <xdr:colOff>195943</xdr:colOff>
      <xdr:row>10</xdr:row>
      <xdr:rowOff>89807</xdr:rowOff>
    </xdr:to>
    <xdr:cxnSp macro="">
      <xdr:nvCxnSpPr>
        <xdr:cNvPr id="179" name="Прямая со стрелкой 178">
          <a:extLst>
            <a:ext uri="{FF2B5EF4-FFF2-40B4-BE49-F238E27FC236}">
              <a16:creationId xmlns:a16="http://schemas.microsoft.com/office/drawing/2014/main" id="{F5CB58FB-AC4D-47CA-9C6C-861602C6F17B}"/>
            </a:ext>
          </a:extLst>
        </xdr:cNvPr>
        <xdr:cNvCxnSpPr/>
      </xdr:nvCxnSpPr>
      <xdr:spPr>
        <a:xfrm flipH="1">
          <a:off x="107495068" y="1690007"/>
          <a:ext cx="8286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281668</xdr:colOff>
      <xdr:row>9</xdr:row>
      <xdr:rowOff>23132</xdr:rowOff>
    </xdr:from>
    <xdr:to>
      <xdr:col>178</xdr:col>
      <xdr:colOff>291193</xdr:colOff>
      <xdr:row>10</xdr:row>
      <xdr:rowOff>61232</xdr:rowOff>
    </xdr:to>
    <xdr:cxnSp macro="">
      <xdr:nvCxnSpPr>
        <xdr:cNvPr id="180" name="Прямая со стрелкой 179">
          <a:extLst>
            <a:ext uri="{FF2B5EF4-FFF2-40B4-BE49-F238E27FC236}">
              <a16:creationId xmlns:a16="http://schemas.microsoft.com/office/drawing/2014/main" id="{14A8D0E6-3DBE-46C1-9E6A-5EFE4A71E812}"/>
            </a:ext>
          </a:extLst>
        </xdr:cNvPr>
        <xdr:cNvCxnSpPr/>
      </xdr:nvCxnSpPr>
      <xdr:spPr>
        <a:xfrm>
          <a:off x="108409468" y="1766207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538843</xdr:colOff>
      <xdr:row>8</xdr:row>
      <xdr:rowOff>185057</xdr:rowOff>
    </xdr:from>
    <xdr:to>
      <xdr:col>180</xdr:col>
      <xdr:colOff>81643</xdr:colOff>
      <xdr:row>10</xdr:row>
      <xdr:rowOff>108857</xdr:rowOff>
    </xdr:to>
    <xdr:cxnSp macro="">
      <xdr:nvCxnSpPr>
        <xdr:cNvPr id="181" name="Прямая со стрелкой 180">
          <a:extLst>
            <a:ext uri="{FF2B5EF4-FFF2-40B4-BE49-F238E27FC236}">
              <a16:creationId xmlns:a16="http://schemas.microsoft.com/office/drawing/2014/main" id="{BC2E8945-57EE-45DB-87F1-1E35B7B61971}"/>
            </a:ext>
          </a:extLst>
        </xdr:cNvPr>
        <xdr:cNvCxnSpPr/>
      </xdr:nvCxnSpPr>
      <xdr:spPr>
        <a:xfrm>
          <a:off x="108666643" y="1737632"/>
          <a:ext cx="7620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45"/>
  <sheetViews>
    <sheetView topLeftCell="A11" workbookViewId="0">
      <selection activeCell="F26" sqref="F26:F32"/>
    </sheetView>
  </sheetViews>
  <sheetFormatPr defaultRowHeight="14.4" x14ac:dyDescent="0.3"/>
  <cols>
    <col min="3" max="3" width="5.88671875" customWidth="1"/>
    <col min="4" max="4" width="8.33203125" bestFit="1" customWidth="1"/>
    <col min="5" max="5" width="9.6640625" customWidth="1"/>
    <col min="6" max="6" width="12" bestFit="1" customWidth="1"/>
    <col min="7" max="7" width="11.6640625" bestFit="1" customWidth="1"/>
    <col min="8" max="8" width="8.33203125" customWidth="1"/>
    <col min="9" max="9" width="7.5546875" customWidth="1"/>
    <col min="10" max="10" width="6.6640625" customWidth="1"/>
    <col min="11" max="11" width="10.33203125" bestFit="1" customWidth="1"/>
    <col min="12" max="12" width="12" bestFit="1" customWidth="1"/>
    <col min="13" max="13" width="5.6640625" bestFit="1" customWidth="1"/>
    <col min="14" max="14" width="10.5546875" bestFit="1" customWidth="1"/>
    <col min="15" max="15" width="12" bestFit="1" customWidth="1"/>
    <col min="16" max="16" width="5.33203125" bestFit="1" customWidth="1"/>
    <col min="17" max="17" width="14.33203125" bestFit="1" customWidth="1"/>
    <col min="18" max="24" width="3" customWidth="1"/>
    <col min="25" max="25" width="7.44140625" bestFit="1" customWidth="1"/>
    <col min="26" max="26" width="6.88671875" customWidth="1"/>
    <col min="30" max="30" width="11.6640625" bestFit="1" customWidth="1"/>
    <col min="31" max="33" width="5" bestFit="1" customWidth="1"/>
    <col min="34" max="37" width="6" bestFit="1" customWidth="1"/>
  </cols>
  <sheetData>
    <row r="2" spans="2:37" x14ac:dyDescent="0.3">
      <c r="B2" t="s">
        <v>0</v>
      </c>
      <c r="E2" t="s">
        <v>7</v>
      </c>
      <c r="F2">
        <v>72</v>
      </c>
      <c r="G2">
        <v>120</v>
      </c>
      <c r="H2">
        <v>0.6</v>
      </c>
    </row>
    <row r="4" spans="2:37" s="1" customFormat="1" ht="42.6" customHeight="1" x14ac:dyDescent="0.3">
      <c r="B4" s="1" t="s">
        <v>1</v>
      </c>
      <c r="C4" s="1" t="s">
        <v>2</v>
      </c>
      <c r="D4" s="1" t="s">
        <v>3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26</v>
      </c>
      <c r="K4" s="1" t="s">
        <v>33</v>
      </c>
      <c r="L4" s="1" t="s">
        <v>27</v>
      </c>
      <c r="N4" s="1" t="s">
        <v>28</v>
      </c>
      <c r="O4" s="1" t="s">
        <v>29</v>
      </c>
      <c r="P4" s="1" t="s">
        <v>30</v>
      </c>
      <c r="R4" s="4" t="s">
        <v>23</v>
      </c>
      <c r="S4" s="1" t="s">
        <v>9</v>
      </c>
      <c r="T4" s="1" t="s">
        <v>24</v>
      </c>
      <c r="V4" s="1" t="s">
        <v>35</v>
      </c>
      <c r="W4" s="1" t="s">
        <v>34</v>
      </c>
      <c r="Y4" s="1" t="s">
        <v>25</v>
      </c>
      <c r="Z4" s="1" t="s">
        <v>31</v>
      </c>
      <c r="AA4" s="3" t="s">
        <v>32</v>
      </c>
      <c r="AB4" s="3"/>
      <c r="AD4" s="1" t="s">
        <v>13</v>
      </c>
      <c r="AE4" s="1">
        <f>AE6*C22</f>
        <v>5004</v>
      </c>
      <c r="AF4" s="1">
        <f>AF6*D21</f>
        <v>6000</v>
      </c>
      <c r="AG4" s="1">
        <f>AG6*D20</f>
        <v>5004</v>
      </c>
      <c r="AH4" s="1">
        <f>AH6*D19</f>
        <v>10003</v>
      </c>
      <c r="AI4" s="1">
        <f>AI6*D18</f>
        <v>20013</v>
      </c>
      <c r="AJ4" s="1">
        <f>AJ6*D17</f>
        <v>20020</v>
      </c>
      <c r="AK4" s="1">
        <f>AK6*D16</f>
        <v>20006</v>
      </c>
    </row>
    <row r="5" spans="2:37" x14ac:dyDescent="0.3">
      <c r="B5">
        <v>13</v>
      </c>
      <c r="C5">
        <v>17</v>
      </c>
      <c r="D5">
        <v>20000</v>
      </c>
      <c r="E5">
        <f t="shared" ref="E5:E11" si="0">B5*C5*D5</f>
        <v>4420000</v>
      </c>
      <c r="F5">
        <f t="shared" ref="F5:F11" si="1">E5/$E$13</f>
        <v>0.21362977283711937</v>
      </c>
      <c r="G5">
        <f t="shared" ref="G5:G11" si="2">$AA$25*F5</f>
        <v>319.16288061865635</v>
      </c>
      <c r="H5">
        <f t="shared" ref="H5:H11" si="3">G5/D5*1000</f>
        <v>15.958144030932816</v>
      </c>
      <c r="I5">
        <f t="shared" ref="I5:I11" si="4">H5+2</f>
        <v>17.958144030932814</v>
      </c>
      <c r="J5">
        <f t="shared" ref="J5:J11" si="5">I5+5</f>
        <v>22.958144030932814</v>
      </c>
      <c r="K5">
        <f t="shared" ref="K5:K11" si="6">J5*D5/1000</f>
        <v>459.16288061865629</v>
      </c>
      <c r="L5">
        <f t="shared" ref="L5:L11" si="7">J5+5</f>
        <v>27.958144030932814</v>
      </c>
      <c r="N5">
        <f t="shared" ref="N5:N11" si="8">I5*D5/1000</f>
        <v>359.16288061865629</v>
      </c>
      <c r="O5">
        <f t="shared" ref="O5:O11" si="9">L5*D5/1000</f>
        <v>559.16288061865623</v>
      </c>
      <c r="P5">
        <f t="shared" ref="P5:P11" si="10">O5-N5</f>
        <v>199.99999999999994</v>
      </c>
      <c r="R5">
        <f t="shared" ref="R5:R11" si="11">$F$2/B5</f>
        <v>5.5384615384615383</v>
      </c>
      <c r="S5">
        <v>5</v>
      </c>
      <c r="T5">
        <f t="shared" ref="T5:T11" si="12">$G$2/C5</f>
        <v>7.0588235294117645</v>
      </c>
      <c r="U5">
        <v>7</v>
      </c>
      <c r="V5">
        <f t="shared" ref="V5:V11" si="13">U5*S5</f>
        <v>35</v>
      </c>
      <c r="W5">
        <f t="shared" ref="W5:W11" si="14">1000/V5</f>
        <v>28.571428571428573</v>
      </c>
      <c r="X5">
        <v>29</v>
      </c>
      <c r="Y5">
        <f t="shared" ref="Y5:Y11" si="15">X5*$H$2</f>
        <v>17.399999999999999</v>
      </c>
      <c r="Z5">
        <f t="shared" ref="Z5:Z11" si="16">Y5-H5</f>
        <v>1.4418559690671824</v>
      </c>
      <c r="AA5">
        <f t="shared" ref="AA5:AA11" si="17">Z5*D5/1000</f>
        <v>28.837119381343648</v>
      </c>
    </row>
    <row r="6" spans="2:37" x14ac:dyDescent="0.3">
      <c r="B6">
        <v>14</v>
      </c>
      <c r="C6">
        <v>17</v>
      </c>
      <c r="D6">
        <v>20000</v>
      </c>
      <c r="E6">
        <f t="shared" si="0"/>
        <v>4760000</v>
      </c>
      <c r="F6">
        <f t="shared" si="1"/>
        <v>0.23006283228612856</v>
      </c>
      <c r="G6">
        <f t="shared" si="2"/>
        <v>343.71387143547605</v>
      </c>
      <c r="H6">
        <f t="shared" si="3"/>
        <v>17.185693571773804</v>
      </c>
      <c r="I6">
        <f t="shared" si="4"/>
        <v>19.185693571773804</v>
      </c>
      <c r="J6">
        <f t="shared" si="5"/>
        <v>24.185693571773804</v>
      </c>
      <c r="K6">
        <f t="shared" si="6"/>
        <v>483.71387143547605</v>
      </c>
      <c r="L6">
        <f t="shared" si="7"/>
        <v>29.185693571773804</v>
      </c>
      <c r="N6">
        <f t="shared" si="8"/>
        <v>383.71387143547605</v>
      </c>
      <c r="O6">
        <f t="shared" si="9"/>
        <v>583.71387143547611</v>
      </c>
      <c r="P6">
        <f t="shared" si="10"/>
        <v>200.00000000000006</v>
      </c>
      <c r="R6">
        <f t="shared" si="11"/>
        <v>5.1428571428571432</v>
      </c>
      <c r="S6">
        <v>5</v>
      </c>
      <c r="T6">
        <f t="shared" si="12"/>
        <v>7.0588235294117645</v>
      </c>
      <c r="U6">
        <v>7</v>
      </c>
      <c r="V6">
        <f t="shared" si="13"/>
        <v>35</v>
      </c>
      <c r="W6">
        <f t="shared" si="14"/>
        <v>28.571428571428573</v>
      </c>
      <c r="X6">
        <v>29</v>
      </c>
      <c r="Y6">
        <f t="shared" si="15"/>
        <v>17.399999999999999</v>
      </c>
      <c r="Z6">
        <f t="shared" si="16"/>
        <v>0.21430642822619461</v>
      </c>
      <c r="AA6">
        <f t="shared" si="17"/>
        <v>4.2861285645238922</v>
      </c>
      <c r="AD6" t="s">
        <v>12</v>
      </c>
      <c r="AE6">
        <f t="shared" ref="AE6:AK6" si="18">AE12-AE8</f>
        <v>417</v>
      </c>
      <c r="AF6">
        <f t="shared" si="18"/>
        <v>500</v>
      </c>
      <c r="AG6">
        <f t="shared" si="18"/>
        <v>417</v>
      </c>
      <c r="AH6">
        <f t="shared" si="18"/>
        <v>1429</v>
      </c>
      <c r="AI6">
        <f t="shared" si="18"/>
        <v>2859</v>
      </c>
      <c r="AJ6">
        <f t="shared" si="18"/>
        <v>2860</v>
      </c>
      <c r="AK6">
        <f t="shared" si="18"/>
        <v>2858</v>
      </c>
    </row>
    <row r="7" spans="2:37" x14ac:dyDescent="0.3">
      <c r="B7">
        <v>15</v>
      </c>
      <c r="C7">
        <v>17</v>
      </c>
      <c r="D7">
        <v>20000</v>
      </c>
      <c r="E7">
        <f t="shared" si="0"/>
        <v>5100000</v>
      </c>
      <c r="F7">
        <f t="shared" si="1"/>
        <v>0.24649589173513775</v>
      </c>
      <c r="G7">
        <f t="shared" si="2"/>
        <v>368.26486225229581</v>
      </c>
      <c r="H7">
        <f t="shared" si="3"/>
        <v>18.413243112614794</v>
      </c>
      <c r="I7">
        <f t="shared" si="4"/>
        <v>20.413243112614794</v>
      </c>
      <c r="J7">
        <f t="shared" si="5"/>
        <v>25.413243112614794</v>
      </c>
      <c r="K7">
        <f t="shared" si="6"/>
        <v>508.26486225229587</v>
      </c>
      <c r="L7">
        <f t="shared" si="7"/>
        <v>30.413243112614794</v>
      </c>
      <c r="N7">
        <f t="shared" si="8"/>
        <v>408.26486225229587</v>
      </c>
      <c r="O7">
        <f t="shared" si="9"/>
        <v>608.26486225229587</v>
      </c>
      <c r="P7">
        <f t="shared" si="10"/>
        <v>200</v>
      </c>
      <c r="R7">
        <f t="shared" si="11"/>
        <v>4.8</v>
      </c>
      <c r="S7">
        <v>4</v>
      </c>
      <c r="T7">
        <f t="shared" si="12"/>
        <v>7.0588235294117645</v>
      </c>
      <c r="U7">
        <v>7</v>
      </c>
      <c r="V7">
        <f t="shared" si="13"/>
        <v>28</v>
      </c>
      <c r="W7">
        <f t="shared" si="14"/>
        <v>35.714285714285715</v>
      </c>
      <c r="X7">
        <v>36</v>
      </c>
      <c r="Y7">
        <f t="shared" si="15"/>
        <v>21.599999999999998</v>
      </c>
      <c r="Z7">
        <f t="shared" si="16"/>
        <v>3.1867568873852044</v>
      </c>
      <c r="AA7">
        <f t="shared" si="17"/>
        <v>63.735137747704087</v>
      </c>
    </row>
    <row r="8" spans="2:37" x14ac:dyDescent="0.3">
      <c r="B8">
        <v>17</v>
      </c>
      <c r="C8">
        <v>17</v>
      </c>
      <c r="D8">
        <v>10000</v>
      </c>
      <c r="E8">
        <f t="shared" si="0"/>
        <v>2890000</v>
      </c>
      <c r="F8">
        <f t="shared" si="1"/>
        <v>0.13968100531657807</v>
      </c>
      <c r="G8">
        <f t="shared" si="2"/>
        <v>208.68342194296764</v>
      </c>
      <c r="H8">
        <f t="shared" si="3"/>
        <v>20.868342194296766</v>
      </c>
      <c r="I8">
        <f t="shared" si="4"/>
        <v>22.868342194296766</v>
      </c>
      <c r="J8">
        <f t="shared" si="5"/>
        <v>27.868342194296766</v>
      </c>
      <c r="K8">
        <f t="shared" si="6"/>
        <v>278.68342194296764</v>
      </c>
      <c r="L8">
        <f t="shared" si="7"/>
        <v>32.868342194296766</v>
      </c>
      <c r="N8">
        <f t="shared" si="8"/>
        <v>228.68342194296767</v>
      </c>
      <c r="O8">
        <f t="shared" si="9"/>
        <v>328.68342194296764</v>
      </c>
      <c r="P8">
        <f t="shared" si="10"/>
        <v>99.999999999999972</v>
      </c>
      <c r="R8">
        <f t="shared" si="11"/>
        <v>4.2352941176470589</v>
      </c>
      <c r="S8">
        <v>4</v>
      </c>
      <c r="T8">
        <f t="shared" si="12"/>
        <v>7.0588235294117645</v>
      </c>
      <c r="U8">
        <v>7</v>
      </c>
      <c r="V8">
        <f t="shared" si="13"/>
        <v>28</v>
      </c>
      <c r="W8">
        <f t="shared" si="14"/>
        <v>35.714285714285715</v>
      </c>
      <c r="X8">
        <v>36</v>
      </c>
      <c r="Y8">
        <f t="shared" si="15"/>
        <v>21.599999999999998</v>
      </c>
      <c r="Z8">
        <f t="shared" si="16"/>
        <v>0.73165780570323236</v>
      </c>
      <c r="AA8">
        <f t="shared" si="17"/>
        <v>7.3165780570323236</v>
      </c>
      <c r="AD8" t="s">
        <v>14</v>
      </c>
      <c r="AG8">
        <f>AG12-AG10</f>
        <v>262</v>
      </c>
    </row>
    <row r="9" spans="2:37" x14ac:dyDescent="0.3">
      <c r="B9">
        <v>20</v>
      </c>
      <c r="C9">
        <v>10</v>
      </c>
      <c r="D9">
        <v>5000</v>
      </c>
      <c r="E9">
        <f t="shared" si="0"/>
        <v>1000000</v>
      </c>
      <c r="F9">
        <f t="shared" si="1"/>
        <v>4.8332527791203478E-2</v>
      </c>
      <c r="G9">
        <f t="shared" si="2"/>
        <v>72.208796520058002</v>
      </c>
      <c r="H9">
        <f t="shared" si="3"/>
        <v>14.441759304011601</v>
      </c>
      <c r="I9">
        <f t="shared" si="4"/>
        <v>16.441759304011601</v>
      </c>
      <c r="J9">
        <f t="shared" si="5"/>
        <v>21.441759304011601</v>
      </c>
      <c r="K9">
        <f t="shared" si="6"/>
        <v>107.208796520058</v>
      </c>
      <c r="L9">
        <f t="shared" si="7"/>
        <v>26.441759304011601</v>
      </c>
      <c r="N9">
        <f t="shared" si="8"/>
        <v>82.208796520058002</v>
      </c>
      <c r="O9">
        <f t="shared" si="9"/>
        <v>132.208796520058</v>
      </c>
      <c r="P9">
        <f t="shared" si="10"/>
        <v>50</v>
      </c>
      <c r="R9">
        <f t="shared" si="11"/>
        <v>3.6</v>
      </c>
      <c r="S9">
        <v>3</v>
      </c>
      <c r="T9">
        <f t="shared" si="12"/>
        <v>12</v>
      </c>
      <c r="U9">
        <v>12</v>
      </c>
      <c r="V9">
        <f t="shared" si="13"/>
        <v>36</v>
      </c>
      <c r="W9">
        <f t="shared" si="14"/>
        <v>27.777777777777779</v>
      </c>
      <c r="X9">
        <v>28</v>
      </c>
      <c r="Y9">
        <f t="shared" si="15"/>
        <v>16.8</v>
      </c>
      <c r="Z9">
        <f t="shared" si="16"/>
        <v>2.3582406959883997</v>
      </c>
      <c r="AA9">
        <f t="shared" si="17"/>
        <v>11.791203479941998</v>
      </c>
    </row>
    <row r="10" spans="2:37" x14ac:dyDescent="0.3">
      <c r="B10">
        <v>22</v>
      </c>
      <c r="C10">
        <v>10</v>
      </c>
      <c r="D10">
        <v>6000</v>
      </c>
      <c r="E10">
        <f t="shared" si="0"/>
        <v>1320000</v>
      </c>
      <c r="F10">
        <f t="shared" si="1"/>
        <v>6.3798936684388588E-2</v>
      </c>
      <c r="G10">
        <f t="shared" si="2"/>
        <v>95.315611406476549</v>
      </c>
      <c r="H10">
        <f t="shared" si="3"/>
        <v>15.885935234412758</v>
      </c>
      <c r="I10">
        <f t="shared" si="4"/>
        <v>17.885935234412756</v>
      </c>
      <c r="J10">
        <f t="shared" si="5"/>
        <v>22.885935234412756</v>
      </c>
      <c r="K10">
        <f t="shared" si="6"/>
        <v>137.31561140647653</v>
      </c>
      <c r="L10">
        <f t="shared" si="7"/>
        <v>27.885935234412756</v>
      </c>
      <c r="N10">
        <f t="shared" si="8"/>
        <v>107.31561140647653</v>
      </c>
      <c r="O10">
        <f t="shared" si="9"/>
        <v>167.31561140647653</v>
      </c>
      <c r="P10">
        <f t="shared" si="10"/>
        <v>60</v>
      </c>
      <c r="R10">
        <f t="shared" si="11"/>
        <v>3.2727272727272729</v>
      </c>
      <c r="S10">
        <v>3</v>
      </c>
      <c r="T10">
        <f t="shared" si="12"/>
        <v>12</v>
      </c>
      <c r="U10">
        <v>12</v>
      </c>
      <c r="V10">
        <f t="shared" si="13"/>
        <v>36</v>
      </c>
      <c r="W10">
        <f t="shared" si="14"/>
        <v>27.777777777777779</v>
      </c>
      <c r="X10">
        <v>28</v>
      </c>
      <c r="Y10">
        <f t="shared" si="15"/>
        <v>16.8</v>
      </c>
      <c r="Z10">
        <f t="shared" si="16"/>
        <v>0.91406476558724314</v>
      </c>
      <c r="AA10">
        <f t="shared" si="17"/>
        <v>5.4843885935234589</v>
      </c>
      <c r="AD10" t="s">
        <v>11</v>
      </c>
      <c r="AE10">
        <f>F22</f>
        <v>417</v>
      </c>
      <c r="AF10">
        <f>F21</f>
        <v>500</v>
      </c>
      <c r="AG10">
        <f>F20</f>
        <v>417</v>
      </c>
      <c r="AH10">
        <f>F19</f>
        <v>1429</v>
      </c>
      <c r="AI10">
        <f>F18</f>
        <v>2858</v>
      </c>
      <c r="AJ10">
        <f>F17</f>
        <v>2858</v>
      </c>
      <c r="AK10">
        <f>F16</f>
        <v>2858</v>
      </c>
    </row>
    <row r="11" spans="2:37" x14ac:dyDescent="0.3">
      <c r="B11">
        <v>24</v>
      </c>
      <c r="C11">
        <v>10</v>
      </c>
      <c r="D11">
        <v>5000</v>
      </c>
      <c r="E11">
        <f t="shared" si="0"/>
        <v>1200000</v>
      </c>
      <c r="F11">
        <f t="shared" si="1"/>
        <v>5.7999033349444173E-2</v>
      </c>
      <c r="G11">
        <f t="shared" si="2"/>
        <v>86.650555824069599</v>
      </c>
      <c r="H11">
        <f t="shared" si="3"/>
        <v>17.330111164813918</v>
      </c>
      <c r="I11">
        <f t="shared" si="4"/>
        <v>19.330111164813918</v>
      </c>
      <c r="J11">
        <f t="shared" si="5"/>
        <v>24.330111164813918</v>
      </c>
      <c r="K11">
        <f t="shared" si="6"/>
        <v>121.65055582406958</v>
      </c>
      <c r="L11">
        <f t="shared" si="7"/>
        <v>29.330111164813918</v>
      </c>
      <c r="N11">
        <f t="shared" si="8"/>
        <v>96.650555824069585</v>
      </c>
      <c r="O11">
        <f t="shared" si="9"/>
        <v>146.65055582406958</v>
      </c>
      <c r="P11">
        <f t="shared" si="10"/>
        <v>50</v>
      </c>
      <c r="R11">
        <f t="shared" si="11"/>
        <v>3</v>
      </c>
      <c r="S11">
        <v>3</v>
      </c>
      <c r="T11">
        <f t="shared" si="12"/>
        <v>12</v>
      </c>
      <c r="U11">
        <v>12</v>
      </c>
      <c r="V11">
        <f t="shared" si="13"/>
        <v>36</v>
      </c>
      <c r="W11">
        <f t="shared" si="14"/>
        <v>27.777777777777779</v>
      </c>
      <c r="X11">
        <v>28</v>
      </c>
      <c r="Y11">
        <f t="shared" si="15"/>
        <v>16.8</v>
      </c>
      <c r="Z11">
        <f t="shared" si="16"/>
        <v>-0.53011116481391696</v>
      </c>
      <c r="AA11">
        <f t="shared" si="17"/>
        <v>-2.6505558240695843</v>
      </c>
    </row>
    <row r="12" spans="2:37" x14ac:dyDescent="0.3">
      <c r="AD12" t="s">
        <v>10</v>
      </c>
      <c r="AE12">
        <f t="shared" ref="AE12:AK12" si="19">SUM(AE16:AE22)</f>
        <v>417</v>
      </c>
      <c r="AF12">
        <f t="shared" si="19"/>
        <v>500</v>
      </c>
      <c r="AG12">
        <f t="shared" si="19"/>
        <v>679</v>
      </c>
      <c r="AH12">
        <f t="shared" si="19"/>
        <v>1429</v>
      </c>
      <c r="AI12">
        <f t="shared" si="19"/>
        <v>2859</v>
      </c>
      <c r="AJ12">
        <f t="shared" si="19"/>
        <v>2860</v>
      </c>
      <c r="AK12">
        <f t="shared" si="19"/>
        <v>2858</v>
      </c>
    </row>
    <row r="13" spans="2:37" x14ac:dyDescent="0.3">
      <c r="D13">
        <f>SUM(D5:D12)</f>
        <v>86000</v>
      </c>
      <c r="E13">
        <f>SUM(E5:E12)</f>
        <v>20690000</v>
      </c>
      <c r="F13">
        <f>SUM(F5:F12)</f>
        <v>1</v>
      </c>
      <c r="G13" s="2">
        <f>SUM(G5:G12)</f>
        <v>1494.0000000000002</v>
      </c>
      <c r="H13" s="2"/>
      <c r="I13" s="2">
        <f>AG8*20/72*0.6</f>
        <v>43.666666666666664</v>
      </c>
      <c r="K13" s="2">
        <f>SUM(K5:K12)</f>
        <v>2096</v>
      </c>
      <c r="O13" s="2">
        <f>SUM(O5:O12)</f>
        <v>2526</v>
      </c>
      <c r="P13" s="2">
        <f>SUM(P5:P12)</f>
        <v>860</v>
      </c>
      <c r="Y13" s="2"/>
      <c r="Z13" s="2">
        <f>I13+AA13</f>
        <v>162.4666666666665</v>
      </c>
      <c r="AA13" s="2">
        <f>SUM(AA5:AA12)</f>
        <v>118.79999999999983</v>
      </c>
      <c r="AB13" s="2"/>
      <c r="AC13" s="2"/>
    </row>
    <row r="14" spans="2:37" x14ac:dyDescent="0.3">
      <c r="G14" t="s">
        <v>21</v>
      </c>
      <c r="I14" t="s">
        <v>22</v>
      </c>
      <c r="R14">
        <v>24</v>
      </c>
      <c r="S14">
        <v>22</v>
      </c>
      <c r="T14">
        <v>20</v>
      </c>
      <c r="U14">
        <v>17</v>
      </c>
      <c r="V14">
        <v>15</v>
      </c>
      <c r="W14">
        <v>14</v>
      </c>
      <c r="X14">
        <v>13</v>
      </c>
      <c r="AA14" t="s">
        <v>7</v>
      </c>
      <c r="AE14">
        <v>24</v>
      </c>
      <c r="AF14">
        <v>22</v>
      </c>
      <c r="AG14">
        <v>20</v>
      </c>
      <c r="AH14">
        <v>17</v>
      </c>
      <c r="AI14">
        <v>15</v>
      </c>
      <c r="AJ14">
        <v>14</v>
      </c>
      <c r="AK14">
        <v>13</v>
      </c>
    </row>
    <row r="15" spans="2:37" x14ac:dyDescent="0.3">
      <c r="B15" t="s">
        <v>8</v>
      </c>
      <c r="F15" t="s">
        <v>9</v>
      </c>
    </row>
    <row r="16" spans="2:37" x14ac:dyDescent="0.3">
      <c r="B16">
        <v>13</v>
      </c>
      <c r="C16">
        <f t="shared" ref="C16:C22" si="20">$G$2/C5</f>
        <v>7.0588235294117645</v>
      </c>
      <c r="D16">
        <v>7</v>
      </c>
      <c r="E16">
        <f t="shared" ref="E16:E22" si="21">D5/D16</f>
        <v>2857.1428571428573</v>
      </c>
      <c r="F16">
        <v>2858</v>
      </c>
      <c r="H16">
        <f t="shared" ref="H16:H22" si="22">SUM(I16:M16)</f>
        <v>72</v>
      </c>
      <c r="I16">
        <v>13</v>
      </c>
      <c r="J16">
        <v>13</v>
      </c>
      <c r="K16">
        <v>13</v>
      </c>
      <c r="L16">
        <v>13</v>
      </c>
      <c r="M16">
        <v>20</v>
      </c>
      <c r="T16">
        <v>1</v>
      </c>
      <c r="X16">
        <v>4</v>
      </c>
      <c r="AA16">
        <v>359</v>
      </c>
      <c r="AE16">
        <f t="shared" ref="AE16:AK16" si="23">$AA$16*R16</f>
        <v>0</v>
      </c>
      <c r="AF16">
        <f t="shared" si="23"/>
        <v>0</v>
      </c>
      <c r="AG16">
        <f t="shared" si="23"/>
        <v>359</v>
      </c>
      <c r="AH16">
        <f t="shared" si="23"/>
        <v>0</v>
      </c>
      <c r="AI16">
        <f t="shared" si="23"/>
        <v>0</v>
      </c>
      <c r="AJ16">
        <f t="shared" si="23"/>
        <v>0</v>
      </c>
      <c r="AK16">
        <f t="shared" si="23"/>
        <v>1436</v>
      </c>
    </row>
    <row r="17" spans="1:37" x14ac:dyDescent="0.3">
      <c r="B17">
        <v>14</v>
      </c>
      <c r="C17">
        <f t="shared" si="20"/>
        <v>7.0588235294117645</v>
      </c>
      <c r="D17">
        <v>7</v>
      </c>
      <c r="E17">
        <f t="shared" si="21"/>
        <v>2857.1428571428573</v>
      </c>
      <c r="F17">
        <v>2858</v>
      </c>
      <c r="H17">
        <f t="shared" si="22"/>
        <v>72</v>
      </c>
      <c r="I17">
        <v>14</v>
      </c>
      <c r="J17">
        <v>14</v>
      </c>
      <c r="K17">
        <v>14</v>
      </c>
      <c r="L17">
        <v>13</v>
      </c>
      <c r="M17">
        <v>17</v>
      </c>
      <c r="U17">
        <v>1</v>
      </c>
      <c r="W17">
        <v>3</v>
      </c>
      <c r="X17">
        <v>1</v>
      </c>
      <c r="AA17">
        <v>469</v>
      </c>
      <c r="AE17">
        <f t="shared" ref="AE17:AK17" si="24">$AA$17*R17</f>
        <v>0</v>
      </c>
      <c r="AF17">
        <f t="shared" si="24"/>
        <v>0</v>
      </c>
      <c r="AG17">
        <f t="shared" si="24"/>
        <v>0</v>
      </c>
      <c r="AH17">
        <f t="shared" si="24"/>
        <v>469</v>
      </c>
      <c r="AI17">
        <f t="shared" si="24"/>
        <v>0</v>
      </c>
      <c r="AJ17">
        <f t="shared" si="24"/>
        <v>1407</v>
      </c>
      <c r="AK17">
        <f t="shared" si="24"/>
        <v>469</v>
      </c>
    </row>
    <row r="18" spans="1:37" x14ac:dyDescent="0.3">
      <c r="B18">
        <v>15</v>
      </c>
      <c r="C18">
        <f t="shared" si="20"/>
        <v>7.0588235294117645</v>
      </c>
      <c r="D18">
        <v>7</v>
      </c>
      <c r="E18">
        <f t="shared" si="21"/>
        <v>2857.1428571428573</v>
      </c>
      <c r="F18">
        <v>2858</v>
      </c>
      <c r="H18">
        <f t="shared" si="22"/>
        <v>72</v>
      </c>
      <c r="I18">
        <v>15</v>
      </c>
      <c r="J18">
        <v>15</v>
      </c>
      <c r="K18">
        <v>15</v>
      </c>
      <c r="L18">
        <v>14</v>
      </c>
      <c r="M18">
        <v>13</v>
      </c>
      <c r="V18">
        <v>3</v>
      </c>
      <c r="W18">
        <v>1</v>
      </c>
      <c r="X18">
        <v>1</v>
      </c>
      <c r="AA18">
        <v>953</v>
      </c>
      <c r="AE18">
        <f t="shared" ref="AE18:AK18" si="25">$AA$18*R18</f>
        <v>0</v>
      </c>
      <c r="AF18">
        <f t="shared" si="25"/>
        <v>0</v>
      </c>
      <c r="AG18">
        <f t="shared" si="25"/>
        <v>0</v>
      </c>
      <c r="AH18">
        <f t="shared" si="25"/>
        <v>0</v>
      </c>
      <c r="AI18">
        <f t="shared" si="25"/>
        <v>2859</v>
      </c>
      <c r="AJ18">
        <f t="shared" si="25"/>
        <v>953</v>
      </c>
      <c r="AK18">
        <f t="shared" si="25"/>
        <v>953</v>
      </c>
    </row>
    <row r="19" spans="1:37" x14ac:dyDescent="0.3">
      <c r="B19">
        <v>17</v>
      </c>
      <c r="C19">
        <f t="shared" si="20"/>
        <v>7.0588235294117645</v>
      </c>
      <c r="D19">
        <v>7</v>
      </c>
      <c r="E19">
        <f t="shared" si="21"/>
        <v>1428.5714285714287</v>
      </c>
      <c r="F19">
        <v>1429</v>
      </c>
      <c r="H19">
        <f t="shared" si="22"/>
        <v>71</v>
      </c>
      <c r="I19">
        <v>17</v>
      </c>
      <c r="J19">
        <v>17</v>
      </c>
      <c r="K19">
        <v>17</v>
      </c>
      <c r="L19">
        <v>20</v>
      </c>
      <c r="T19">
        <v>1</v>
      </c>
      <c r="U19">
        <v>3</v>
      </c>
      <c r="AA19">
        <v>320</v>
      </c>
      <c r="AE19">
        <f t="shared" ref="AE19:AK19" si="26">$AA$19*R19</f>
        <v>0</v>
      </c>
      <c r="AF19">
        <f t="shared" si="26"/>
        <v>0</v>
      </c>
      <c r="AG19">
        <f t="shared" si="26"/>
        <v>320</v>
      </c>
      <c r="AH19">
        <f t="shared" si="26"/>
        <v>960</v>
      </c>
      <c r="AI19">
        <f t="shared" si="26"/>
        <v>0</v>
      </c>
      <c r="AJ19">
        <f t="shared" si="26"/>
        <v>0</v>
      </c>
      <c r="AK19">
        <f t="shared" si="26"/>
        <v>0</v>
      </c>
    </row>
    <row r="20" spans="1:37" x14ac:dyDescent="0.3">
      <c r="B20">
        <v>20</v>
      </c>
      <c r="C20">
        <f t="shared" si="20"/>
        <v>12</v>
      </c>
      <c r="D20">
        <v>12</v>
      </c>
      <c r="E20">
        <f t="shared" si="21"/>
        <v>416.66666666666669</v>
      </c>
      <c r="F20">
        <v>417</v>
      </c>
      <c r="H20">
        <f t="shared" si="22"/>
        <v>72</v>
      </c>
      <c r="I20">
        <v>20</v>
      </c>
      <c r="J20">
        <v>20</v>
      </c>
      <c r="K20">
        <v>17</v>
      </c>
      <c r="L20">
        <v>15</v>
      </c>
      <c r="T20">
        <v>2</v>
      </c>
      <c r="U20">
        <v>1</v>
      </c>
      <c r="V20">
        <v>1</v>
      </c>
      <c r="AA20">
        <v>0</v>
      </c>
      <c r="AE20">
        <f t="shared" ref="AE20:AK20" si="27">$AA$20*R20</f>
        <v>0</v>
      </c>
      <c r="AF20">
        <f t="shared" si="27"/>
        <v>0</v>
      </c>
      <c r="AG20">
        <f t="shared" si="27"/>
        <v>0</v>
      </c>
      <c r="AH20">
        <f t="shared" si="27"/>
        <v>0</v>
      </c>
      <c r="AI20">
        <f t="shared" si="27"/>
        <v>0</v>
      </c>
      <c r="AJ20">
        <f t="shared" si="27"/>
        <v>0</v>
      </c>
      <c r="AK20">
        <f t="shared" si="27"/>
        <v>0</v>
      </c>
    </row>
    <row r="21" spans="1:37" x14ac:dyDescent="0.3">
      <c r="B21">
        <v>22</v>
      </c>
      <c r="C21">
        <f t="shared" si="20"/>
        <v>12</v>
      </c>
      <c r="D21">
        <v>12</v>
      </c>
      <c r="E21">
        <f t="shared" si="21"/>
        <v>500</v>
      </c>
      <c r="F21">
        <v>500</v>
      </c>
      <c r="H21">
        <f t="shared" si="22"/>
        <v>72</v>
      </c>
      <c r="I21">
        <v>22</v>
      </c>
      <c r="J21">
        <v>22</v>
      </c>
      <c r="K21">
        <v>14</v>
      </c>
      <c r="L21">
        <v>14</v>
      </c>
      <c r="S21">
        <v>2</v>
      </c>
      <c r="W21">
        <v>2</v>
      </c>
      <c r="AA21">
        <v>250</v>
      </c>
      <c r="AE21">
        <f t="shared" ref="AE21:AK21" si="28">$AA$21*R21</f>
        <v>0</v>
      </c>
      <c r="AF21">
        <f t="shared" si="28"/>
        <v>500</v>
      </c>
      <c r="AG21">
        <f t="shared" si="28"/>
        <v>0</v>
      </c>
      <c r="AH21">
        <f t="shared" si="28"/>
        <v>0</v>
      </c>
      <c r="AI21">
        <f t="shared" si="28"/>
        <v>0</v>
      </c>
      <c r="AJ21">
        <f t="shared" si="28"/>
        <v>500</v>
      </c>
      <c r="AK21">
        <f t="shared" si="28"/>
        <v>0</v>
      </c>
    </row>
    <row r="22" spans="1:37" x14ac:dyDescent="0.3">
      <c r="B22">
        <v>24</v>
      </c>
      <c r="C22">
        <f t="shared" si="20"/>
        <v>12</v>
      </c>
      <c r="D22">
        <v>12</v>
      </c>
      <c r="E22">
        <f t="shared" si="21"/>
        <v>416.66666666666669</v>
      </c>
      <c r="F22">
        <v>417</v>
      </c>
      <c r="H22">
        <f t="shared" si="22"/>
        <v>72</v>
      </c>
      <c r="I22">
        <v>24</v>
      </c>
      <c r="J22">
        <v>24</v>
      </c>
      <c r="K22">
        <v>24</v>
      </c>
      <c r="R22">
        <v>3</v>
      </c>
      <c r="AA22">
        <v>139</v>
      </c>
      <c r="AE22">
        <f t="shared" ref="AE22:AK22" si="29">$AA$22*R22</f>
        <v>417</v>
      </c>
      <c r="AF22">
        <f t="shared" si="29"/>
        <v>0</v>
      </c>
      <c r="AG22">
        <f t="shared" si="29"/>
        <v>0</v>
      </c>
      <c r="AH22">
        <f t="shared" si="29"/>
        <v>0</v>
      </c>
      <c r="AI22">
        <f t="shared" si="29"/>
        <v>0</v>
      </c>
      <c r="AJ22">
        <f t="shared" si="29"/>
        <v>0</v>
      </c>
      <c r="AK22">
        <f t="shared" si="29"/>
        <v>0</v>
      </c>
    </row>
    <row r="24" spans="1:37" x14ac:dyDescent="0.3">
      <c r="AA24">
        <f>SUM(AA16:AA23)</f>
        <v>2490</v>
      </c>
    </row>
    <row r="25" spans="1:37" x14ac:dyDescent="0.3">
      <c r="Y25" t="s">
        <v>15</v>
      </c>
      <c r="AA25">
        <f>AA24*H2</f>
        <v>1494</v>
      </c>
    </row>
    <row r="26" spans="1:37" x14ac:dyDescent="0.3">
      <c r="A26">
        <v>20000</v>
      </c>
      <c r="B26">
        <v>13</v>
      </c>
      <c r="C26">
        <v>17</v>
      </c>
      <c r="D26">
        <v>27.958144030932814</v>
      </c>
      <c r="E26">
        <v>25.5</v>
      </c>
      <c r="F26">
        <f t="shared" ref="F26:F32" si="30">E26-0.1</f>
        <v>25.4</v>
      </c>
    </row>
    <row r="27" spans="1:37" x14ac:dyDescent="0.3">
      <c r="A27">
        <v>20000</v>
      </c>
      <c r="B27">
        <v>14</v>
      </c>
      <c r="C27">
        <v>17</v>
      </c>
      <c r="D27">
        <v>29.185693571773804</v>
      </c>
      <c r="E27">
        <v>28.5</v>
      </c>
      <c r="F27">
        <f t="shared" si="30"/>
        <v>28.4</v>
      </c>
    </row>
    <row r="28" spans="1:37" x14ac:dyDescent="0.3">
      <c r="A28">
        <v>20000</v>
      </c>
      <c r="B28">
        <v>15</v>
      </c>
      <c r="C28">
        <v>17</v>
      </c>
      <c r="D28">
        <v>30.413243112614794</v>
      </c>
      <c r="E28">
        <v>30.25</v>
      </c>
      <c r="F28">
        <f t="shared" si="30"/>
        <v>30.15</v>
      </c>
    </row>
    <row r="29" spans="1:37" x14ac:dyDescent="0.3">
      <c r="A29">
        <v>10000</v>
      </c>
      <c r="B29">
        <v>17</v>
      </c>
      <c r="C29">
        <v>17</v>
      </c>
      <c r="D29">
        <v>32.868342194296766</v>
      </c>
      <c r="E29">
        <v>34.25</v>
      </c>
      <c r="F29">
        <f t="shared" si="30"/>
        <v>34.15</v>
      </c>
    </row>
    <row r="30" spans="1:37" x14ac:dyDescent="0.3">
      <c r="A30">
        <v>5000</v>
      </c>
      <c r="B30">
        <v>20</v>
      </c>
      <c r="C30">
        <v>10</v>
      </c>
      <c r="D30">
        <v>26.441759304011601</v>
      </c>
      <c r="E30">
        <v>24.8</v>
      </c>
      <c r="F30">
        <f t="shared" si="30"/>
        <v>24.7</v>
      </c>
    </row>
    <row r="31" spans="1:37" x14ac:dyDescent="0.3">
      <c r="A31">
        <v>6000</v>
      </c>
      <c r="B31">
        <v>22</v>
      </c>
      <c r="C31">
        <v>10</v>
      </c>
      <c r="D31">
        <v>27.885935234412756</v>
      </c>
      <c r="E31">
        <v>24.45</v>
      </c>
      <c r="F31">
        <f t="shared" si="30"/>
        <v>24.349999999999998</v>
      </c>
    </row>
    <row r="32" spans="1:37" x14ac:dyDescent="0.3">
      <c r="A32">
        <v>5000</v>
      </c>
      <c r="B32">
        <v>24</v>
      </c>
      <c r="C32">
        <v>10</v>
      </c>
      <c r="D32">
        <v>29.330111164813918</v>
      </c>
      <c r="E32">
        <v>30.5</v>
      </c>
      <c r="F32">
        <f t="shared" si="30"/>
        <v>30.4</v>
      </c>
    </row>
    <row r="33" spans="1:10" x14ac:dyDescent="0.3">
      <c r="A33">
        <f>SUM(A26:A32)</f>
        <v>86000</v>
      </c>
    </row>
    <row r="35" spans="1:10" x14ac:dyDescent="0.3">
      <c r="B35">
        <v>13</v>
      </c>
      <c r="C35">
        <v>17</v>
      </c>
      <c r="D35">
        <v>20000</v>
      </c>
      <c r="E35">
        <v>25.4</v>
      </c>
      <c r="F35">
        <f t="shared" ref="F35:F41" si="31">E35*D35/1000</f>
        <v>508</v>
      </c>
    </row>
    <row r="36" spans="1:10" x14ac:dyDescent="0.3">
      <c r="B36">
        <v>14</v>
      </c>
      <c r="C36">
        <v>17</v>
      </c>
      <c r="D36">
        <v>20000</v>
      </c>
      <c r="E36">
        <v>28.4</v>
      </c>
      <c r="F36">
        <f t="shared" si="31"/>
        <v>568</v>
      </c>
    </row>
    <row r="37" spans="1:10" x14ac:dyDescent="0.3">
      <c r="B37">
        <v>15</v>
      </c>
      <c r="C37">
        <v>17</v>
      </c>
      <c r="D37">
        <v>20000</v>
      </c>
      <c r="E37">
        <v>30.15</v>
      </c>
      <c r="F37">
        <f t="shared" si="31"/>
        <v>603</v>
      </c>
    </row>
    <row r="38" spans="1:10" x14ac:dyDescent="0.3">
      <c r="B38">
        <v>17</v>
      </c>
      <c r="C38">
        <v>17</v>
      </c>
      <c r="D38">
        <v>10000</v>
      </c>
      <c r="E38">
        <v>34.15</v>
      </c>
      <c r="F38">
        <f t="shared" si="31"/>
        <v>341.5</v>
      </c>
    </row>
    <row r="39" spans="1:10" x14ac:dyDescent="0.3">
      <c r="B39">
        <v>20</v>
      </c>
      <c r="C39">
        <v>10</v>
      </c>
      <c r="D39">
        <v>5000</v>
      </c>
      <c r="E39">
        <v>24.7</v>
      </c>
      <c r="F39">
        <f t="shared" si="31"/>
        <v>123.5</v>
      </c>
    </row>
    <row r="40" spans="1:10" x14ac:dyDescent="0.3">
      <c r="B40">
        <v>22</v>
      </c>
      <c r="C40">
        <v>10</v>
      </c>
      <c r="D40">
        <v>6000</v>
      </c>
      <c r="E40">
        <v>24.349999999999998</v>
      </c>
      <c r="F40">
        <f t="shared" si="31"/>
        <v>146.1</v>
      </c>
    </row>
    <row r="41" spans="1:10" x14ac:dyDescent="0.3">
      <c r="B41">
        <v>24</v>
      </c>
      <c r="C41">
        <v>10</v>
      </c>
      <c r="D41">
        <v>5000</v>
      </c>
      <c r="E41">
        <v>30.4</v>
      </c>
      <c r="F41">
        <f t="shared" si="31"/>
        <v>152</v>
      </c>
    </row>
    <row r="43" spans="1:10" x14ac:dyDescent="0.3">
      <c r="F43">
        <f>SUM(F35:F42)</f>
        <v>2442.1</v>
      </c>
      <c r="G43">
        <f>G13</f>
        <v>1494.0000000000002</v>
      </c>
      <c r="H43">
        <f>A33*2/1000</f>
        <v>172</v>
      </c>
      <c r="I43">
        <f>F43-G43-H43</f>
        <v>776.09999999999968</v>
      </c>
      <c r="J43">
        <f>I43/2</f>
        <v>388.04999999999984</v>
      </c>
    </row>
    <row r="44" spans="1:10" x14ac:dyDescent="0.3">
      <c r="F44" t="s">
        <v>80</v>
      </c>
      <c r="H44" t="s">
        <v>81</v>
      </c>
      <c r="J44" s="14">
        <v>0.5</v>
      </c>
    </row>
    <row r="45" spans="1:10" x14ac:dyDescent="0.3">
      <c r="G45" t="s">
        <v>21</v>
      </c>
      <c r="I45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58"/>
  <sheetViews>
    <sheetView topLeftCell="A35" workbookViewId="0">
      <selection activeCell="J47" sqref="J47"/>
    </sheetView>
  </sheetViews>
  <sheetFormatPr defaultRowHeight="14.4" x14ac:dyDescent="0.3"/>
  <cols>
    <col min="6" max="20" width="6.6640625" customWidth="1"/>
    <col min="21" max="21" width="14.6640625" bestFit="1" customWidth="1"/>
  </cols>
  <sheetData>
    <row r="2" spans="1:20" x14ac:dyDescent="0.3">
      <c r="C2" t="s">
        <v>7</v>
      </c>
    </row>
    <row r="3" spans="1:20" x14ac:dyDescent="0.3">
      <c r="B3" t="s">
        <v>1</v>
      </c>
      <c r="C3" t="s">
        <v>2</v>
      </c>
    </row>
    <row r="7" spans="1:20" x14ac:dyDescent="0.3">
      <c r="G7" s="5"/>
      <c r="H7" s="5"/>
      <c r="L7" s="7" t="s">
        <v>63</v>
      </c>
    </row>
    <row r="9" spans="1:20" ht="15" thickBot="1" x14ac:dyDescent="0.35">
      <c r="B9" s="202" t="s">
        <v>60</v>
      </c>
      <c r="C9" s="202"/>
      <c r="D9" s="202"/>
      <c r="F9" s="200">
        <v>13</v>
      </c>
      <c r="G9" s="200"/>
      <c r="H9" s="2"/>
      <c r="J9" s="200">
        <v>14</v>
      </c>
      <c r="K9" s="200"/>
      <c r="L9" s="2"/>
      <c r="N9" s="200">
        <v>16</v>
      </c>
      <c r="O9" s="200"/>
      <c r="P9" s="2"/>
      <c r="R9" s="200">
        <v>18</v>
      </c>
      <c r="S9" s="200"/>
      <c r="T9" s="2"/>
    </row>
    <row r="10" spans="1:20" ht="15.6" thickTop="1" thickBot="1" x14ac:dyDescent="0.35">
      <c r="B10" t="s">
        <v>1</v>
      </c>
      <c r="C10" t="s">
        <v>2</v>
      </c>
      <c r="D10" t="s">
        <v>3</v>
      </c>
      <c r="F10" s="6"/>
      <c r="G10" s="6"/>
      <c r="H10" s="201">
        <v>16</v>
      </c>
      <c r="J10" s="6"/>
      <c r="K10" s="6"/>
      <c r="L10" s="201">
        <v>16</v>
      </c>
      <c r="N10" s="6"/>
      <c r="O10" s="6"/>
      <c r="P10" s="201">
        <v>16</v>
      </c>
      <c r="R10" s="6"/>
      <c r="S10" s="6"/>
      <c r="T10" s="201">
        <v>16</v>
      </c>
    </row>
    <row r="11" spans="1:20" ht="15.6" thickTop="1" thickBot="1" x14ac:dyDescent="0.35">
      <c r="A11" s="199" t="s">
        <v>61</v>
      </c>
      <c r="B11">
        <v>13</v>
      </c>
      <c r="C11">
        <v>16</v>
      </c>
      <c r="D11">
        <v>3600</v>
      </c>
      <c r="F11" s="6"/>
      <c r="G11" s="6"/>
      <c r="H11" s="201"/>
      <c r="J11" s="6"/>
      <c r="K11" s="6"/>
      <c r="L11" s="201"/>
      <c r="N11" s="6"/>
      <c r="O11" s="6"/>
      <c r="P11" s="201"/>
      <c r="R11" s="6"/>
      <c r="S11" s="6"/>
      <c r="T11" s="201"/>
    </row>
    <row r="12" spans="1:20" ht="15.6" thickTop="1" thickBot="1" x14ac:dyDescent="0.35">
      <c r="A12" s="199"/>
      <c r="B12">
        <v>14</v>
      </c>
      <c r="C12">
        <v>16</v>
      </c>
      <c r="D12">
        <v>12000</v>
      </c>
      <c r="F12" s="6"/>
      <c r="G12" s="6"/>
      <c r="H12" s="201"/>
      <c r="J12" s="6"/>
      <c r="K12" s="6"/>
      <c r="L12" s="201"/>
      <c r="N12" s="6"/>
      <c r="O12" s="6"/>
      <c r="P12" s="201"/>
      <c r="R12" s="6"/>
      <c r="S12" s="6"/>
      <c r="T12" s="201"/>
    </row>
    <row r="13" spans="1:20" ht="15.6" thickTop="1" thickBot="1" x14ac:dyDescent="0.35">
      <c r="A13" s="199"/>
      <c r="B13">
        <v>16</v>
      </c>
      <c r="C13">
        <v>16</v>
      </c>
      <c r="D13">
        <v>6000</v>
      </c>
      <c r="F13" s="6"/>
      <c r="G13" s="6"/>
      <c r="H13" s="201"/>
      <c r="J13" s="6"/>
      <c r="K13" s="6"/>
      <c r="L13" s="201"/>
      <c r="N13" s="6"/>
      <c r="O13" s="6"/>
      <c r="P13" s="201"/>
      <c r="R13" s="6"/>
      <c r="S13" s="6"/>
      <c r="T13" s="201"/>
    </row>
    <row r="14" spans="1:20" ht="15.6" thickTop="1" thickBot="1" x14ac:dyDescent="0.35">
      <c r="A14" s="199"/>
      <c r="B14">
        <v>18</v>
      </c>
      <c r="C14">
        <v>16</v>
      </c>
      <c r="D14">
        <v>2400</v>
      </c>
      <c r="F14" s="6"/>
      <c r="G14" s="6"/>
      <c r="H14" s="201"/>
      <c r="J14" s="6"/>
      <c r="K14" s="6"/>
      <c r="L14" s="201"/>
      <c r="N14" s="6"/>
      <c r="O14" s="6"/>
      <c r="P14" s="201"/>
      <c r="R14" s="6"/>
      <c r="S14" s="6"/>
      <c r="T14" s="201"/>
    </row>
    <row r="15" spans="1:20" ht="15" thickTop="1" x14ac:dyDescent="0.3">
      <c r="A15" s="9"/>
      <c r="F15" s="2"/>
      <c r="G15" s="2"/>
      <c r="H15" s="8"/>
      <c r="J15" s="2"/>
      <c r="K15" s="2"/>
      <c r="L15" s="8"/>
      <c r="N15" s="2"/>
      <c r="O15" s="2"/>
      <c r="P15" s="8"/>
      <c r="R15" s="2"/>
      <c r="S15" s="2"/>
      <c r="T15" s="8"/>
    </row>
    <row r="16" spans="1:20" x14ac:dyDescent="0.3">
      <c r="A16" s="9"/>
      <c r="F16" s="2"/>
      <c r="G16" s="2"/>
      <c r="H16" s="8"/>
      <c r="J16" s="2"/>
      <c r="K16" s="2"/>
      <c r="L16" s="7" t="s">
        <v>63</v>
      </c>
      <c r="N16" s="2"/>
      <c r="O16" s="2"/>
      <c r="P16" s="8"/>
      <c r="R16" s="2"/>
      <c r="S16" s="2"/>
      <c r="T16" s="8"/>
    </row>
    <row r="17" spans="1:26" ht="15" thickBot="1" x14ac:dyDescent="0.35">
      <c r="F17" s="200">
        <v>14</v>
      </c>
      <c r="G17" s="200"/>
      <c r="H17" s="2"/>
      <c r="J17" s="200">
        <v>16</v>
      </c>
      <c r="K17" s="200"/>
      <c r="L17" s="2"/>
      <c r="N17" s="200">
        <v>18</v>
      </c>
      <c r="O17" s="200"/>
      <c r="P17" s="2"/>
      <c r="R17" s="200">
        <v>20</v>
      </c>
      <c r="S17" s="200"/>
      <c r="T17" s="2"/>
    </row>
    <row r="18" spans="1:26" ht="15.6" thickTop="1" thickBot="1" x14ac:dyDescent="0.35">
      <c r="A18" s="199" t="s">
        <v>62</v>
      </c>
      <c r="B18">
        <v>14</v>
      </c>
      <c r="C18">
        <v>16</v>
      </c>
      <c r="D18">
        <v>20000</v>
      </c>
      <c r="F18" s="6"/>
      <c r="G18" s="6"/>
      <c r="H18" s="201">
        <v>16</v>
      </c>
      <c r="J18" s="6"/>
      <c r="K18" s="6"/>
      <c r="L18" s="201">
        <v>16</v>
      </c>
      <c r="N18" s="6"/>
      <c r="O18" s="6"/>
      <c r="P18" s="201">
        <v>16</v>
      </c>
      <c r="R18" s="6"/>
      <c r="S18" s="6"/>
      <c r="T18" s="201">
        <v>18</v>
      </c>
    </row>
    <row r="19" spans="1:26" ht="15.6" thickTop="1" thickBot="1" x14ac:dyDescent="0.35">
      <c r="A19" s="199"/>
      <c r="B19">
        <v>16</v>
      </c>
      <c r="C19">
        <v>16</v>
      </c>
      <c r="D19">
        <v>45600</v>
      </c>
      <c r="F19" s="6"/>
      <c r="G19" s="6"/>
      <c r="H19" s="201"/>
      <c r="J19" s="6"/>
      <c r="K19" s="6"/>
      <c r="L19" s="201"/>
      <c r="N19" s="6"/>
      <c r="O19" s="6"/>
      <c r="P19" s="201"/>
      <c r="R19" s="6"/>
      <c r="S19" s="6"/>
      <c r="T19" s="201"/>
    </row>
    <row r="20" spans="1:26" ht="15.6" thickTop="1" thickBot="1" x14ac:dyDescent="0.35">
      <c r="A20" s="199"/>
      <c r="B20">
        <v>18</v>
      </c>
      <c r="C20">
        <v>16</v>
      </c>
      <c r="D20">
        <v>14400</v>
      </c>
      <c r="F20" s="6"/>
      <c r="G20" s="6"/>
      <c r="H20" s="201"/>
      <c r="J20" s="6"/>
      <c r="K20" s="6"/>
      <c r="L20" s="201"/>
      <c r="N20" s="6"/>
      <c r="O20" s="6"/>
      <c r="P20" s="201"/>
      <c r="R20" s="6"/>
      <c r="S20" s="6"/>
      <c r="T20" s="201"/>
    </row>
    <row r="21" spans="1:26" ht="15.6" thickTop="1" thickBot="1" x14ac:dyDescent="0.35">
      <c r="A21" s="199"/>
      <c r="B21">
        <v>20</v>
      </c>
      <c r="C21">
        <v>18</v>
      </c>
      <c r="D21">
        <v>5600</v>
      </c>
      <c r="F21" s="6"/>
      <c r="G21" s="6"/>
      <c r="H21" s="201"/>
      <c r="J21" s="6"/>
      <c r="K21" s="6"/>
      <c r="L21" s="201"/>
      <c r="N21" s="6"/>
      <c r="O21" s="6"/>
      <c r="P21" s="201"/>
      <c r="R21" s="6"/>
      <c r="S21" s="6"/>
      <c r="T21" s="201"/>
    </row>
    <row r="22" spans="1:26" ht="15.6" thickTop="1" thickBot="1" x14ac:dyDescent="0.35">
      <c r="F22" s="6"/>
      <c r="G22" s="6"/>
      <c r="H22" s="201"/>
      <c r="J22" s="6"/>
      <c r="K22" s="6"/>
      <c r="L22" s="201"/>
      <c r="N22" s="6"/>
      <c r="O22" s="6"/>
      <c r="P22" s="201"/>
      <c r="R22" s="6"/>
      <c r="S22" s="6"/>
      <c r="T22" s="201"/>
    </row>
    <row r="23" spans="1:26" ht="15" thickTop="1" x14ac:dyDescent="0.3">
      <c r="A23" t="s">
        <v>82</v>
      </c>
    </row>
    <row r="25" spans="1:26" x14ac:dyDescent="0.3">
      <c r="B25" s="202" t="s">
        <v>60</v>
      </c>
      <c r="C25" s="202"/>
      <c r="D25" s="202"/>
      <c r="F25" t="s">
        <v>83</v>
      </c>
    </row>
    <row r="26" spans="1:26" x14ac:dyDescent="0.3">
      <c r="B26" t="s">
        <v>1</v>
      </c>
      <c r="C26" t="s">
        <v>2</v>
      </c>
      <c r="D26" t="s">
        <v>3</v>
      </c>
      <c r="M26">
        <v>13</v>
      </c>
      <c r="N26">
        <v>14</v>
      </c>
      <c r="O26">
        <v>16</v>
      </c>
      <c r="P26">
        <v>18</v>
      </c>
      <c r="Q26">
        <v>20</v>
      </c>
      <c r="S26" t="s">
        <v>7</v>
      </c>
    </row>
    <row r="27" spans="1:26" x14ac:dyDescent="0.3">
      <c r="B27">
        <v>13</v>
      </c>
      <c r="C27">
        <v>16</v>
      </c>
      <c r="D27">
        <f>D11</f>
        <v>3600</v>
      </c>
      <c r="F27">
        <f>SUM(G27:L27)</f>
        <v>72</v>
      </c>
      <c r="G27">
        <v>13</v>
      </c>
      <c r="H27">
        <v>13</v>
      </c>
      <c r="I27">
        <v>14</v>
      </c>
      <c r="J27">
        <v>16</v>
      </c>
      <c r="K27">
        <v>16</v>
      </c>
      <c r="M27">
        <v>2</v>
      </c>
      <c r="N27">
        <v>1</v>
      </c>
      <c r="O27">
        <v>2</v>
      </c>
      <c r="S27">
        <v>225</v>
      </c>
      <c r="U27" t="s">
        <v>88</v>
      </c>
      <c r="V27">
        <f>$S$27*M27</f>
        <v>450</v>
      </c>
      <c r="W27">
        <f>$S$27*N27</f>
        <v>225</v>
      </c>
      <c r="X27">
        <f>$S$27*O27</f>
        <v>450</v>
      </c>
      <c r="Y27">
        <f>$S$27*P27</f>
        <v>0</v>
      </c>
      <c r="Z27">
        <f>$S$27*Q27</f>
        <v>0</v>
      </c>
    </row>
    <row r="28" spans="1:26" x14ac:dyDescent="0.3">
      <c r="B28">
        <v>14</v>
      </c>
      <c r="C28">
        <v>16</v>
      </c>
      <c r="D28">
        <f>D12+D18</f>
        <v>32000</v>
      </c>
      <c r="F28">
        <f>SUM(G28:L28)</f>
        <v>72</v>
      </c>
      <c r="G28">
        <v>14</v>
      </c>
      <c r="H28">
        <v>14</v>
      </c>
      <c r="I28">
        <v>14</v>
      </c>
      <c r="J28">
        <v>14</v>
      </c>
      <c r="K28">
        <v>16</v>
      </c>
      <c r="N28">
        <v>4</v>
      </c>
      <c r="O28">
        <v>1</v>
      </c>
      <c r="S28">
        <v>375</v>
      </c>
      <c r="U28" t="s">
        <v>88</v>
      </c>
      <c r="V28">
        <f>$S$28*M28</f>
        <v>0</v>
      </c>
      <c r="W28">
        <f>$S$28*N28</f>
        <v>1500</v>
      </c>
      <c r="X28">
        <f>$S$28*O28</f>
        <v>375</v>
      </c>
      <c r="Y28">
        <f>$S$28*P28</f>
        <v>0</v>
      </c>
      <c r="Z28">
        <f>$S$28*Q28</f>
        <v>0</v>
      </c>
    </row>
    <row r="29" spans="1:26" x14ac:dyDescent="0.3">
      <c r="B29">
        <v>16</v>
      </c>
      <c r="C29">
        <v>16</v>
      </c>
      <c r="D29">
        <f>D13+D19</f>
        <v>51600</v>
      </c>
      <c r="F29">
        <f>SUM(G29:L29)</f>
        <v>62</v>
      </c>
      <c r="G29">
        <v>16</v>
      </c>
      <c r="H29">
        <v>16</v>
      </c>
      <c r="I29">
        <v>16</v>
      </c>
      <c r="J29">
        <v>14</v>
      </c>
      <c r="N29">
        <v>1</v>
      </c>
      <c r="O29">
        <v>3</v>
      </c>
      <c r="S29">
        <v>1875</v>
      </c>
      <c r="U29" t="s">
        <v>89</v>
      </c>
      <c r="V29">
        <f>$S$29*M29</f>
        <v>0</v>
      </c>
      <c r="W29">
        <f>$S$29*N29</f>
        <v>1875</v>
      </c>
      <c r="X29">
        <f>$S$29*O29</f>
        <v>5625</v>
      </c>
      <c r="Y29">
        <f>$S$29*P29</f>
        <v>0</v>
      </c>
      <c r="Z29">
        <f>$S$29*Q29</f>
        <v>0</v>
      </c>
    </row>
    <row r="30" spans="1:26" x14ac:dyDescent="0.3">
      <c r="B30">
        <v>18</v>
      </c>
      <c r="C30">
        <v>16</v>
      </c>
      <c r="D30">
        <f>D14+D20</f>
        <v>16800</v>
      </c>
      <c r="F30">
        <f>SUM(G30:L30)</f>
        <v>72</v>
      </c>
      <c r="G30">
        <v>18</v>
      </c>
      <c r="H30">
        <v>18</v>
      </c>
      <c r="I30">
        <v>18</v>
      </c>
      <c r="J30">
        <v>18</v>
      </c>
      <c r="P30">
        <v>4</v>
      </c>
      <c r="S30">
        <v>425</v>
      </c>
      <c r="U30" t="s">
        <v>88</v>
      </c>
      <c r="V30">
        <f>$S$30*M30</f>
        <v>0</v>
      </c>
      <c r="W30">
        <f>$S$30*N30</f>
        <v>0</v>
      </c>
      <c r="X30">
        <f>$S$30*O30</f>
        <v>0</v>
      </c>
      <c r="Y30">
        <f>$S$30*P30</f>
        <v>1700</v>
      </c>
      <c r="Z30">
        <f>$S$30*Q30</f>
        <v>0</v>
      </c>
    </row>
    <row r="31" spans="1:26" x14ac:dyDescent="0.3">
      <c r="B31">
        <v>20</v>
      </c>
      <c r="C31">
        <v>18</v>
      </c>
      <c r="D31">
        <f>D21</f>
        <v>5600</v>
      </c>
      <c r="F31">
        <f>SUM(G31:L31)</f>
        <v>72</v>
      </c>
      <c r="G31">
        <v>20</v>
      </c>
      <c r="H31">
        <v>20</v>
      </c>
      <c r="I31">
        <v>14</v>
      </c>
      <c r="J31">
        <v>18</v>
      </c>
      <c r="N31">
        <v>1</v>
      </c>
      <c r="P31">
        <v>1</v>
      </c>
      <c r="Q31">
        <v>2</v>
      </c>
      <c r="S31">
        <v>400</v>
      </c>
      <c r="U31" t="s">
        <v>88</v>
      </c>
      <c r="V31">
        <f>$S$31*M31</f>
        <v>0</v>
      </c>
      <c r="W31">
        <f>$S$31*N31</f>
        <v>400</v>
      </c>
      <c r="X31">
        <f>$S$31*O31</f>
        <v>0</v>
      </c>
      <c r="Y31">
        <f>$S$31*P31</f>
        <v>400</v>
      </c>
      <c r="Z31">
        <f>$S$31*Q31</f>
        <v>800</v>
      </c>
    </row>
    <row r="32" spans="1:26" x14ac:dyDescent="0.3">
      <c r="D32" t="s">
        <v>85</v>
      </c>
      <c r="F32">
        <v>20</v>
      </c>
      <c r="G32">
        <v>120</v>
      </c>
      <c r="H32">
        <v>262</v>
      </c>
      <c r="I32">
        <v>6</v>
      </c>
      <c r="J32">
        <f>H32*I32</f>
        <v>1572</v>
      </c>
      <c r="K32" t="s">
        <v>0</v>
      </c>
    </row>
    <row r="33" spans="2:26" x14ac:dyDescent="0.3">
      <c r="V33">
        <v>13</v>
      </c>
      <c r="W33">
        <v>14</v>
      </c>
      <c r="X33">
        <v>16</v>
      </c>
      <c r="Y33">
        <v>18</v>
      </c>
      <c r="Z33">
        <v>20</v>
      </c>
    </row>
    <row r="34" spans="2:26" x14ac:dyDescent="0.3">
      <c r="B34" t="s">
        <v>84</v>
      </c>
      <c r="H34" t="s">
        <v>87</v>
      </c>
      <c r="K34" t="s">
        <v>70</v>
      </c>
      <c r="U34" t="s">
        <v>11</v>
      </c>
      <c r="V34">
        <f>D27/F38</f>
        <v>450</v>
      </c>
      <c r="W34">
        <f>D28/F39</f>
        <v>4000</v>
      </c>
      <c r="X34">
        <f>D29/F38</f>
        <v>6450</v>
      </c>
      <c r="Y34">
        <f>D30/F38</f>
        <v>2100</v>
      </c>
      <c r="Z34">
        <f>D31/H37</f>
        <v>800</v>
      </c>
    </row>
    <row r="35" spans="2:26" x14ac:dyDescent="0.3">
      <c r="B35" t="s">
        <v>1</v>
      </c>
      <c r="C35" t="s">
        <v>2</v>
      </c>
      <c r="D35" t="s">
        <v>15</v>
      </c>
      <c r="F35" t="s">
        <v>86</v>
      </c>
      <c r="J35" t="s">
        <v>90</v>
      </c>
      <c r="V35">
        <f>SUM(V27:V31)</f>
        <v>450</v>
      </c>
      <c r="W35">
        <f>SUM(W27:W31)</f>
        <v>4000</v>
      </c>
      <c r="X35">
        <f>SUM(X27:X31)</f>
        <v>6450</v>
      </c>
      <c r="Y35">
        <f>SUM(Y27:Y31)</f>
        <v>2100</v>
      </c>
      <c r="Z35">
        <f>SUM(Z27:Z31)</f>
        <v>800</v>
      </c>
    </row>
    <row r="36" spans="2:26" x14ac:dyDescent="0.3">
      <c r="B36">
        <v>72</v>
      </c>
      <c r="C36">
        <v>126</v>
      </c>
      <c r="D36">
        <v>0.63</v>
      </c>
      <c r="F36">
        <f>C36/16</f>
        <v>7.875</v>
      </c>
      <c r="H36">
        <f>C36/18</f>
        <v>7</v>
      </c>
    </row>
    <row r="37" spans="2:26" x14ac:dyDescent="0.3">
      <c r="B37">
        <v>62</v>
      </c>
      <c r="C37">
        <v>126</v>
      </c>
      <c r="D37">
        <v>0.56999999999999995</v>
      </c>
      <c r="F37">
        <f>C37/16</f>
        <v>7.875</v>
      </c>
      <c r="H37">
        <f>C37/18</f>
        <v>7</v>
      </c>
    </row>
    <row r="38" spans="2:26" x14ac:dyDescent="0.3">
      <c r="B38">
        <v>72</v>
      </c>
      <c r="C38">
        <v>128</v>
      </c>
      <c r="D38">
        <v>0.64</v>
      </c>
      <c r="F38">
        <f>C38/16</f>
        <v>8</v>
      </c>
      <c r="H38">
        <f>C38/18</f>
        <v>7.1111111111111107</v>
      </c>
      <c r="J38">
        <f>S27+S28+S30+S31</f>
        <v>1425</v>
      </c>
      <c r="K38">
        <f>J38*D38</f>
        <v>912</v>
      </c>
    </row>
    <row r="39" spans="2:26" x14ac:dyDescent="0.3">
      <c r="B39">
        <v>62</v>
      </c>
      <c r="C39">
        <v>128</v>
      </c>
      <c r="D39">
        <v>0.57999999999999996</v>
      </c>
      <c r="F39">
        <f>C39/16</f>
        <v>8</v>
      </c>
      <c r="H39">
        <f>C39/18</f>
        <v>7.1111111111111107</v>
      </c>
      <c r="J39">
        <f>S29</f>
        <v>1875</v>
      </c>
      <c r="K39">
        <f>J39*D39</f>
        <v>1087.5</v>
      </c>
    </row>
    <row r="41" spans="2:26" x14ac:dyDescent="0.3">
      <c r="K41">
        <f>SUM(K38:K40)</f>
        <v>1999.5</v>
      </c>
    </row>
    <row r="43" spans="2:26" x14ac:dyDescent="0.3">
      <c r="B43" t="s">
        <v>60</v>
      </c>
      <c r="H43" t="s">
        <v>21</v>
      </c>
      <c r="J43" t="s">
        <v>127</v>
      </c>
      <c r="L43" s="2" t="s">
        <v>129</v>
      </c>
    </row>
    <row r="44" spans="2:26" x14ac:dyDescent="0.3">
      <c r="B44" t="s">
        <v>1</v>
      </c>
      <c r="C44" t="s">
        <v>2</v>
      </c>
      <c r="D44" t="s">
        <v>3</v>
      </c>
      <c r="E44" t="s">
        <v>16</v>
      </c>
      <c r="F44" t="s">
        <v>17</v>
      </c>
      <c r="G44" t="s">
        <v>70</v>
      </c>
      <c r="I44" t="s">
        <v>126</v>
      </c>
      <c r="K44" s="2" t="s">
        <v>128</v>
      </c>
    </row>
    <row r="45" spans="2:26" x14ac:dyDescent="0.3">
      <c r="B45">
        <v>13</v>
      </c>
      <c r="C45">
        <v>16</v>
      </c>
      <c r="D45">
        <v>3600</v>
      </c>
      <c r="E45">
        <f>B45*C45*D45</f>
        <v>748800</v>
      </c>
      <c r="F45">
        <f>E45/$E$50</f>
        <v>2.6761207685269899E-2</v>
      </c>
      <c r="G45">
        <f>$K$41*F45</f>
        <v>53.509034766697162</v>
      </c>
      <c r="H45">
        <f>G45/D45*1000</f>
        <v>14.863620768526989</v>
      </c>
      <c r="I45">
        <f>H45+3</f>
        <v>17.863620768526989</v>
      </c>
      <c r="J45">
        <f>I45+8</f>
        <v>25.863620768526989</v>
      </c>
      <c r="K45" s="2">
        <v>21.33</v>
      </c>
      <c r="L45" s="2">
        <v>23.7</v>
      </c>
    </row>
    <row r="46" spans="2:26" x14ac:dyDescent="0.3">
      <c r="B46">
        <v>14</v>
      </c>
      <c r="C46">
        <v>16</v>
      </c>
      <c r="D46">
        <v>32000</v>
      </c>
      <c r="E46">
        <f>B46*C46*D46</f>
        <v>7168000</v>
      </c>
      <c r="F46">
        <f>E46/$E$50</f>
        <v>0.25617566331198538</v>
      </c>
      <c r="G46">
        <f>$K$41*F46</f>
        <v>512.22323879231476</v>
      </c>
      <c r="H46">
        <f>G46/D46*1000</f>
        <v>16.006976212259836</v>
      </c>
      <c r="I46">
        <f>H46+3</f>
        <v>19.006976212259836</v>
      </c>
      <c r="J46">
        <f>I46+8</f>
        <v>27.006976212259836</v>
      </c>
      <c r="K46" s="2">
        <v>25.6</v>
      </c>
      <c r="L46" s="2">
        <v>25.6</v>
      </c>
    </row>
    <row r="47" spans="2:26" x14ac:dyDescent="0.3">
      <c r="B47">
        <v>16</v>
      </c>
      <c r="C47">
        <v>16</v>
      </c>
      <c r="D47">
        <v>51600</v>
      </c>
      <c r="E47">
        <f>B47*C47*D47</f>
        <v>13209600</v>
      </c>
      <c r="F47">
        <f>E47/$E$50</f>
        <v>0.47209515096065874</v>
      </c>
      <c r="G47">
        <f>$K$41*F47</f>
        <v>943.95425434583717</v>
      </c>
      <c r="H47">
        <f>G47/D47*1000</f>
        <v>18.293687099725528</v>
      </c>
      <c r="I47">
        <f>H47+3</f>
        <v>21.293687099725528</v>
      </c>
      <c r="J47">
        <f>I47+8</f>
        <v>29.293687099725528</v>
      </c>
      <c r="K47" s="2">
        <v>29.2</v>
      </c>
      <c r="L47" s="2">
        <v>29.2</v>
      </c>
    </row>
    <row r="48" spans="2:26" x14ac:dyDescent="0.3">
      <c r="B48">
        <v>18</v>
      </c>
      <c r="C48">
        <v>16</v>
      </c>
      <c r="D48">
        <v>16800</v>
      </c>
      <c r="E48">
        <f>B48*C48*D48</f>
        <v>4838400</v>
      </c>
      <c r="F48">
        <f>E48/$E$50</f>
        <v>0.17291857273559011</v>
      </c>
      <c r="G48">
        <f>$K$41*F48</f>
        <v>345.75068618481242</v>
      </c>
      <c r="H48">
        <f>G48/D48*1000</f>
        <v>20.580397987191215</v>
      </c>
      <c r="I48">
        <f>H48+3</f>
        <v>23.580397987191215</v>
      </c>
      <c r="J48">
        <f>I48+8</f>
        <v>31.580397987191215</v>
      </c>
      <c r="K48" s="2">
        <v>39.9</v>
      </c>
    </row>
    <row r="49" spans="2:11" x14ac:dyDescent="0.3">
      <c r="B49">
        <v>20</v>
      </c>
      <c r="C49">
        <v>18</v>
      </c>
      <c r="D49">
        <v>5600</v>
      </c>
      <c r="E49">
        <f>B49*C49*D49</f>
        <v>2016000</v>
      </c>
      <c r="F49">
        <f>E49/$E$50</f>
        <v>7.2049405306495881E-2</v>
      </c>
      <c r="G49">
        <f>$K$41*F49</f>
        <v>144.0627859103385</v>
      </c>
      <c r="H49">
        <f>G49/D49*1000</f>
        <v>25.72549748398902</v>
      </c>
      <c r="I49">
        <f>H49+3</f>
        <v>28.72549748398902</v>
      </c>
      <c r="J49">
        <f>I49+8</f>
        <v>36.725497483989017</v>
      </c>
      <c r="K49" s="2">
        <v>41.1</v>
      </c>
    </row>
    <row r="50" spans="2:11" x14ac:dyDescent="0.3">
      <c r="E50">
        <f>SUM(E45:E49)</f>
        <v>27980800</v>
      </c>
      <c r="F50">
        <f>SUM(F45:F49)</f>
        <v>1</v>
      </c>
      <c r="G50">
        <f>SUM(G45:G49)</f>
        <v>1999.5</v>
      </c>
    </row>
    <row r="53" spans="2:11" x14ac:dyDescent="0.3">
      <c r="B53" t="s">
        <v>1</v>
      </c>
      <c r="C53" t="s">
        <v>2</v>
      </c>
      <c r="D53" t="s">
        <v>3</v>
      </c>
      <c r="E53" t="s">
        <v>6</v>
      </c>
      <c r="F53" t="s">
        <v>122</v>
      </c>
    </row>
    <row r="54" spans="2:11" x14ac:dyDescent="0.3">
      <c r="B54">
        <v>13</v>
      </c>
      <c r="C54">
        <v>16</v>
      </c>
      <c r="D54">
        <v>3600</v>
      </c>
      <c r="E54">
        <v>17.863620768526989</v>
      </c>
      <c r="F54">
        <f>E54+8</f>
        <v>25.863620768526989</v>
      </c>
    </row>
    <row r="55" spans="2:11" x14ac:dyDescent="0.3">
      <c r="B55">
        <v>14</v>
      </c>
      <c r="C55">
        <v>16</v>
      </c>
      <c r="D55">
        <v>32000</v>
      </c>
      <c r="E55">
        <v>19.006976212259836</v>
      </c>
      <c r="F55">
        <f>E55+8</f>
        <v>27.006976212259836</v>
      </c>
    </row>
    <row r="56" spans="2:11" x14ac:dyDescent="0.3">
      <c r="B56">
        <v>16</v>
      </c>
      <c r="C56">
        <v>16</v>
      </c>
      <c r="D56">
        <v>51600</v>
      </c>
      <c r="E56">
        <v>21.293687099725528</v>
      </c>
      <c r="F56">
        <f>E56+8</f>
        <v>29.293687099725528</v>
      </c>
    </row>
    <row r="57" spans="2:11" x14ac:dyDescent="0.3">
      <c r="B57">
        <v>18</v>
      </c>
      <c r="C57">
        <v>16</v>
      </c>
      <c r="D57">
        <v>16800</v>
      </c>
      <c r="E57">
        <v>23.580397987191215</v>
      </c>
      <c r="F57">
        <f>E57+8</f>
        <v>31.580397987191215</v>
      </c>
    </row>
    <row r="58" spans="2:11" x14ac:dyDescent="0.3">
      <c r="B58">
        <v>20</v>
      </c>
      <c r="C58">
        <v>18</v>
      </c>
      <c r="D58">
        <v>5600</v>
      </c>
      <c r="E58">
        <v>28.72549748398902</v>
      </c>
      <c r="F58">
        <f>E58+8</f>
        <v>36.725497483989017</v>
      </c>
    </row>
  </sheetData>
  <mergeCells count="20">
    <mergeCell ref="B25:D25"/>
    <mergeCell ref="L10:L14"/>
    <mergeCell ref="N9:O9"/>
    <mergeCell ref="L18:L22"/>
    <mergeCell ref="P18:P22"/>
    <mergeCell ref="B9:D9"/>
    <mergeCell ref="F9:G9"/>
    <mergeCell ref="J9:K9"/>
    <mergeCell ref="T18:T22"/>
    <mergeCell ref="R9:S9"/>
    <mergeCell ref="T10:T14"/>
    <mergeCell ref="N17:O17"/>
    <mergeCell ref="R17:S17"/>
    <mergeCell ref="P10:P14"/>
    <mergeCell ref="A11:A14"/>
    <mergeCell ref="A18:A21"/>
    <mergeCell ref="F17:G17"/>
    <mergeCell ref="J17:K17"/>
    <mergeCell ref="H18:H22"/>
    <mergeCell ref="H10:H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Y20"/>
  <sheetViews>
    <sheetView workbookViewId="0">
      <selection activeCell="M5" sqref="M5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3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55.579121225983535</v>
      </c>
      <c r="K3">
        <f>J3/D3</f>
        <v>1.5438644784995426E-2</v>
      </c>
      <c r="L3">
        <f>K3+0.003</f>
        <v>1.8438644784995427E-2</v>
      </c>
      <c r="M3">
        <f>L3+0.008</f>
        <v>2.6438644784995427E-2</v>
      </c>
      <c r="N3" s="2">
        <v>21.33</v>
      </c>
      <c r="O3" s="2">
        <v>23.7</v>
      </c>
    </row>
    <row r="4" spans="2:25" x14ac:dyDescent="0.3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532.03945105215018</v>
      </c>
      <c r="K4">
        <f>J4/D4</f>
        <v>1.6626232845379695E-2</v>
      </c>
      <c r="L4">
        <f>K4+0.003</f>
        <v>1.9626232845379694E-2</v>
      </c>
      <c r="M4">
        <f>L4+0.008</f>
        <v>2.7626232845379694E-2</v>
      </c>
      <c r="N4" s="2">
        <v>25.6</v>
      </c>
      <c r="O4" s="2">
        <v>25.6</v>
      </c>
    </row>
    <row r="5" spans="2:25" x14ac:dyDescent="0.3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980.47270265324812</v>
      </c>
      <c r="K5">
        <f>J5/D5</f>
        <v>1.9001408966148218E-2</v>
      </c>
      <c r="L5">
        <f>K5+0.003</f>
        <v>2.2001408966148217E-2</v>
      </c>
      <c r="M5">
        <f>L5+0.008</f>
        <v>3.0001408966148217E-2</v>
      </c>
      <c r="N5" s="2">
        <v>29.2</v>
      </c>
      <c r="O5" s="2">
        <v>29.2</v>
      </c>
    </row>
    <row r="6" spans="2:25" x14ac:dyDescent="0.3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359.12662946020129</v>
      </c>
      <c r="K6">
        <f>J6/D6</f>
        <v>2.1376585086916745E-2</v>
      </c>
      <c r="L6">
        <f>K6+0.003</f>
        <v>2.4376585086916744E-2</v>
      </c>
      <c r="M6">
        <f>L6+0.008</f>
        <v>3.2376585086916744E-2</v>
      </c>
      <c r="N6" s="2">
        <v>39.9</v>
      </c>
    </row>
    <row r="7" spans="2:25" x14ac:dyDescent="0.3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149.63609560841721</v>
      </c>
      <c r="K7">
        <f>J7/D7</f>
        <v>2.672073135864593E-2</v>
      </c>
      <c r="L7">
        <f>K7+0.003</f>
        <v>2.9720731358645929E-2</v>
      </c>
      <c r="M7">
        <f>L7+0.008</f>
        <v>3.7720731358645926E-2</v>
      </c>
      <c r="N7" s="2">
        <v>41.1</v>
      </c>
    </row>
    <row r="8" spans="2:25" x14ac:dyDescent="0.3">
      <c r="H8">
        <f>SUM(H3:H7)</f>
        <v>27980800</v>
      </c>
      <c r="I8">
        <f>SUM(I3:I7)</f>
        <v>1</v>
      </c>
      <c r="J8">
        <f>SUM(J3:J7)</f>
        <v>2076.8540000000003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1963</v>
      </c>
      <c r="F11">
        <f>E11*D11</f>
        <v>2076.8540000000003</v>
      </c>
    </row>
    <row r="12" spans="2:25" x14ac:dyDescent="0.3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3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3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3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3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3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3">
      <c r="S20">
        <f>SUM(S15:S19)</f>
        <v>1963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Y20"/>
  <sheetViews>
    <sheetView workbookViewId="0">
      <selection activeCell="M9" sqref="M9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3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60.832346294602011</v>
      </c>
      <c r="K3">
        <f>J3/D3</f>
        <v>1.6897873970722781E-2</v>
      </c>
      <c r="L3">
        <f>K3+0.003</f>
        <v>1.989787397072278E-2</v>
      </c>
      <c r="M3">
        <f>L3+0.008</f>
        <v>2.789787397072278E-2</v>
      </c>
      <c r="N3" s="2">
        <v>21.33</v>
      </c>
      <c r="O3" s="2">
        <v>23.7</v>
      </c>
    </row>
    <row r="4" spans="2:25" x14ac:dyDescent="0.3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582.32673376029277</v>
      </c>
      <c r="K4">
        <f>J4/D4</f>
        <v>1.8197710430009149E-2</v>
      </c>
      <c r="L4">
        <f>K4+0.003</f>
        <v>2.1197710430009148E-2</v>
      </c>
      <c r="M4">
        <f>L4+0.008</f>
        <v>2.9197710430009148E-2</v>
      </c>
      <c r="N4" s="2">
        <v>25.6</v>
      </c>
      <c r="O4" s="2">
        <v>25.6</v>
      </c>
    </row>
    <row r="5" spans="2:25" x14ac:dyDescent="0.3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1073.1449807868253</v>
      </c>
      <c r="K5">
        <f>J5/D5</f>
        <v>2.0797383348581885E-2</v>
      </c>
      <c r="L5">
        <f>K5+0.003</f>
        <v>2.3797383348581884E-2</v>
      </c>
      <c r="M5">
        <f>L5+0.008</f>
        <v>3.1797383348581884E-2</v>
      </c>
      <c r="N5" s="2">
        <v>29.2</v>
      </c>
      <c r="O5" s="2">
        <v>29.2</v>
      </c>
    </row>
    <row r="6" spans="2:25" x14ac:dyDescent="0.3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393.07054528819759</v>
      </c>
      <c r="K6">
        <f>J6/D6</f>
        <v>2.3397056267154617E-2</v>
      </c>
      <c r="L6">
        <f>K6+0.003</f>
        <v>2.6397056267154616E-2</v>
      </c>
      <c r="M6">
        <f>L6+0.008</f>
        <v>3.4397056267154613E-2</v>
      </c>
      <c r="N6" s="2">
        <v>39.9</v>
      </c>
    </row>
    <row r="7" spans="2:25" x14ac:dyDescent="0.3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163.77939387008234</v>
      </c>
      <c r="K7">
        <f>J7/D7</f>
        <v>2.9246320333943275E-2</v>
      </c>
      <c r="L7">
        <f>K7+0.003</f>
        <v>3.2246320333943278E-2</v>
      </c>
      <c r="M7">
        <f>L7+0.008</f>
        <v>4.0246320333943278E-2</v>
      </c>
      <c r="N7" s="2">
        <v>41.1</v>
      </c>
    </row>
    <row r="8" spans="2:25" x14ac:dyDescent="0.3">
      <c r="H8">
        <f>SUM(H3:H7)</f>
        <v>27980800</v>
      </c>
      <c r="I8">
        <f>SUM(I3:I7)</f>
        <v>1</v>
      </c>
      <c r="J8">
        <f>SUM(J3:J7)</f>
        <v>2273.154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1.1579999999999999</v>
      </c>
      <c r="E11">
        <f>S20</f>
        <v>1963</v>
      </c>
      <c r="F11">
        <f>E11*D11</f>
        <v>2273.154</v>
      </c>
    </row>
    <row r="12" spans="2:25" x14ac:dyDescent="0.3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3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3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3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3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3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3">
      <c r="S20">
        <f>SUM(S15:S19)</f>
        <v>1963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Z20"/>
  <sheetViews>
    <sheetView topLeftCell="C1" workbookViewId="0">
      <selection activeCell="J11" sqref="J11:L21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6" x14ac:dyDescent="0.3">
      <c r="B1" t="s">
        <v>108</v>
      </c>
      <c r="E1" t="s">
        <v>24</v>
      </c>
      <c r="H1" t="s">
        <v>16</v>
      </c>
      <c r="L1" t="s">
        <v>124</v>
      </c>
      <c r="N1" s="2" t="s">
        <v>133</v>
      </c>
      <c r="O1" s="2"/>
      <c r="P1" t="s">
        <v>30</v>
      </c>
    </row>
    <row r="2" spans="2:26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16" t="s">
        <v>134</v>
      </c>
      <c r="Q2" t="s">
        <v>135</v>
      </c>
    </row>
    <row r="3" spans="2:26" x14ac:dyDescent="0.3">
      <c r="B3">
        <v>13</v>
      </c>
      <c r="C3">
        <v>16</v>
      </c>
      <c r="D3">
        <v>4000</v>
      </c>
      <c r="E3">
        <f>$C$11/C3</f>
        <v>7.375</v>
      </c>
      <c r="F3">
        <v>7</v>
      </c>
      <c r="G3">
        <f>D3/F3</f>
        <v>571.42857142857144</v>
      </c>
      <c r="H3">
        <f>B3*C3*D3</f>
        <v>832000</v>
      </c>
      <c r="I3">
        <f>H3/$H$8</f>
        <v>8.9347079037800689E-2</v>
      </c>
      <c r="J3">
        <f>$F$11*I3</f>
        <v>46.424742268041243</v>
      </c>
      <c r="K3">
        <f>J3/D3</f>
        <v>1.160618556701031E-2</v>
      </c>
      <c r="L3">
        <f>K3+0.003</f>
        <v>1.4606185567010311E-2</v>
      </c>
      <c r="M3">
        <f>L3+0.008</f>
        <v>2.2606185567010311E-2</v>
      </c>
      <c r="N3" s="2">
        <v>2.1329999999999998E-2</v>
      </c>
      <c r="O3">
        <f>N3*D3</f>
        <v>85.32</v>
      </c>
    </row>
    <row r="4" spans="2:26" x14ac:dyDescent="0.3">
      <c r="B4">
        <v>14</v>
      </c>
      <c r="C4">
        <v>16</v>
      </c>
      <c r="D4">
        <v>17000</v>
      </c>
      <c r="E4">
        <f>$C$11/C4</f>
        <v>7.375</v>
      </c>
      <c r="F4">
        <v>7</v>
      </c>
      <c r="G4">
        <f>D4/F4</f>
        <v>2428.5714285714284</v>
      </c>
      <c r="H4">
        <f>B4*C4*D4</f>
        <v>3808000</v>
      </c>
      <c r="I4">
        <f>H4/$H$8</f>
        <v>0.40893470790378006</v>
      </c>
      <c r="J4">
        <f>$F$11*I4</f>
        <v>212.48247422680413</v>
      </c>
      <c r="K4">
        <f>J4/D4</f>
        <v>1.2498969072164948E-2</v>
      </c>
      <c r="L4">
        <f>K4+0.003</f>
        <v>1.5498969072164949E-2</v>
      </c>
      <c r="M4">
        <f>L4+0.008</f>
        <v>2.3498969072164949E-2</v>
      </c>
      <c r="N4" s="2">
        <v>2.3519999999999999E-2</v>
      </c>
      <c r="O4">
        <f>N4*D4</f>
        <v>399.84</v>
      </c>
    </row>
    <row r="5" spans="2:26" x14ac:dyDescent="0.3">
      <c r="B5">
        <v>16</v>
      </c>
      <c r="C5">
        <v>16</v>
      </c>
      <c r="D5">
        <v>16000</v>
      </c>
      <c r="E5">
        <f>$C$11/C5</f>
        <v>7.375</v>
      </c>
      <c r="F5">
        <v>7</v>
      </c>
      <c r="G5">
        <f>D5/F5</f>
        <v>2285.7142857142858</v>
      </c>
      <c r="H5">
        <f>B5*C5*D5</f>
        <v>4096000</v>
      </c>
      <c r="I5">
        <f>H5/$H$8</f>
        <v>0.43986254295532645</v>
      </c>
      <c r="J5">
        <f>$F$11*I5</f>
        <v>228.55257731958764</v>
      </c>
      <c r="K5">
        <f>J5/D5</f>
        <v>1.4284536082474228E-2</v>
      </c>
      <c r="L5">
        <f>K5+0.003</f>
        <v>1.7284536082474228E-2</v>
      </c>
      <c r="M5">
        <f>L5+0.008</f>
        <v>2.5284536082474229E-2</v>
      </c>
      <c r="N5" s="2">
        <v>2.5309999999999999E-2</v>
      </c>
      <c r="O5">
        <f>N5*D5</f>
        <v>404.96</v>
      </c>
    </row>
    <row r="6" spans="2:26" x14ac:dyDescent="0.3">
      <c r="B6">
        <v>18</v>
      </c>
      <c r="C6">
        <v>16</v>
      </c>
      <c r="D6">
        <v>2000</v>
      </c>
      <c r="E6">
        <f>$C$11/C6</f>
        <v>7.375</v>
      </c>
      <c r="F6">
        <v>7</v>
      </c>
      <c r="G6">
        <f>D6/F6</f>
        <v>285.71428571428572</v>
      </c>
      <c r="H6">
        <f>B6*C6*D6</f>
        <v>576000</v>
      </c>
      <c r="I6">
        <f>H6/$H$8</f>
        <v>6.1855670103092786E-2</v>
      </c>
      <c r="J6">
        <f>$F$11*I6</f>
        <v>32.14020618556701</v>
      </c>
      <c r="K6">
        <f>J6/D6</f>
        <v>1.6070103092783505E-2</v>
      </c>
      <c r="L6">
        <f>K6+0.003</f>
        <v>1.9070103092783505E-2</v>
      </c>
      <c r="M6">
        <f>L6+0.008</f>
        <v>2.7070103092783505E-2</v>
      </c>
      <c r="N6" s="2">
        <v>2.7099999999999999E-2</v>
      </c>
      <c r="O6">
        <f>N6*D6</f>
        <v>54.199999999999996</v>
      </c>
    </row>
    <row r="7" spans="2:26" x14ac:dyDescent="0.3">
      <c r="B7">
        <v>20</v>
      </c>
      <c r="C7">
        <v>18</v>
      </c>
      <c r="E7">
        <f>$C$11/C7</f>
        <v>6.5555555555555554</v>
      </c>
      <c r="F7">
        <v>6</v>
      </c>
      <c r="G7">
        <f>D7/F7</f>
        <v>0</v>
      </c>
      <c r="H7">
        <f>B7*C7*D7</f>
        <v>0</v>
      </c>
      <c r="I7">
        <f>H7/$H$8</f>
        <v>0</v>
      </c>
      <c r="J7">
        <f>$F$11*I7</f>
        <v>0</v>
      </c>
      <c r="K7" t="e">
        <f>J7/D7</f>
        <v>#DIV/0!</v>
      </c>
      <c r="L7" t="e">
        <f>K7+0.003</f>
        <v>#DIV/0!</v>
      </c>
      <c r="M7" t="e">
        <f>L7+0.008</f>
        <v>#DIV/0!</v>
      </c>
      <c r="N7" s="2">
        <v>0</v>
      </c>
      <c r="O7">
        <f>N7*D7</f>
        <v>0</v>
      </c>
    </row>
    <row r="8" spans="2:26" s="2" customFormat="1" x14ac:dyDescent="0.3">
      <c r="D8" s="2">
        <f>SUM(D3:D7)</f>
        <v>39000</v>
      </c>
      <c r="H8" s="2">
        <f>SUM(H3:H7)</f>
        <v>9312000</v>
      </c>
      <c r="I8" s="2">
        <f>SUM(I3:I7)</f>
        <v>1</v>
      </c>
      <c r="J8" s="2">
        <f>SUM(J3:J7)</f>
        <v>519.6</v>
      </c>
      <c r="L8" s="2">
        <f>D8*0.003</f>
        <v>117</v>
      </c>
      <c r="O8" s="2">
        <f>SUM(O3:O7)</f>
        <v>944.31999999999994</v>
      </c>
      <c r="P8" s="2">
        <f>O8-L8-J8</f>
        <v>307.71999999999991</v>
      </c>
      <c r="Q8" s="2">
        <f>P8/2</f>
        <v>153.85999999999996</v>
      </c>
    </row>
    <row r="9" spans="2:26" x14ac:dyDescent="0.3">
      <c r="B9" t="s">
        <v>119</v>
      </c>
    </row>
    <row r="10" spans="2:26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6" x14ac:dyDescent="0.3">
      <c r="B11">
        <v>98</v>
      </c>
      <c r="C11">
        <v>118</v>
      </c>
      <c r="D11">
        <v>0.6</v>
      </c>
      <c r="E11">
        <f>S20</f>
        <v>866</v>
      </c>
      <c r="F11">
        <f>E11*D11</f>
        <v>519.6</v>
      </c>
    </row>
    <row r="12" spans="2:26" x14ac:dyDescent="0.3">
      <c r="T12" t="s">
        <v>47</v>
      </c>
      <c r="U12">
        <f>SUM(U15:U19)</f>
        <v>597</v>
      </c>
      <c r="V12">
        <f>SUM(V15:V19)</f>
        <v>2430</v>
      </c>
      <c r="W12">
        <f>SUM(W15:W19)</f>
        <v>2286</v>
      </c>
      <c r="X12">
        <f>SUM(X15:X19)</f>
        <v>288</v>
      </c>
      <c r="Y12">
        <f>SUM(Y15:Y19)</f>
        <v>0</v>
      </c>
    </row>
    <row r="13" spans="2:26" x14ac:dyDescent="0.3">
      <c r="T13" t="s">
        <v>11</v>
      </c>
      <c r="U13">
        <f>G3</f>
        <v>571.42857142857144</v>
      </c>
      <c r="V13">
        <f>G4</f>
        <v>2428.5714285714284</v>
      </c>
      <c r="W13">
        <f>G5</f>
        <v>2285.7142857142858</v>
      </c>
      <c r="X13">
        <f>G6</f>
        <v>285.71428571428572</v>
      </c>
      <c r="Y13">
        <f>G7</f>
        <v>0</v>
      </c>
    </row>
    <row r="14" spans="2:26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R14" s="2">
        <v>24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  <c r="Z14" s="2">
        <v>24</v>
      </c>
    </row>
    <row r="15" spans="2:26" x14ac:dyDescent="0.3">
      <c r="B15">
        <f>SUM(C15:K15)</f>
        <v>96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M15">
        <v>6</v>
      </c>
      <c r="P15">
        <v>1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6" x14ac:dyDescent="0.3">
      <c r="B16">
        <f>SUM(C16:K16)</f>
        <v>97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13</v>
      </c>
      <c r="M16">
        <v>1</v>
      </c>
      <c r="N16">
        <v>6</v>
      </c>
      <c r="S16">
        <v>405</v>
      </c>
      <c r="U16">
        <f>$S$16*M16</f>
        <v>405</v>
      </c>
      <c r="V16">
        <f>$S$16*N16</f>
        <v>2430</v>
      </c>
      <c r="W16">
        <f>$S$16*O16</f>
        <v>0</v>
      </c>
      <c r="X16">
        <f>$S$16*P16</f>
        <v>0</v>
      </c>
      <c r="Y16">
        <f>$S$16*Q16</f>
        <v>0</v>
      </c>
    </row>
    <row r="17" spans="2:26" x14ac:dyDescent="0.3">
      <c r="B17">
        <f>SUM(C17:K17)</f>
        <v>96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O17">
        <v>6</v>
      </c>
      <c r="S17">
        <v>365</v>
      </c>
      <c r="U17">
        <f>$S$17*M17</f>
        <v>0</v>
      </c>
      <c r="V17">
        <f>$S$17*N17</f>
        <v>0</v>
      </c>
      <c r="W17">
        <f>$S$17*O17</f>
        <v>2190</v>
      </c>
      <c r="X17">
        <f>$S$17*P17</f>
        <v>0</v>
      </c>
      <c r="Y17">
        <f>$S$17*Q17</f>
        <v>0</v>
      </c>
    </row>
    <row r="18" spans="2:26" x14ac:dyDescent="0.3">
      <c r="B18">
        <f>SUM(C18:K18)</f>
        <v>96</v>
      </c>
      <c r="C18">
        <v>18</v>
      </c>
      <c r="D18">
        <v>18</v>
      </c>
      <c r="E18">
        <v>18</v>
      </c>
      <c r="F18">
        <v>16</v>
      </c>
      <c r="G18">
        <v>13</v>
      </c>
      <c r="H18">
        <v>13</v>
      </c>
      <c r="M18">
        <v>2</v>
      </c>
      <c r="O18">
        <v>1</v>
      </c>
      <c r="P18">
        <v>3</v>
      </c>
      <c r="S18">
        <v>96</v>
      </c>
      <c r="U18">
        <f t="shared" ref="U18:Z18" si="0">$S$18*M18</f>
        <v>192</v>
      </c>
      <c r="V18">
        <f t="shared" si="0"/>
        <v>0</v>
      </c>
      <c r="W18">
        <f t="shared" si="0"/>
        <v>96</v>
      </c>
      <c r="X18">
        <f t="shared" si="0"/>
        <v>288</v>
      </c>
      <c r="Y18">
        <f t="shared" si="0"/>
        <v>0</v>
      </c>
      <c r="Z18">
        <f t="shared" si="0"/>
        <v>0</v>
      </c>
    </row>
    <row r="19" spans="2:26" x14ac:dyDescent="0.3">
      <c r="B19">
        <f>SUM(C19:K19)</f>
        <v>0</v>
      </c>
      <c r="S19"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6" x14ac:dyDescent="0.3">
      <c r="S20">
        <f>SUM(S15:S19)</f>
        <v>866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T25"/>
  <sheetViews>
    <sheetView topLeftCell="A2" workbookViewId="0">
      <selection activeCell="C23" sqref="C23"/>
    </sheetView>
  </sheetViews>
  <sheetFormatPr defaultRowHeight="14.4" x14ac:dyDescent="0.3"/>
  <cols>
    <col min="15" max="15" width="16.44140625" bestFit="1" customWidth="1"/>
    <col min="16" max="17" width="11.6640625" bestFit="1" customWidth="1"/>
  </cols>
  <sheetData>
    <row r="2" spans="2:20" x14ac:dyDescent="0.3">
      <c r="C2" t="s">
        <v>38</v>
      </c>
      <c r="G2" t="s">
        <v>64</v>
      </c>
    </row>
    <row r="3" spans="2:20" x14ac:dyDescent="0.3">
      <c r="F3" t="s">
        <v>24</v>
      </c>
      <c r="I3" t="s">
        <v>65</v>
      </c>
      <c r="K3" t="s">
        <v>66</v>
      </c>
      <c r="P3" t="s">
        <v>21</v>
      </c>
      <c r="Q3" t="s">
        <v>21</v>
      </c>
    </row>
    <row r="4" spans="2:20" x14ac:dyDescent="0.3">
      <c r="B4" t="s">
        <v>1</v>
      </c>
      <c r="C4" t="s">
        <v>2</v>
      </c>
      <c r="D4" t="s">
        <v>3</v>
      </c>
      <c r="M4" s="2" t="s">
        <v>67</v>
      </c>
      <c r="Q4" t="s">
        <v>68</v>
      </c>
      <c r="R4" t="s">
        <v>6</v>
      </c>
      <c r="S4" t="s">
        <v>69</v>
      </c>
      <c r="T4" t="s">
        <v>45</v>
      </c>
    </row>
    <row r="5" spans="2:20" x14ac:dyDescent="0.3">
      <c r="B5">
        <v>16.2</v>
      </c>
      <c r="C5">
        <v>19.100000000000001</v>
      </c>
      <c r="D5">
        <v>10000</v>
      </c>
      <c r="F5">
        <v>6</v>
      </c>
      <c r="G5">
        <f>D5/F5</f>
        <v>1666.6666666666667</v>
      </c>
      <c r="I5">
        <v>7</v>
      </c>
      <c r="K5">
        <f>I5*F5</f>
        <v>42</v>
      </c>
      <c r="M5" s="10">
        <f>D5/K5</f>
        <v>238.0952380952381</v>
      </c>
      <c r="N5" s="2">
        <v>239</v>
      </c>
      <c r="O5" t="s">
        <v>71</v>
      </c>
      <c r="P5">
        <f>N5*1.06</f>
        <v>253.34</v>
      </c>
      <c r="Q5">
        <f>P5/D5*1000</f>
        <v>25.334</v>
      </c>
      <c r="R5">
        <f>Q5+2</f>
        <v>27.334</v>
      </c>
      <c r="S5">
        <f>R5+3</f>
        <v>30.334</v>
      </c>
      <c r="T5">
        <f>S5+3</f>
        <v>33.334000000000003</v>
      </c>
    </row>
    <row r="6" spans="2:20" x14ac:dyDescent="0.3">
      <c r="B6">
        <v>13.75</v>
      </c>
      <c r="C6">
        <v>15.75</v>
      </c>
      <c r="D6">
        <v>4000</v>
      </c>
      <c r="F6">
        <v>8</v>
      </c>
      <c r="G6">
        <f>D6/F6</f>
        <v>500</v>
      </c>
      <c r="I6">
        <v>9</v>
      </c>
      <c r="K6">
        <f>I6*F6</f>
        <v>72</v>
      </c>
      <c r="M6" s="10">
        <f>D6/K6</f>
        <v>55.555555555555557</v>
      </c>
      <c r="N6" s="2">
        <v>56</v>
      </c>
      <c r="O6" t="s">
        <v>72</v>
      </c>
      <c r="P6">
        <f>N6*1.03</f>
        <v>57.68</v>
      </c>
      <c r="Q6">
        <f>P6/D6*1000</f>
        <v>14.42</v>
      </c>
      <c r="R6">
        <f>Q6+2</f>
        <v>16.420000000000002</v>
      </c>
      <c r="S6">
        <f>R6+5</f>
        <v>21.42</v>
      </c>
      <c r="T6">
        <f>S6+5</f>
        <v>26.42</v>
      </c>
    </row>
    <row r="7" spans="2:20" x14ac:dyDescent="0.3">
      <c r="N7" s="2"/>
    </row>
    <row r="8" spans="2:20" x14ac:dyDescent="0.3">
      <c r="C8" t="s">
        <v>37</v>
      </c>
    </row>
    <row r="9" spans="2:20" x14ac:dyDescent="0.3">
      <c r="B9">
        <v>124</v>
      </c>
      <c r="C9">
        <v>126</v>
      </c>
      <c r="D9">
        <v>1.03</v>
      </c>
    </row>
    <row r="10" spans="2:20" x14ac:dyDescent="0.3">
      <c r="B10">
        <v>72</v>
      </c>
      <c r="C10">
        <v>120</v>
      </c>
      <c r="D10">
        <v>0.6</v>
      </c>
    </row>
    <row r="11" spans="2:20" x14ac:dyDescent="0.3">
      <c r="B11">
        <v>62</v>
      </c>
      <c r="C11">
        <v>126</v>
      </c>
      <c r="D11">
        <v>0.56999999999999995</v>
      </c>
    </row>
    <row r="12" spans="2:20" x14ac:dyDescent="0.3">
      <c r="B12">
        <v>115</v>
      </c>
      <c r="C12">
        <v>115</v>
      </c>
      <c r="D12">
        <v>1.06</v>
      </c>
    </row>
    <row r="14" spans="2:20" x14ac:dyDescent="0.3">
      <c r="C14" t="s">
        <v>39</v>
      </c>
    </row>
    <row r="15" spans="2:20" x14ac:dyDescent="0.3">
      <c r="B15" s="2">
        <f>SUM(C15:K15)</f>
        <v>123.75</v>
      </c>
      <c r="C15">
        <v>13.75</v>
      </c>
      <c r="D15">
        <v>13.75</v>
      </c>
      <c r="E15">
        <v>13.75</v>
      </c>
      <c r="F15">
        <v>13.75</v>
      </c>
      <c r="G15">
        <v>13.75</v>
      </c>
      <c r="H15">
        <v>13.75</v>
      </c>
      <c r="I15">
        <v>13.75</v>
      </c>
      <c r="J15">
        <v>13.75</v>
      </c>
      <c r="K15">
        <v>13.75</v>
      </c>
    </row>
    <row r="16" spans="2:20" x14ac:dyDescent="0.3">
      <c r="B16" s="2">
        <f>SUM(C16:K16)</f>
        <v>113.4</v>
      </c>
      <c r="C16">
        <v>16.2</v>
      </c>
      <c r="D16">
        <v>16.2</v>
      </c>
      <c r="E16">
        <v>16.2</v>
      </c>
      <c r="F16">
        <v>16.2</v>
      </c>
      <c r="G16">
        <v>16.2</v>
      </c>
      <c r="H16">
        <v>16.2</v>
      </c>
      <c r="I16">
        <v>16.2</v>
      </c>
    </row>
    <row r="19" spans="2:11" x14ac:dyDescent="0.3">
      <c r="B19" t="s">
        <v>1</v>
      </c>
      <c r="C19" t="s">
        <v>2</v>
      </c>
      <c r="D19" t="s">
        <v>3</v>
      </c>
      <c r="E19" t="s">
        <v>15</v>
      </c>
      <c r="F19" t="s">
        <v>70</v>
      </c>
    </row>
    <row r="20" spans="2:11" x14ac:dyDescent="0.3">
      <c r="B20">
        <v>16.2</v>
      </c>
      <c r="C20">
        <v>19.100000000000001</v>
      </c>
      <c r="D20">
        <v>10000</v>
      </c>
      <c r="E20">
        <f>T5</f>
        <v>33.334000000000003</v>
      </c>
      <c r="F20">
        <f>D20*E20/1000</f>
        <v>333.34000000000003</v>
      </c>
    </row>
    <row r="21" spans="2:11" x14ac:dyDescent="0.3">
      <c r="B21">
        <v>13.75</v>
      </c>
      <c r="C21">
        <v>15.75</v>
      </c>
      <c r="D21">
        <v>4000</v>
      </c>
      <c r="E21">
        <f>T6</f>
        <v>26.42</v>
      </c>
      <c r="F21">
        <f>D21*E21/1000</f>
        <v>105.68</v>
      </c>
    </row>
    <row r="23" spans="2:11" x14ac:dyDescent="0.3">
      <c r="F23" s="2">
        <f>SUM(F20:F22)</f>
        <v>439.02000000000004</v>
      </c>
      <c r="K23" t="s">
        <v>93</v>
      </c>
    </row>
    <row r="24" spans="2:11" x14ac:dyDescent="0.3">
      <c r="I24" t="s">
        <v>6</v>
      </c>
      <c r="J24" t="s">
        <v>92</v>
      </c>
    </row>
    <row r="25" spans="2:11" x14ac:dyDescent="0.3">
      <c r="B25">
        <v>239</v>
      </c>
      <c r="C25">
        <v>1.06</v>
      </c>
      <c r="D25">
        <v>10000</v>
      </c>
      <c r="E25">
        <v>16</v>
      </c>
      <c r="F25">
        <v>18</v>
      </c>
      <c r="G25">
        <f>C25*B25</f>
        <v>253.34</v>
      </c>
      <c r="H25">
        <f>G25/D25*1000</f>
        <v>25.334</v>
      </c>
      <c r="I25">
        <f>H25+2</f>
        <v>27.334</v>
      </c>
      <c r="J25">
        <f>I25+3</f>
        <v>30.334</v>
      </c>
      <c r="K25">
        <f>J25+3</f>
        <v>33.334000000000003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22"/>
  <sheetViews>
    <sheetView workbookViewId="0">
      <selection activeCell="J23" sqref="J23"/>
    </sheetView>
  </sheetViews>
  <sheetFormatPr defaultRowHeight="14.4" x14ac:dyDescent="0.3"/>
  <cols>
    <col min="2" max="2" width="8.109375" bestFit="1" customWidth="1"/>
    <col min="7" max="7" width="11.6640625" bestFit="1" customWidth="1"/>
    <col min="8" max="8" width="10" bestFit="1" customWidth="1"/>
    <col min="9" max="9" width="13.88671875" bestFit="1" customWidth="1"/>
    <col min="11" max="11" width="10.33203125" bestFit="1" customWidth="1"/>
    <col min="12" max="12" width="15.44140625" bestFit="1" customWidth="1"/>
    <col min="13" max="13" width="14.6640625" bestFit="1" customWidth="1"/>
  </cols>
  <sheetData>
    <row r="2" spans="2:15" x14ac:dyDescent="0.3">
      <c r="B2" t="s">
        <v>7</v>
      </c>
    </row>
    <row r="3" spans="2:15" x14ac:dyDescent="0.3">
      <c r="D3" t="s">
        <v>15</v>
      </c>
      <c r="F3" t="s">
        <v>3</v>
      </c>
      <c r="G3" t="s">
        <v>70</v>
      </c>
    </row>
    <row r="4" spans="2:15" x14ac:dyDescent="0.3">
      <c r="B4">
        <v>62</v>
      </c>
      <c r="C4">
        <v>126</v>
      </c>
      <c r="D4">
        <v>0.56999999999999995</v>
      </c>
      <c r="F4">
        <v>477</v>
      </c>
      <c r="G4">
        <f>F4*D4</f>
        <v>271.89</v>
      </c>
    </row>
    <row r="6" spans="2:15" x14ac:dyDescent="0.3">
      <c r="B6" t="s">
        <v>94</v>
      </c>
    </row>
    <row r="7" spans="2:15" x14ac:dyDescent="0.3">
      <c r="E7" t="s">
        <v>47</v>
      </c>
      <c r="F7" t="s">
        <v>24</v>
      </c>
      <c r="I7" t="s">
        <v>101</v>
      </c>
    </row>
    <row r="8" spans="2:15" x14ac:dyDescent="0.3">
      <c r="B8">
        <v>16</v>
      </c>
      <c r="C8">
        <v>18</v>
      </c>
      <c r="D8">
        <v>10000</v>
      </c>
      <c r="E8">
        <v>10017</v>
      </c>
      <c r="F8">
        <f>$C$4/C8</f>
        <v>7</v>
      </c>
      <c r="G8">
        <v>7</v>
      </c>
      <c r="I8">
        <f>D8/G8</f>
        <v>1428.5714285714287</v>
      </c>
      <c r="J8">
        <v>1429</v>
      </c>
    </row>
    <row r="9" spans="2:15" x14ac:dyDescent="0.3">
      <c r="B9">
        <v>14</v>
      </c>
      <c r="C9">
        <v>16</v>
      </c>
      <c r="E9">
        <f>O9*G9</f>
        <v>3339</v>
      </c>
      <c r="F9">
        <f>$C$4/C9</f>
        <v>7.875</v>
      </c>
      <c r="G9">
        <v>7</v>
      </c>
      <c r="M9" t="s">
        <v>47</v>
      </c>
      <c r="N9">
        <f>N13</f>
        <v>1431</v>
      </c>
      <c r="O9">
        <f>O13</f>
        <v>477</v>
      </c>
    </row>
    <row r="10" spans="2:15" x14ac:dyDescent="0.3">
      <c r="M10" t="s">
        <v>11</v>
      </c>
      <c r="N10">
        <f>J8</f>
        <v>1429</v>
      </c>
    </row>
    <row r="11" spans="2:15" x14ac:dyDescent="0.3">
      <c r="B11" s="2" t="s">
        <v>99</v>
      </c>
      <c r="L11" s="2" t="s">
        <v>100</v>
      </c>
    </row>
    <row r="12" spans="2:15" x14ac:dyDescent="0.3">
      <c r="I12">
        <v>16</v>
      </c>
      <c r="J12">
        <v>14</v>
      </c>
      <c r="N12">
        <v>16</v>
      </c>
      <c r="O12">
        <v>14</v>
      </c>
    </row>
    <row r="13" spans="2:15" x14ac:dyDescent="0.3">
      <c r="B13">
        <f>SUM(C13:G13)</f>
        <v>62</v>
      </c>
      <c r="C13" s="2">
        <v>16</v>
      </c>
      <c r="D13" s="2">
        <v>16</v>
      </c>
      <c r="E13" s="2">
        <v>16</v>
      </c>
      <c r="F13" s="2">
        <v>14</v>
      </c>
      <c r="I13">
        <v>3</v>
      </c>
      <c r="J13">
        <v>1</v>
      </c>
      <c r="L13" s="2">
        <v>477</v>
      </c>
      <c r="N13">
        <f>$L$13*I13</f>
        <v>1431</v>
      </c>
      <c r="O13">
        <f>$L$13*J13</f>
        <v>477</v>
      </c>
    </row>
    <row r="16" spans="2:15" x14ac:dyDescent="0.3">
      <c r="B16" t="s">
        <v>102</v>
      </c>
    </row>
    <row r="17" spans="2:15" x14ac:dyDescent="0.3">
      <c r="E17" t="s">
        <v>16</v>
      </c>
      <c r="F17" t="s">
        <v>17</v>
      </c>
      <c r="G17" t="s">
        <v>21</v>
      </c>
      <c r="H17" t="s">
        <v>103</v>
      </c>
      <c r="I17" t="s">
        <v>104</v>
      </c>
      <c r="J17" t="s">
        <v>30</v>
      </c>
      <c r="K17" t="s">
        <v>93</v>
      </c>
      <c r="L17" t="s">
        <v>58</v>
      </c>
      <c r="M17" t="s">
        <v>105</v>
      </c>
      <c r="N17" s="14">
        <v>0.5</v>
      </c>
      <c r="O17" t="s">
        <v>107</v>
      </c>
    </row>
    <row r="18" spans="2:15" x14ac:dyDescent="0.3">
      <c r="B18">
        <v>16</v>
      </c>
      <c r="C18">
        <v>18</v>
      </c>
      <c r="D18">
        <v>10017</v>
      </c>
      <c r="E18">
        <f>B18*C18*D18</f>
        <v>2884896</v>
      </c>
      <c r="F18">
        <f>E18/E20</f>
        <v>0.79411764705882348</v>
      </c>
      <c r="G18">
        <f>F18*$G$4</f>
        <v>215.9126470588235</v>
      </c>
      <c r="H18">
        <f>G18/D18</f>
        <v>2.1554621848739491E-2</v>
      </c>
      <c r="I18">
        <v>2E-3</v>
      </c>
      <c r="J18">
        <v>0.01</v>
      </c>
      <c r="K18">
        <f>J18+I18+H18</f>
        <v>3.3554621848739488E-2</v>
      </c>
      <c r="L18">
        <f>K18*D18</f>
        <v>336.11664705882345</v>
      </c>
    </row>
    <row r="19" spans="2:15" x14ac:dyDescent="0.3">
      <c r="B19">
        <v>14</v>
      </c>
      <c r="C19">
        <v>16</v>
      </c>
      <c r="D19">
        <v>3339</v>
      </c>
      <c r="E19">
        <f>B19*C19*D19</f>
        <v>747936</v>
      </c>
      <c r="F19">
        <f>E19/E20</f>
        <v>0.20588235294117646</v>
      </c>
      <c r="G19">
        <f>F19*$G$4</f>
        <v>55.977352941176463</v>
      </c>
      <c r="H19">
        <f>G19/D19</f>
        <v>1.6764705882352939E-2</v>
      </c>
      <c r="I19">
        <v>2E-3</v>
      </c>
      <c r="J19">
        <v>0.01</v>
      </c>
      <c r="K19">
        <f>J19+I19+H19</f>
        <v>2.8764705882352939E-2</v>
      </c>
      <c r="L19">
        <f>K19*D19</f>
        <v>96.045352941176461</v>
      </c>
    </row>
    <row r="20" spans="2:15" x14ac:dyDescent="0.3">
      <c r="D20">
        <f>SUM(D18:D19)</f>
        <v>13356</v>
      </c>
      <c r="E20">
        <f>SUM(E18:E19)</f>
        <v>3632832</v>
      </c>
      <c r="F20">
        <f>SUM(F18:F19)</f>
        <v>1</v>
      </c>
      <c r="G20">
        <f>SUM(G18:G19)</f>
        <v>271.89</v>
      </c>
      <c r="L20">
        <f>SUM(L18:L19)</f>
        <v>432.16199999999992</v>
      </c>
      <c r="M20">
        <f>D20*0.01</f>
        <v>133.56</v>
      </c>
      <c r="N20">
        <f>M20/2</f>
        <v>66.78</v>
      </c>
      <c r="O20">
        <f>D20*I19</f>
        <v>26.712</v>
      </c>
    </row>
    <row r="22" spans="2:15" x14ac:dyDescent="0.3">
      <c r="C22" t="s">
        <v>106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22"/>
  <sheetViews>
    <sheetView workbookViewId="0">
      <selection activeCell="H15" sqref="H15"/>
    </sheetView>
  </sheetViews>
  <sheetFormatPr defaultRowHeight="14.4" x14ac:dyDescent="0.3"/>
  <cols>
    <col min="1" max="1" width="14.33203125" customWidth="1"/>
  </cols>
  <sheetData>
    <row r="2" spans="2:10" x14ac:dyDescent="0.3">
      <c r="B2" t="s">
        <v>38</v>
      </c>
      <c r="H2" t="s">
        <v>74</v>
      </c>
    </row>
    <row r="3" spans="2:10" x14ac:dyDescent="0.3">
      <c r="B3" t="s">
        <v>1</v>
      </c>
      <c r="C3" t="s">
        <v>2</v>
      </c>
    </row>
    <row r="4" spans="2:10" ht="15" thickBot="1" x14ac:dyDescent="0.35">
      <c r="B4">
        <v>18</v>
      </c>
      <c r="C4">
        <v>24</v>
      </c>
      <c r="D4">
        <v>1000</v>
      </c>
      <c r="H4" s="203">
        <v>18</v>
      </c>
      <c r="I4" s="203"/>
      <c r="J4" s="11"/>
    </row>
    <row r="5" spans="2:10" ht="15.6" thickTop="1" thickBot="1" x14ac:dyDescent="0.35">
      <c r="H5" s="12"/>
      <c r="I5" s="12"/>
      <c r="J5" s="201">
        <v>24</v>
      </c>
    </row>
    <row r="6" spans="2:10" ht="15.6" thickTop="1" thickBot="1" x14ac:dyDescent="0.35">
      <c r="B6">
        <f>SUM(C6:H6)</f>
        <v>72</v>
      </c>
      <c r="C6">
        <v>18</v>
      </c>
      <c r="D6">
        <v>18</v>
      </c>
      <c r="E6">
        <v>18</v>
      </c>
      <c r="F6">
        <v>18</v>
      </c>
      <c r="H6" s="12"/>
      <c r="I6" s="12"/>
      <c r="J6" s="201"/>
    </row>
    <row r="7" spans="2:10" ht="15.6" thickTop="1" thickBot="1" x14ac:dyDescent="0.35">
      <c r="B7">
        <f>SUM(C7:H7)</f>
        <v>72</v>
      </c>
      <c r="C7">
        <v>18</v>
      </c>
      <c r="D7">
        <v>18</v>
      </c>
      <c r="E7">
        <v>18</v>
      </c>
      <c r="F7">
        <v>18</v>
      </c>
      <c r="H7" s="12"/>
      <c r="I7" s="12"/>
      <c r="J7" s="201"/>
    </row>
    <row r="8" spans="2:10" ht="15.6" thickTop="1" thickBot="1" x14ac:dyDescent="0.35">
      <c r="B8" t="s">
        <v>73</v>
      </c>
      <c r="H8" s="12"/>
      <c r="I8" s="12"/>
      <c r="J8" s="201"/>
    </row>
    <row r="9" spans="2:10" ht="15.6" thickTop="1" thickBot="1" x14ac:dyDescent="0.35">
      <c r="B9">
        <v>72</v>
      </c>
      <c r="C9">
        <v>120</v>
      </c>
      <c r="D9">
        <v>0.6</v>
      </c>
      <c r="H9" s="12"/>
      <c r="I9" s="12"/>
      <c r="J9" s="201"/>
    </row>
    <row r="10" spans="2:10" ht="15.6" thickTop="1" thickBot="1" x14ac:dyDescent="0.35">
      <c r="H10" s="12"/>
      <c r="I10" s="12"/>
      <c r="J10" s="201"/>
    </row>
    <row r="11" spans="2:10" ht="15.6" thickTop="1" thickBot="1" x14ac:dyDescent="0.35">
      <c r="B11" s="13" t="s">
        <v>75</v>
      </c>
      <c r="C11">
        <v>4</v>
      </c>
      <c r="H11" s="12"/>
      <c r="I11" s="12"/>
      <c r="J11" s="201"/>
    </row>
    <row r="12" spans="2:10" ht="15" thickTop="1" x14ac:dyDescent="0.3">
      <c r="B12" s="13" t="s">
        <v>24</v>
      </c>
      <c r="C12">
        <v>5</v>
      </c>
    </row>
    <row r="13" spans="2:10" x14ac:dyDescent="0.3">
      <c r="B13" s="13" t="s">
        <v>76</v>
      </c>
      <c r="C13">
        <f>C11*C12</f>
        <v>20</v>
      </c>
    </row>
    <row r="14" spans="2:10" x14ac:dyDescent="0.3">
      <c r="B14" s="13" t="s">
        <v>77</v>
      </c>
      <c r="C14">
        <f>D4/C13</f>
        <v>50</v>
      </c>
    </row>
    <row r="15" spans="2:10" x14ac:dyDescent="0.3">
      <c r="B15" s="13" t="s">
        <v>21</v>
      </c>
      <c r="C15">
        <f>C14*D9</f>
        <v>30</v>
      </c>
    </row>
    <row r="16" spans="2:10" x14ac:dyDescent="0.3">
      <c r="B16" s="13" t="s">
        <v>78</v>
      </c>
      <c r="C16">
        <f>C15+2</f>
        <v>32</v>
      </c>
    </row>
    <row r="17" spans="2:11" x14ac:dyDescent="0.3">
      <c r="B17" s="13" t="s">
        <v>44</v>
      </c>
      <c r="C17">
        <f>C16+4</f>
        <v>36</v>
      </c>
    </row>
    <row r="18" spans="2:11" x14ac:dyDescent="0.3">
      <c r="B18" s="13" t="s">
        <v>79</v>
      </c>
      <c r="C18">
        <f>C17+4</f>
        <v>40</v>
      </c>
    </row>
    <row r="22" spans="2:11" x14ac:dyDescent="0.3">
      <c r="D22">
        <f>SUM(E22:N22)</f>
        <v>114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18</v>
      </c>
    </row>
  </sheetData>
  <mergeCells count="2">
    <mergeCell ref="H4:I4"/>
    <mergeCell ref="J5:J1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4"/>
  <sheetViews>
    <sheetView workbookViewId="0">
      <selection activeCell="G11" sqref="G11"/>
    </sheetView>
  </sheetViews>
  <sheetFormatPr defaultRowHeight="14.4" x14ac:dyDescent="0.3"/>
  <cols>
    <col min="2" max="2" width="11.109375" bestFit="1" customWidth="1"/>
    <col min="9" max="9" width="10.109375" bestFit="1" customWidth="1"/>
  </cols>
  <sheetData>
    <row r="1" spans="2:9" x14ac:dyDescent="0.3">
      <c r="G1" t="s">
        <v>5</v>
      </c>
      <c r="I1" t="s">
        <v>91</v>
      </c>
    </row>
    <row r="2" spans="2:9" x14ac:dyDescent="0.3">
      <c r="B2">
        <v>34</v>
      </c>
      <c r="C2">
        <v>1.06</v>
      </c>
      <c r="D2">
        <f>B2*C2</f>
        <v>36.04</v>
      </c>
      <c r="E2">
        <v>2</v>
      </c>
      <c r="F2">
        <v>3</v>
      </c>
      <c r="G2">
        <f>F2+E2+D2</f>
        <v>41.04</v>
      </c>
      <c r="H2">
        <v>3</v>
      </c>
      <c r="I2">
        <f>F2+E2+D2+H2</f>
        <v>44.04</v>
      </c>
    </row>
    <row r="4" spans="2:9" x14ac:dyDescent="0.3">
      <c r="B4" t="s">
        <v>0</v>
      </c>
      <c r="C4">
        <v>18</v>
      </c>
      <c r="D4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Y20"/>
  <sheetViews>
    <sheetView workbookViewId="0">
      <selection activeCell="J23" sqref="J23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2000</v>
      </c>
      <c r="E3">
        <f>$C$11/C3</f>
        <v>7.1111111111111107</v>
      </c>
      <c r="F3">
        <v>7</v>
      </c>
      <c r="G3">
        <f>D3/F3</f>
        <v>285.71428571428572</v>
      </c>
      <c r="H3">
        <f>B3*C3*D3</f>
        <v>504000</v>
      </c>
      <c r="I3">
        <f>H3/$H$8</f>
        <v>0.11170212765957446</v>
      </c>
      <c r="J3">
        <f>$F$11*I3</f>
        <v>38.52695744680851</v>
      </c>
      <c r="K3">
        <f>J3/D3</f>
        <v>1.9263478723404254E-2</v>
      </c>
      <c r="L3">
        <f>K3+0.003</f>
        <v>2.2263478723404253E-2</v>
      </c>
      <c r="M3">
        <f>L3+0.009</f>
        <v>3.126347872340425E-2</v>
      </c>
      <c r="N3" s="2">
        <v>2.232E-2</v>
      </c>
      <c r="O3" s="2">
        <v>23.7</v>
      </c>
    </row>
    <row r="4" spans="2:25" x14ac:dyDescent="0.3">
      <c r="B4">
        <v>16</v>
      </c>
      <c r="C4">
        <v>18</v>
      </c>
      <c r="D4">
        <v>5000</v>
      </c>
      <c r="E4">
        <f>$C$11/C4</f>
        <v>7.1111111111111107</v>
      </c>
      <c r="F4">
        <v>7</v>
      </c>
      <c r="G4">
        <f>D4/F4</f>
        <v>714.28571428571433</v>
      </c>
      <c r="H4">
        <f>B4*C4*D4</f>
        <v>1440000</v>
      </c>
      <c r="I4">
        <f>H4/$H$8</f>
        <v>0.31914893617021278</v>
      </c>
      <c r="J4">
        <f>$F$11*I4</f>
        <v>110.07702127659576</v>
      </c>
      <c r="K4">
        <f>J4/D4</f>
        <v>2.201540425531915E-2</v>
      </c>
      <c r="L4">
        <f>K4+0.003</f>
        <v>2.5015404255319149E-2</v>
      </c>
      <c r="M4">
        <f>L4+0.009</f>
        <v>3.4015404255319147E-2</v>
      </c>
      <c r="N4" s="2">
        <v>2.5000000000000001E-2</v>
      </c>
      <c r="O4" s="2">
        <v>25.6</v>
      </c>
    </row>
    <row r="5" spans="2:25" x14ac:dyDescent="0.3">
      <c r="B5">
        <v>18</v>
      </c>
      <c r="C5">
        <v>18</v>
      </c>
      <c r="D5">
        <v>2000</v>
      </c>
      <c r="E5">
        <f>$C$11/C5</f>
        <v>7.1111111111111107</v>
      </c>
      <c r="F5">
        <v>7</v>
      </c>
      <c r="G5">
        <f>D5/F5</f>
        <v>285.71428571428572</v>
      </c>
      <c r="H5">
        <f>B5*C5*D5</f>
        <v>648000</v>
      </c>
      <c r="I5">
        <f>H5/$H$8</f>
        <v>0.14361702127659576</v>
      </c>
      <c r="J5">
        <f>$F$11*I5</f>
        <v>49.534659574468094</v>
      </c>
      <c r="K5">
        <f>J5/D5</f>
        <v>2.4767329787234046E-2</v>
      </c>
      <c r="L5">
        <f>K5+0.003</f>
        <v>2.7767329787234046E-2</v>
      </c>
      <c r="M5">
        <f>L5+0.009</f>
        <v>3.6767329787234043E-2</v>
      </c>
      <c r="N5" s="2">
        <v>2.7678000000000001E-2</v>
      </c>
      <c r="O5" s="2">
        <v>29.2</v>
      </c>
    </row>
    <row r="6" spans="2:25" x14ac:dyDescent="0.3">
      <c r="B6">
        <v>18</v>
      </c>
      <c r="C6">
        <v>24</v>
      </c>
      <c r="D6">
        <v>2000</v>
      </c>
      <c r="E6">
        <f>$C$11/C6</f>
        <v>5.333333333333333</v>
      </c>
      <c r="F6">
        <v>5</v>
      </c>
      <c r="G6">
        <f>D6/F6</f>
        <v>400</v>
      </c>
      <c r="H6">
        <f>B6*C6*D6</f>
        <v>864000</v>
      </c>
      <c r="I6">
        <f>H6/$H$8</f>
        <v>0.19148936170212766</v>
      </c>
      <c r="J6">
        <f>$F$11*I6</f>
        <v>66.046212765957449</v>
      </c>
      <c r="K6">
        <f>J6/D6</f>
        <v>3.3023106382978722E-2</v>
      </c>
      <c r="L6">
        <f>K6+0.003</f>
        <v>3.6023106382978724E-2</v>
      </c>
      <c r="M6">
        <f>L6+0.009</f>
        <v>4.5023106382978725E-2</v>
      </c>
      <c r="N6" s="2">
        <v>3.5714000000000003E-2</v>
      </c>
    </row>
    <row r="7" spans="2:25" x14ac:dyDescent="0.3">
      <c r="B7">
        <v>22</v>
      </c>
      <c r="C7">
        <v>24</v>
      </c>
      <c r="D7">
        <v>2000</v>
      </c>
      <c r="E7">
        <f>$C$11/C7</f>
        <v>5.333333333333333</v>
      </c>
      <c r="F7">
        <v>5</v>
      </c>
      <c r="G7">
        <f>D7/F7</f>
        <v>400</v>
      </c>
      <c r="H7">
        <f>B7*C7*D7</f>
        <v>1056000</v>
      </c>
      <c r="I7">
        <f>H7/$H$8</f>
        <v>0.23404255319148937</v>
      </c>
      <c r="J7">
        <f>$F$11*I7</f>
        <v>80.723148936170219</v>
      </c>
      <c r="K7">
        <f>J7/D7</f>
        <v>4.036157446808511E-2</v>
      </c>
      <c r="L7">
        <f>K7+0.003</f>
        <v>4.3361574468085112E-2</v>
      </c>
      <c r="M7">
        <f>L7+0.009</f>
        <v>5.2361574468085113E-2</v>
      </c>
      <c r="N7" s="2">
        <v>4.0177999999999998E-2</v>
      </c>
    </row>
    <row r="8" spans="2:25" x14ac:dyDescent="0.3">
      <c r="H8">
        <f>SUM(H3:H7)</f>
        <v>4512000</v>
      </c>
      <c r="I8">
        <f>SUM(I3:I7)</f>
        <v>1</v>
      </c>
      <c r="J8">
        <f>SUM(J3:J7)</f>
        <v>344.90800000000002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326</v>
      </c>
      <c r="F11">
        <f>E11*D11</f>
        <v>344.90800000000002</v>
      </c>
    </row>
    <row r="12" spans="2:25" x14ac:dyDescent="0.3">
      <c r="T12" t="s">
        <v>47</v>
      </c>
      <c r="U12">
        <f>SUM(U15:U19)</f>
        <v>287</v>
      </c>
      <c r="V12">
        <f>SUM(V15:V19)</f>
        <v>719</v>
      </c>
      <c r="W12">
        <f>SUM(W15:W19)</f>
        <v>688</v>
      </c>
      <c r="X12">
        <f>SUM(X15:X19)</f>
        <v>400</v>
      </c>
      <c r="Y12">
        <f>SUM(Y15:Y19)</f>
        <v>0</v>
      </c>
    </row>
    <row r="13" spans="2:25" x14ac:dyDescent="0.3">
      <c r="T13" t="s">
        <v>11</v>
      </c>
      <c r="U13">
        <f>G3</f>
        <v>285.71428571428572</v>
      </c>
      <c r="V13">
        <f>G4</f>
        <v>714.28571428571433</v>
      </c>
      <c r="W13">
        <f>G5+G6</f>
        <v>685.71428571428578</v>
      </c>
      <c r="X13">
        <f>G7</f>
        <v>400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>
        <v>20</v>
      </c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>
        <v>22</v>
      </c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41</v>
      </c>
      <c r="U15">
        <f>$S$15*M15</f>
        <v>287</v>
      </c>
      <c r="V15">
        <f>$S$15*N15</f>
        <v>41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113</v>
      </c>
      <c r="U16">
        <f>$S$16*M16</f>
        <v>0</v>
      </c>
      <c r="V16">
        <f>$S$16*N16</f>
        <v>678</v>
      </c>
      <c r="W16">
        <f>$S$16*O16</f>
        <v>113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112</v>
      </c>
      <c r="C17">
        <v>18</v>
      </c>
      <c r="D17">
        <v>18</v>
      </c>
      <c r="E17">
        <v>18</v>
      </c>
      <c r="F17">
        <v>18</v>
      </c>
      <c r="G17">
        <v>18</v>
      </c>
      <c r="H17">
        <v>22</v>
      </c>
      <c r="O17">
        <v>5</v>
      </c>
      <c r="P17">
        <v>1</v>
      </c>
      <c r="S17">
        <v>115</v>
      </c>
      <c r="U17">
        <f>$S$17*M17</f>
        <v>0</v>
      </c>
      <c r="V17">
        <f>$S$17*N17</f>
        <v>0</v>
      </c>
      <c r="W17">
        <f>$S$17*O17</f>
        <v>575</v>
      </c>
      <c r="X17">
        <f>$S$17*P17</f>
        <v>115</v>
      </c>
      <c r="Y17">
        <f>$S$17*Q17</f>
        <v>0</v>
      </c>
    </row>
    <row r="18" spans="2:25" x14ac:dyDescent="0.3">
      <c r="B18">
        <f>SUM(C18:K18)</f>
        <v>110</v>
      </c>
      <c r="C18">
        <v>22</v>
      </c>
      <c r="D18">
        <v>22</v>
      </c>
      <c r="E18">
        <v>22</v>
      </c>
      <c r="F18">
        <v>22</v>
      </c>
      <c r="G18">
        <v>22</v>
      </c>
      <c r="P18">
        <v>5</v>
      </c>
      <c r="S18">
        <v>57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285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Y20"/>
  <sheetViews>
    <sheetView workbookViewId="0">
      <selection activeCell="R8" sqref="R8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  <c r="P2" t="s">
        <v>70</v>
      </c>
      <c r="Q2" t="s">
        <v>30</v>
      </c>
      <c r="R2" s="14">
        <v>0.5</v>
      </c>
    </row>
    <row r="3" spans="2:25" x14ac:dyDescent="0.3">
      <c r="B3">
        <v>14</v>
      </c>
      <c r="C3">
        <v>18</v>
      </c>
      <c r="D3">
        <v>2000</v>
      </c>
      <c r="E3">
        <f>$C$11/C3</f>
        <v>6.5555555555555554</v>
      </c>
      <c r="F3">
        <v>6</v>
      </c>
      <c r="G3">
        <f>D3/F3</f>
        <v>333.33333333333331</v>
      </c>
      <c r="H3">
        <f>B3*C3*D3</f>
        <v>504000</v>
      </c>
      <c r="I3">
        <f>H3/$H$8</f>
        <v>0.15979708306911858</v>
      </c>
      <c r="J3">
        <f>$F$11*I3</f>
        <v>16.107545973367152</v>
      </c>
      <c r="K3">
        <f>J3/D3</f>
        <v>8.0537729866835758E-3</v>
      </c>
      <c r="L3">
        <f>K3+0.003</f>
        <v>1.1053772986683575E-2</v>
      </c>
      <c r="M3">
        <f t="shared" ref="M3:M8" si="0">L3+0.008</f>
        <v>1.9053772986683575E-2</v>
      </c>
      <c r="N3" s="2">
        <v>2.232E-2</v>
      </c>
      <c r="O3" s="2">
        <v>2.2200000000000001E-2</v>
      </c>
      <c r="P3">
        <f>O3*D3</f>
        <v>44.4</v>
      </c>
    </row>
    <row r="4" spans="2:25" x14ac:dyDescent="0.3">
      <c r="B4">
        <v>16</v>
      </c>
      <c r="C4">
        <v>18</v>
      </c>
      <c r="D4">
        <v>2000</v>
      </c>
      <c r="E4">
        <f>$C$11/C4</f>
        <v>6.5555555555555554</v>
      </c>
      <c r="F4">
        <v>6</v>
      </c>
      <c r="G4">
        <f>D4/F4</f>
        <v>333.33333333333331</v>
      </c>
      <c r="H4">
        <f>B4*C4*D4</f>
        <v>576000</v>
      </c>
      <c r="I4">
        <f>H4/$H$8</f>
        <v>0.18262523779327838</v>
      </c>
      <c r="J4">
        <f>$F$11*I4</f>
        <v>18.408623969562459</v>
      </c>
      <c r="K4">
        <f>J4/D4</f>
        <v>9.2043119847812303E-3</v>
      </c>
      <c r="L4">
        <f>K4+0.003</f>
        <v>1.2204311984781231E-2</v>
      </c>
      <c r="M4">
        <f t="shared" si="0"/>
        <v>2.0204311984781231E-2</v>
      </c>
      <c r="N4" s="2">
        <v>2.5000000000000001E-2</v>
      </c>
      <c r="O4" s="2">
        <v>2.4899999999999999E-2</v>
      </c>
      <c r="P4">
        <f>O4*D4</f>
        <v>49.8</v>
      </c>
    </row>
    <row r="5" spans="2:25" x14ac:dyDescent="0.3">
      <c r="B5">
        <v>18</v>
      </c>
      <c r="C5">
        <v>18</v>
      </c>
      <c r="D5">
        <v>2000</v>
      </c>
      <c r="E5">
        <f>$C$11/C5</f>
        <v>6.5555555555555554</v>
      </c>
      <c r="F5">
        <v>6</v>
      </c>
      <c r="G5">
        <f>D5/F5</f>
        <v>333.33333333333331</v>
      </c>
      <c r="H5">
        <f>B5*C5*D5</f>
        <v>648000</v>
      </c>
      <c r="I5">
        <f>H5/$H$8</f>
        <v>0.20545339251743816</v>
      </c>
      <c r="J5">
        <f>$F$11*I5</f>
        <v>20.709701965757766</v>
      </c>
      <c r="K5">
        <f>J5/D5</f>
        <v>1.0354850982878883E-2</v>
      </c>
      <c r="L5">
        <f>K5+0.003</f>
        <v>1.3354850982878884E-2</v>
      </c>
      <c r="M5">
        <f t="shared" si="0"/>
        <v>2.1354850982878884E-2</v>
      </c>
      <c r="N5" s="2">
        <v>2.7678000000000001E-2</v>
      </c>
      <c r="O5" s="2">
        <v>2.75E-2</v>
      </c>
      <c r="P5">
        <f>O5*D5</f>
        <v>55</v>
      </c>
    </row>
    <row r="6" spans="2:25" x14ac:dyDescent="0.3">
      <c r="B6">
        <v>18</v>
      </c>
      <c r="C6">
        <v>23</v>
      </c>
      <c r="D6">
        <v>1000</v>
      </c>
      <c r="E6">
        <f>$C$11/C6</f>
        <v>5.1304347826086953</v>
      </c>
      <c r="F6">
        <v>5</v>
      </c>
      <c r="G6">
        <f>D6/F6</f>
        <v>200</v>
      </c>
      <c r="H6">
        <f>B6*C6*D6</f>
        <v>414000</v>
      </c>
      <c r="I6">
        <f>H6/$H$8</f>
        <v>0.13126188966391883</v>
      </c>
      <c r="J6">
        <f>$F$11*I6</f>
        <v>13.231198478123018</v>
      </c>
      <c r="K6">
        <f>J6/D6</f>
        <v>1.3231198478123018E-2</v>
      </c>
      <c r="L6">
        <f>K6+0.003</f>
        <v>1.6231198478123019E-2</v>
      </c>
      <c r="M6">
        <f t="shared" si="0"/>
        <v>2.4231198478123019E-2</v>
      </c>
      <c r="N6" s="2">
        <v>3.5714000000000003E-2</v>
      </c>
      <c r="O6" s="2">
        <v>3.44E-2</v>
      </c>
      <c r="P6">
        <f>O6*D6</f>
        <v>34.4</v>
      </c>
    </row>
    <row r="7" spans="2:25" x14ac:dyDescent="0.3">
      <c r="B7">
        <v>22</v>
      </c>
      <c r="C7">
        <v>23</v>
      </c>
      <c r="D7">
        <v>2000</v>
      </c>
      <c r="E7">
        <f>$C$11/C7</f>
        <v>5.1304347826086953</v>
      </c>
      <c r="F7">
        <v>5</v>
      </c>
      <c r="G7">
        <f>D7/F7</f>
        <v>400</v>
      </c>
      <c r="H7">
        <f>B7*C7*D7</f>
        <v>1012000</v>
      </c>
      <c r="I7">
        <f>H7/$H$8</f>
        <v>0.32086239695624602</v>
      </c>
      <c r="J7">
        <f>$F$11*I7</f>
        <v>32.342929613189597</v>
      </c>
      <c r="K7">
        <f>J7/D7</f>
        <v>1.6171464806594798E-2</v>
      </c>
      <c r="L7">
        <f>K7+0.003</f>
        <v>1.9171464806594797E-2</v>
      </c>
      <c r="M7">
        <f t="shared" si="0"/>
        <v>2.7171464806594797E-2</v>
      </c>
      <c r="N7" s="2">
        <v>4.0177999999999998E-2</v>
      </c>
      <c r="O7" s="2">
        <v>3.95E-2</v>
      </c>
      <c r="P7">
        <f>O7*D7</f>
        <v>79</v>
      </c>
    </row>
    <row r="8" spans="2:25" s="2" customFormat="1" x14ac:dyDescent="0.3">
      <c r="D8" s="2">
        <f>SUM(D3:D7)</f>
        <v>9000</v>
      </c>
      <c r="H8" s="2">
        <f>SUM(H3:H7)</f>
        <v>3154000</v>
      </c>
      <c r="I8" s="2">
        <f>SUM(I3:I7)</f>
        <v>1</v>
      </c>
      <c r="J8" s="2">
        <f>SUM(J3:J7)</f>
        <v>100.79999999999998</v>
      </c>
      <c r="L8" s="2">
        <f>0.003*D8</f>
        <v>27</v>
      </c>
      <c r="M8" s="2">
        <f t="shared" si="0"/>
        <v>27.007999999999999</v>
      </c>
      <c r="P8" s="2">
        <f>SUM(P3:P7)</f>
        <v>262.60000000000002</v>
      </c>
      <c r="Q8" s="2">
        <f>P8-L8-J8</f>
        <v>134.80000000000004</v>
      </c>
      <c r="R8" s="2">
        <f>Q8/2</f>
        <v>67.40000000000002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168</v>
      </c>
      <c r="F11">
        <f>E11*D11</f>
        <v>100.8</v>
      </c>
    </row>
    <row r="12" spans="2:25" x14ac:dyDescent="0.3">
      <c r="T12" t="s">
        <v>47</v>
      </c>
      <c r="U12">
        <f>SUM(U15:U19)</f>
        <v>168</v>
      </c>
      <c r="V12">
        <f>SUM(V15:V19)</f>
        <v>171</v>
      </c>
      <c r="W12">
        <f>SUM(W15:W19)</f>
        <v>367</v>
      </c>
      <c r="X12">
        <f>SUM(X15:X19)</f>
        <v>201</v>
      </c>
      <c r="Y12">
        <f>SUM(Y15:Y19)</f>
        <v>0</v>
      </c>
    </row>
    <row r="13" spans="2:25" x14ac:dyDescent="0.3">
      <c r="T13" t="s">
        <v>11</v>
      </c>
      <c r="U13">
        <f>G3</f>
        <v>333.33333333333331</v>
      </c>
      <c r="V13">
        <f>G4</f>
        <v>333.33333333333331</v>
      </c>
      <c r="W13">
        <f>G5+G6</f>
        <v>533.33333333333326</v>
      </c>
      <c r="X13">
        <f>G7</f>
        <v>400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/>
    </row>
    <row r="15" spans="2:25" x14ac:dyDescent="0.3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24</v>
      </c>
      <c r="U15">
        <f>$S$15*M15</f>
        <v>168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98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18</v>
      </c>
      <c r="N16">
        <v>5</v>
      </c>
      <c r="O16">
        <v>1</v>
      </c>
      <c r="S16">
        <v>19</v>
      </c>
      <c r="U16">
        <f>$S$16*M16</f>
        <v>0</v>
      </c>
      <c r="V16">
        <f>$S$16*N16</f>
        <v>95</v>
      </c>
      <c r="W16">
        <f>$S$16*O16</f>
        <v>19</v>
      </c>
      <c r="X16">
        <f>$S$16*P16</f>
        <v>0</v>
      </c>
      <c r="Y16">
        <f>$S$16*Q16</f>
        <v>0</v>
      </c>
    </row>
    <row r="17" spans="2:25" x14ac:dyDescent="0.3">
      <c r="B17">
        <f>SUM(C17:K17)</f>
        <v>94</v>
      </c>
      <c r="C17">
        <v>18</v>
      </c>
      <c r="D17">
        <v>18</v>
      </c>
      <c r="E17">
        <v>18</v>
      </c>
      <c r="F17">
        <v>18</v>
      </c>
      <c r="G17">
        <v>22</v>
      </c>
      <c r="O17">
        <v>4</v>
      </c>
      <c r="P17">
        <v>1</v>
      </c>
      <c r="S17">
        <v>87</v>
      </c>
      <c r="U17">
        <f>$S$17*M17</f>
        <v>0</v>
      </c>
      <c r="V17">
        <f>$S$17*N17</f>
        <v>0</v>
      </c>
      <c r="W17">
        <f>$S$17*O17</f>
        <v>348</v>
      </c>
      <c r="X17">
        <f>$S$17*P17</f>
        <v>87</v>
      </c>
      <c r="Y17">
        <f>$S$17*Q17</f>
        <v>0</v>
      </c>
    </row>
    <row r="18" spans="2:25" x14ac:dyDescent="0.3">
      <c r="B18">
        <f>SUM(C18:K18)</f>
        <v>98</v>
      </c>
      <c r="C18">
        <v>22</v>
      </c>
      <c r="D18">
        <v>22</v>
      </c>
      <c r="E18">
        <v>22</v>
      </c>
      <c r="F18">
        <v>16</v>
      </c>
      <c r="G18">
        <v>16</v>
      </c>
      <c r="N18">
        <v>2</v>
      </c>
      <c r="P18">
        <v>3</v>
      </c>
      <c r="S18">
        <v>38</v>
      </c>
      <c r="U18">
        <f>$S$18*M18</f>
        <v>0</v>
      </c>
      <c r="V18">
        <f>$S$18*N18</f>
        <v>76</v>
      </c>
      <c r="W18">
        <f>$S$18*O18</f>
        <v>0</v>
      </c>
      <c r="X18">
        <f>$S$18*P18</f>
        <v>114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8"/>
  <sheetViews>
    <sheetView workbookViewId="0">
      <selection sqref="A1:XFD1048576"/>
    </sheetView>
  </sheetViews>
  <sheetFormatPr defaultRowHeight="14.4" x14ac:dyDescent="0.3"/>
  <cols>
    <col min="2" max="2" width="9.33203125" bestFit="1" customWidth="1"/>
    <col min="3" max="3" width="9.88671875" customWidth="1"/>
    <col min="4" max="18" width="7.6640625" customWidth="1"/>
    <col min="19" max="19" width="9.33203125" bestFit="1" customWidth="1"/>
    <col min="20" max="24" width="7.6640625" customWidth="1"/>
  </cols>
  <sheetData>
    <row r="1" spans="2:24" x14ac:dyDescent="0.3">
      <c r="B1" t="s">
        <v>94</v>
      </c>
      <c r="I1" t="s">
        <v>7</v>
      </c>
      <c r="K1" t="s">
        <v>15</v>
      </c>
      <c r="L1" t="s">
        <v>3</v>
      </c>
      <c r="M1" t="s">
        <v>70</v>
      </c>
      <c r="P1" t="s">
        <v>24</v>
      </c>
    </row>
    <row r="2" spans="2:24" x14ac:dyDescent="0.3">
      <c r="C2" t="s">
        <v>1</v>
      </c>
      <c r="D2" t="s">
        <v>2</v>
      </c>
      <c r="F2" t="s">
        <v>15</v>
      </c>
      <c r="G2" t="s">
        <v>70</v>
      </c>
      <c r="I2">
        <v>62</v>
      </c>
      <c r="J2">
        <v>120</v>
      </c>
      <c r="K2">
        <v>0.6</v>
      </c>
      <c r="L2">
        <f>S10+S13+S14</f>
        <v>1056</v>
      </c>
      <c r="M2">
        <f>L2*K2</f>
        <v>633.6</v>
      </c>
      <c r="Q2" t="s">
        <v>64</v>
      </c>
    </row>
    <row r="3" spans="2:24" x14ac:dyDescent="0.3">
      <c r="B3" t="s">
        <v>95</v>
      </c>
      <c r="C3">
        <v>13</v>
      </c>
      <c r="D3">
        <v>17</v>
      </c>
      <c r="E3">
        <v>14000</v>
      </c>
      <c r="F3">
        <v>25.4</v>
      </c>
      <c r="G3">
        <f>F3*E3/1000</f>
        <v>355.6</v>
      </c>
      <c r="I3">
        <v>72</v>
      </c>
      <c r="J3">
        <v>120</v>
      </c>
      <c r="K3">
        <v>0.55000000000000004</v>
      </c>
      <c r="L3">
        <f>S11+S12</f>
        <v>389</v>
      </c>
      <c r="M3">
        <f>L3*K3</f>
        <v>213.95000000000002</v>
      </c>
      <c r="P3">
        <v>7</v>
      </c>
      <c r="Q3">
        <f>E3/P3</f>
        <v>2000</v>
      </c>
      <c r="R3">
        <v>2000</v>
      </c>
    </row>
    <row r="4" spans="2:24" x14ac:dyDescent="0.3">
      <c r="B4" t="s">
        <v>95</v>
      </c>
      <c r="C4">
        <v>14</v>
      </c>
      <c r="D4">
        <v>17</v>
      </c>
      <c r="E4">
        <v>14000</v>
      </c>
      <c r="F4">
        <v>28.4</v>
      </c>
      <c r="G4">
        <f>F4*E4/1000</f>
        <v>397.6</v>
      </c>
      <c r="K4" s="2"/>
      <c r="M4" s="2">
        <f>SUM(M2:M3)</f>
        <v>847.55000000000007</v>
      </c>
      <c r="P4">
        <v>7</v>
      </c>
      <c r="Q4">
        <f>E4/P4</f>
        <v>2000</v>
      </c>
      <c r="R4">
        <v>2000</v>
      </c>
    </row>
    <row r="5" spans="2:24" x14ac:dyDescent="0.3">
      <c r="B5" t="s">
        <v>95</v>
      </c>
      <c r="C5">
        <v>20</v>
      </c>
      <c r="D5">
        <v>10</v>
      </c>
      <c r="E5">
        <v>8000</v>
      </c>
      <c r="F5">
        <v>24.7</v>
      </c>
      <c r="G5">
        <f>F5*E5/1000</f>
        <v>197.6</v>
      </c>
      <c r="P5">
        <v>12</v>
      </c>
      <c r="Q5">
        <f>E5/P5</f>
        <v>666.66666666666663</v>
      </c>
      <c r="R5">
        <v>667</v>
      </c>
    </row>
    <row r="6" spans="2:24" x14ac:dyDescent="0.3">
      <c r="B6" t="s">
        <v>95</v>
      </c>
      <c r="C6">
        <v>22</v>
      </c>
      <c r="D6">
        <v>10</v>
      </c>
      <c r="E6">
        <v>10000</v>
      </c>
      <c r="F6">
        <v>24.349999999999998</v>
      </c>
      <c r="G6">
        <f>F6*E6/1000</f>
        <v>243.49999999999997</v>
      </c>
      <c r="P6">
        <v>12</v>
      </c>
      <c r="Q6">
        <f>E6/P6</f>
        <v>833.33333333333337</v>
      </c>
      <c r="R6">
        <v>834</v>
      </c>
      <c r="S6" s="2" t="s">
        <v>41</v>
      </c>
      <c r="T6" s="2"/>
      <c r="U6" s="2"/>
      <c r="V6" s="2">
        <f>V7-V8</f>
        <v>222</v>
      </c>
    </row>
    <row r="7" spans="2:24" x14ac:dyDescent="0.3">
      <c r="B7" t="s">
        <v>95</v>
      </c>
      <c r="C7">
        <v>24</v>
      </c>
      <c r="D7">
        <v>10</v>
      </c>
      <c r="E7">
        <v>5000</v>
      </c>
      <c r="F7">
        <v>30.4</v>
      </c>
      <c r="G7">
        <f>F7*E7/1000</f>
        <v>152</v>
      </c>
      <c r="P7">
        <v>12</v>
      </c>
      <c r="Q7">
        <f>E7/P7</f>
        <v>416.66666666666669</v>
      </c>
      <c r="R7">
        <v>417</v>
      </c>
      <c r="S7" t="s">
        <v>47</v>
      </c>
      <c r="T7">
        <f>SUM(T10:T14)</f>
        <v>2000</v>
      </c>
      <c r="U7">
        <f>SUM(U10:U14)</f>
        <v>2001</v>
      </c>
      <c r="V7">
        <f>SUM(V10:V14)</f>
        <v>889</v>
      </c>
      <c r="W7">
        <f>SUM(W10:W14)</f>
        <v>834</v>
      </c>
      <c r="X7">
        <f>SUM(X10:X14)</f>
        <v>417</v>
      </c>
    </row>
    <row r="8" spans="2:24" x14ac:dyDescent="0.3">
      <c r="E8" s="2">
        <f>SUM(E3:E7)</f>
        <v>51000</v>
      </c>
      <c r="G8" s="2">
        <f>SUM(G3:G7)</f>
        <v>1346.3</v>
      </c>
      <c r="S8" t="s">
        <v>11</v>
      </c>
      <c r="T8">
        <f>R3</f>
        <v>2000</v>
      </c>
      <c r="U8">
        <f>R4</f>
        <v>2000</v>
      </c>
      <c r="V8">
        <f>R5</f>
        <v>667</v>
      </c>
      <c r="W8">
        <f>R6</f>
        <v>834</v>
      </c>
      <c r="X8">
        <f>R7</f>
        <v>417</v>
      </c>
    </row>
    <row r="9" spans="2:24" x14ac:dyDescent="0.3">
      <c r="B9" t="s">
        <v>96</v>
      </c>
      <c r="M9">
        <v>13</v>
      </c>
      <c r="N9">
        <v>14</v>
      </c>
      <c r="O9">
        <v>20</v>
      </c>
      <c r="P9">
        <v>22</v>
      </c>
      <c r="Q9">
        <v>24</v>
      </c>
      <c r="S9" s="2" t="s">
        <v>7</v>
      </c>
      <c r="T9" s="2">
        <v>13</v>
      </c>
      <c r="U9" s="2">
        <v>14</v>
      </c>
      <c r="V9" s="2">
        <v>20</v>
      </c>
      <c r="W9" s="2">
        <v>22</v>
      </c>
      <c r="X9" s="2">
        <v>24</v>
      </c>
    </row>
    <row r="10" spans="2:24" x14ac:dyDescent="0.3">
      <c r="B10" s="2">
        <f>SUM(C10:K10)</f>
        <v>72</v>
      </c>
      <c r="C10">
        <v>13</v>
      </c>
      <c r="D10">
        <v>13</v>
      </c>
      <c r="E10">
        <v>13</v>
      </c>
      <c r="F10">
        <v>13</v>
      </c>
      <c r="G10">
        <v>20</v>
      </c>
      <c r="M10">
        <v>4</v>
      </c>
      <c r="O10">
        <v>1</v>
      </c>
      <c r="S10" s="2">
        <v>500</v>
      </c>
      <c r="T10">
        <f>$S$10*M10</f>
        <v>2000</v>
      </c>
      <c r="U10">
        <f>$S$10*N10</f>
        <v>0</v>
      </c>
      <c r="V10">
        <f>$S$10*O10</f>
        <v>500</v>
      </c>
      <c r="W10">
        <f>$S$10*P10</f>
        <v>0</v>
      </c>
      <c r="X10">
        <f>$S$10*Q10</f>
        <v>0</v>
      </c>
    </row>
    <row r="11" spans="2:24" x14ac:dyDescent="0.3">
      <c r="B11" s="2">
        <f>SUM(C11:K11)</f>
        <v>62</v>
      </c>
      <c r="C11">
        <v>14</v>
      </c>
      <c r="D11">
        <v>14</v>
      </c>
      <c r="E11">
        <v>14</v>
      </c>
      <c r="F11">
        <v>20</v>
      </c>
      <c r="N11">
        <v>3</v>
      </c>
      <c r="O11">
        <v>1</v>
      </c>
      <c r="S11" s="2">
        <v>389</v>
      </c>
      <c r="T11">
        <f>$S$11*M11</f>
        <v>0</v>
      </c>
      <c r="U11">
        <f>$S$11*N11</f>
        <v>1167</v>
      </c>
      <c r="V11">
        <f>$S$11*O11</f>
        <v>389</v>
      </c>
      <c r="W11">
        <f>$S$11*P11</f>
        <v>0</v>
      </c>
      <c r="X11">
        <f>$S$11*Q11</f>
        <v>0</v>
      </c>
    </row>
    <row r="12" spans="2:24" x14ac:dyDescent="0.3">
      <c r="B12" s="2">
        <f>SUM(C12:K12)</f>
        <v>62</v>
      </c>
      <c r="C12">
        <v>20</v>
      </c>
      <c r="D12">
        <v>20</v>
      </c>
      <c r="E12">
        <v>22</v>
      </c>
      <c r="O12">
        <v>2</v>
      </c>
      <c r="P12">
        <v>1</v>
      </c>
      <c r="S12" s="2">
        <v>0</v>
      </c>
      <c r="T12">
        <f>$S$12*M12</f>
        <v>0</v>
      </c>
      <c r="U12">
        <f>$S$12*N12</f>
        <v>0</v>
      </c>
      <c r="V12">
        <f>$S$12*O12</f>
        <v>0</v>
      </c>
      <c r="W12">
        <f>$S$12*P12</f>
        <v>0</v>
      </c>
      <c r="X12">
        <f>$S$12*Q12</f>
        <v>0</v>
      </c>
    </row>
    <row r="13" spans="2:24" x14ac:dyDescent="0.3">
      <c r="B13" s="2">
        <f>SUM(C13:K13)</f>
        <v>72</v>
      </c>
      <c r="C13">
        <v>22</v>
      </c>
      <c r="D13">
        <v>22</v>
      </c>
      <c r="E13">
        <v>14</v>
      </c>
      <c r="F13">
        <v>14</v>
      </c>
      <c r="N13">
        <v>2</v>
      </c>
      <c r="P13">
        <v>2</v>
      </c>
      <c r="S13" s="2">
        <v>417</v>
      </c>
      <c r="T13">
        <f>$S$13*M13</f>
        <v>0</v>
      </c>
      <c r="U13">
        <f>$S$13*N13</f>
        <v>834</v>
      </c>
      <c r="V13">
        <f>$S$13*O13</f>
        <v>0</v>
      </c>
      <c r="W13">
        <f>$S$13*P13</f>
        <v>834</v>
      </c>
      <c r="X13">
        <f>$S$13*Q13</f>
        <v>0</v>
      </c>
    </row>
    <row r="14" spans="2:24" x14ac:dyDescent="0.3">
      <c r="B14" s="2">
        <f>SUM(C14:K14)</f>
        <v>72</v>
      </c>
      <c r="C14">
        <v>24</v>
      </c>
      <c r="D14">
        <v>24</v>
      </c>
      <c r="E14">
        <v>24</v>
      </c>
      <c r="Q14">
        <v>3</v>
      </c>
      <c r="S14" s="2">
        <v>139</v>
      </c>
      <c r="T14">
        <f>$S$14*M14</f>
        <v>0</v>
      </c>
      <c r="U14">
        <f>$S$14*N14</f>
        <v>0</v>
      </c>
      <c r="V14">
        <f>$S$14*O14</f>
        <v>0</v>
      </c>
      <c r="W14">
        <f>$S$14*P14</f>
        <v>0</v>
      </c>
      <c r="X14">
        <f>$S$14*Q14</f>
        <v>417</v>
      </c>
    </row>
    <row r="15" spans="2:24" x14ac:dyDescent="0.3">
      <c r="S15" s="2" t="s">
        <v>7</v>
      </c>
    </row>
    <row r="16" spans="2:24" x14ac:dyDescent="0.3">
      <c r="C16" s="2" t="s">
        <v>30</v>
      </c>
    </row>
    <row r="17" spans="2:4" x14ac:dyDescent="0.3">
      <c r="B17" s="2" t="s">
        <v>97</v>
      </c>
      <c r="D17" s="2" t="s">
        <v>98</v>
      </c>
    </row>
    <row r="18" spans="2:4" x14ac:dyDescent="0.3">
      <c r="B18" s="2">
        <f>E8*2/1000</f>
        <v>102</v>
      </c>
      <c r="C18">
        <f>G8-M4-B18</f>
        <v>396.74999999999989</v>
      </c>
      <c r="D18" s="2">
        <f>C18/2</f>
        <v>198.37499999999994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Y24"/>
  <sheetViews>
    <sheetView topLeftCell="A8" workbookViewId="0">
      <selection activeCell="E26" sqref="E26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12</v>
      </c>
      <c r="C3">
        <v>15</v>
      </c>
      <c r="D3">
        <v>4000</v>
      </c>
      <c r="E3">
        <f>$C$11/C3</f>
        <v>7.8666666666666663</v>
      </c>
      <c r="F3">
        <v>8</v>
      </c>
      <c r="G3">
        <f>D3/F3</f>
        <v>500</v>
      </c>
      <c r="H3">
        <f>B3*C3*D3</f>
        <v>720000</v>
      </c>
      <c r="I3">
        <f>H3/$H$8</f>
        <v>0.13729977116704806</v>
      </c>
      <c r="J3">
        <f>$F$11*I3</f>
        <v>37.729977116704809</v>
      </c>
      <c r="K3">
        <f>J3/D3</f>
        <v>9.4324942791762026E-3</v>
      </c>
      <c r="L3">
        <f>K3+0.003</f>
        <v>1.2432494279176202E-2</v>
      </c>
      <c r="M3">
        <f>L3+0.008</f>
        <v>2.0432494279176202E-2</v>
      </c>
      <c r="N3" s="2">
        <v>1.9E-2</v>
      </c>
      <c r="O3" s="2"/>
    </row>
    <row r="4" spans="2:25" x14ac:dyDescent="0.3">
      <c r="B4">
        <v>14</v>
      </c>
      <c r="C4">
        <v>14</v>
      </c>
      <c r="D4">
        <v>8000</v>
      </c>
      <c r="E4">
        <f>$C$11/C4</f>
        <v>8.4285714285714288</v>
      </c>
      <c r="F4">
        <v>8</v>
      </c>
      <c r="G4">
        <f>D4/F4</f>
        <v>1000</v>
      </c>
      <c r="H4">
        <f>B4*C4*D4</f>
        <v>1568000</v>
      </c>
      <c r="I4">
        <f>H4/$H$8</f>
        <v>0.2990083905415713</v>
      </c>
      <c r="J4">
        <f>$F$11*I4</f>
        <v>82.167505720823797</v>
      </c>
      <c r="K4">
        <f>J4/D4</f>
        <v>1.0270938215102974E-2</v>
      </c>
      <c r="L4">
        <f>K4+0.003</f>
        <v>1.3270938215102973E-2</v>
      </c>
      <c r="M4">
        <f>L4+0.008</f>
        <v>2.1270938215102973E-2</v>
      </c>
      <c r="N4" s="2">
        <v>0.02</v>
      </c>
      <c r="O4" s="2"/>
    </row>
    <row r="5" spans="2:25" x14ac:dyDescent="0.3">
      <c r="B5">
        <v>15</v>
      </c>
      <c r="C5">
        <v>15</v>
      </c>
      <c r="D5">
        <v>8000</v>
      </c>
      <c r="E5">
        <f>$C$11/C5</f>
        <v>7.8666666666666663</v>
      </c>
      <c r="F5">
        <v>8</v>
      </c>
      <c r="G5">
        <f>D5/F5</f>
        <v>1000</v>
      </c>
      <c r="H5">
        <f>B5*C5*D5</f>
        <v>1800000</v>
      </c>
      <c r="I5">
        <f>H5/$H$8</f>
        <v>0.34324942791762014</v>
      </c>
      <c r="J5">
        <f>$F$11*I5</f>
        <v>94.324942791762012</v>
      </c>
      <c r="K5">
        <f>J5/D5</f>
        <v>1.1790617848970252E-2</v>
      </c>
      <c r="L5">
        <f>K5+0.003</f>
        <v>1.4790617848970251E-2</v>
      </c>
      <c r="M5">
        <f>L5+0.008</f>
        <v>2.2790617848970251E-2</v>
      </c>
      <c r="N5" s="2">
        <v>2.2499999999999999E-2</v>
      </c>
      <c r="O5" s="2"/>
    </row>
    <row r="6" spans="2:25" x14ac:dyDescent="0.3">
      <c r="B6">
        <v>17</v>
      </c>
      <c r="C6">
        <v>17</v>
      </c>
      <c r="D6">
        <v>4000</v>
      </c>
      <c r="E6">
        <f>$C$11/C6</f>
        <v>6.9411764705882355</v>
      </c>
      <c r="F6">
        <v>7</v>
      </c>
      <c r="G6">
        <f>D6/F6</f>
        <v>571.42857142857144</v>
      </c>
      <c r="H6">
        <f>B6*C6*D6</f>
        <v>1156000</v>
      </c>
      <c r="I6">
        <f>H6/$H$8</f>
        <v>0.2204424103737605</v>
      </c>
      <c r="J6">
        <f>$F$11*I6</f>
        <v>60.577574370709385</v>
      </c>
      <c r="K6">
        <f>J6/D6</f>
        <v>1.5144393592677345E-2</v>
      </c>
      <c r="L6">
        <f>K6+0.003</f>
        <v>1.8144393592677346E-2</v>
      </c>
      <c r="M6">
        <f>L6+0.008</f>
        <v>2.6144393592677347E-2</v>
      </c>
      <c r="N6" s="2">
        <v>2.6100000000000002E-2</v>
      </c>
    </row>
    <row r="7" spans="2:25" x14ac:dyDescent="0.3">
      <c r="N7" s="2"/>
    </row>
    <row r="8" spans="2:25" x14ac:dyDescent="0.3">
      <c r="H8">
        <f>SUM(H3:H7)</f>
        <v>5244000</v>
      </c>
      <c r="I8">
        <f>SUM(I3:I7)</f>
        <v>1</v>
      </c>
      <c r="J8">
        <f>SUM(J3:J7)</f>
        <v>274.8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458</v>
      </c>
      <c r="F11">
        <f>E11*D11</f>
        <v>274.8</v>
      </c>
    </row>
    <row r="12" spans="2:25" x14ac:dyDescent="0.3">
      <c r="T12" t="s">
        <v>47</v>
      </c>
      <c r="U12">
        <f>SUM(U15:U19)</f>
        <v>515</v>
      </c>
      <c r="V12">
        <f>SUM(V15:V19)</f>
        <v>1001</v>
      </c>
      <c r="W12">
        <f>SUM(W15:W19)</f>
        <v>1000</v>
      </c>
      <c r="X12">
        <f>SUM(X15:X19)</f>
        <v>575</v>
      </c>
      <c r="Y12">
        <f>SUM(Y15:Y19)</f>
        <v>0</v>
      </c>
    </row>
    <row r="13" spans="2:25" x14ac:dyDescent="0.3">
      <c r="T13" t="s">
        <v>11</v>
      </c>
      <c r="U13">
        <f>G3</f>
        <v>500</v>
      </c>
      <c r="V13">
        <f>G4</f>
        <v>1000</v>
      </c>
      <c r="W13">
        <f>G5</f>
        <v>1000</v>
      </c>
      <c r="X13">
        <f>G6</f>
        <v>571.42857142857144</v>
      </c>
    </row>
    <row r="14" spans="2:25" x14ac:dyDescent="0.3">
      <c r="B14" t="s">
        <v>121</v>
      </c>
      <c r="M14" s="2">
        <v>12</v>
      </c>
      <c r="N14" s="2">
        <v>14</v>
      </c>
      <c r="O14" s="2">
        <v>15</v>
      </c>
      <c r="P14" s="2">
        <v>17</v>
      </c>
      <c r="Q14" s="2"/>
      <c r="R14" s="2"/>
      <c r="S14" s="2" t="s">
        <v>7</v>
      </c>
      <c r="U14" s="2">
        <v>13</v>
      </c>
      <c r="V14" s="2">
        <v>14</v>
      </c>
      <c r="W14" s="2">
        <v>15</v>
      </c>
      <c r="X14" s="2">
        <v>17</v>
      </c>
      <c r="Y14" s="2">
        <v>23</v>
      </c>
    </row>
    <row r="15" spans="2:25" x14ac:dyDescent="0.3">
      <c r="B15">
        <f>SUM(C15:K15)</f>
        <v>96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M15">
        <v>8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98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N16">
        <v>7</v>
      </c>
      <c r="S16">
        <v>143</v>
      </c>
      <c r="U16">
        <f>$S$16*M16</f>
        <v>0</v>
      </c>
      <c r="V16">
        <f>$S$16*N16</f>
        <v>1001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99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12</v>
      </c>
      <c r="I17">
        <v>12</v>
      </c>
      <c r="M17">
        <v>2</v>
      </c>
      <c r="O17">
        <v>5</v>
      </c>
      <c r="S17">
        <v>200</v>
      </c>
      <c r="U17">
        <f>$S$17*M17</f>
        <v>400</v>
      </c>
      <c r="V17">
        <f>$S$17*N17</f>
        <v>0</v>
      </c>
      <c r="W17">
        <f>$S$17*O17</f>
        <v>1000</v>
      </c>
      <c r="X17">
        <f>$S$17*P17</f>
        <v>0</v>
      </c>
      <c r="Y17">
        <f>$S$17*Q17</f>
        <v>0</v>
      </c>
    </row>
    <row r="18" spans="2:25" x14ac:dyDescent="0.3">
      <c r="B18">
        <f>SUM(C18:K18)</f>
        <v>97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12</v>
      </c>
      <c r="M18">
        <v>1</v>
      </c>
      <c r="P18">
        <v>5</v>
      </c>
      <c r="S18">
        <v>115</v>
      </c>
      <c r="U18">
        <f>$S$18*M18</f>
        <v>115</v>
      </c>
      <c r="V18">
        <f>$S$18*N18</f>
        <v>0</v>
      </c>
      <c r="W18">
        <f>$S$18*O18</f>
        <v>0</v>
      </c>
      <c r="X18">
        <f>$S$18*P18</f>
        <v>575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C20" t="s">
        <v>1</v>
      </c>
      <c r="D20" t="s">
        <v>2</v>
      </c>
      <c r="E20" t="s">
        <v>15</v>
      </c>
      <c r="S20">
        <f>SUM(S15:S19)</f>
        <v>458</v>
      </c>
    </row>
    <row r="21" spans="2:25" x14ac:dyDescent="0.3">
      <c r="C21">
        <v>12</v>
      </c>
      <c r="D21">
        <v>15</v>
      </c>
      <c r="E21" s="2">
        <v>1.9E-2</v>
      </c>
    </row>
    <row r="22" spans="2:25" x14ac:dyDescent="0.3">
      <c r="C22">
        <v>14</v>
      </c>
      <c r="D22">
        <v>14</v>
      </c>
      <c r="E22" s="2">
        <v>0.02</v>
      </c>
    </row>
    <row r="23" spans="2:25" x14ac:dyDescent="0.3">
      <c r="C23">
        <v>15</v>
      </c>
      <c r="D23">
        <v>15</v>
      </c>
      <c r="E23" s="2">
        <v>2.2499999999999999E-2</v>
      </c>
    </row>
    <row r="24" spans="2:25" x14ac:dyDescent="0.3">
      <c r="C24">
        <v>17</v>
      </c>
      <c r="D24">
        <v>17</v>
      </c>
      <c r="E24" s="2">
        <v>2.6100000000000002E-2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Y20"/>
  <sheetViews>
    <sheetView workbookViewId="0">
      <selection activeCell="H12" sqref="H12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M3" s="2"/>
      <c r="N3" s="2"/>
      <c r="O3" s="2"/>
    </row>
    <row r="4" spans="2:25" x14ac:dyDescent="0.3">
      <c r="M4" s="2"/>
      <c r="N4" s="2"/>
      <c r="O4" s="2"/>
    </row>
    <row r="5" spans="2:25" x14ac:dyDescent="0.3">
      <c r="B5">
        <v>18</v>
      </c>
      <c r="C5">
        <v>19</v>
      </c>
      <c r="D5">
        <v>5000</v>
      </c>
      <c r="E5">
        <f>$C$11/C5</f>
        <v>6.2105263157894735</v>
      </c>
      <c r="F5">
        <v>6</v>
      </c>
      <c r="G5">
        <f>D5/F5</f>
        <v>833.33333333333337</v>
      </c>
      <c r="H5">
        <f>B5*C5*D5</f>
        <v>1710000</v>
      </c>
      <c r="I5">
        <f>H5/$H$8</f>
        <v>1</v>
      </c>
      <c r="J5">
        <f>$F$11*I5</f>
        <v>100.2</v>
      </c>
      <c r="K5">
        <f>J5/D5</f>
        <v>2.0040000000000002E-2</v>
      </c>
      <c r="L5">
        <f>K5+0.003</f>
        <v>2.3040000000000001E-2</v>
      </c>
      <c r="M5" s="2">
        <f>L5+0.008</f>
        <v>3.1040000000000002E-2</v>
      </c>
      <c r="N5" s="2">
        <f>L5+0.005</f>
        <v>2.8040000000000002E-2</v>
      </c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1710000</v>
      </c>
      <c r="I8">
        <f>SUM(I3:I7)</f>
        <v>1</v>
      </c>
      <c r="J8">
        <f>SUM(J3:J7)</f>
        <v>100.2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167</v>
      </c>
      <c r="F11">
        <f>E11*D11</f>
        <v>100.2</v>
      </c>
    </row>
    <row r="12" spans="2:25" x14ac:dyDescent="0.3">
      <c r="T12" t="s">
        <v>47</v>
      </c>
      <c r="U12">
        <f>SUM(U15:U19)</f>
        <v>0</v>
      </c>
      <c r="V12">
        <f>SUM(V15:V19)</f>
        <v>0</v>
      </c>
      <c r="W12">
        <f>SUM(W15:W19)</f>
        <v>835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0</v>
      </c>
      <c r="V13">
        <f>G4</f>
        <v>0</v>
      </c>
      <c r="W13">
        <f>G5</f>
        <v>833.33333333333337</v>
      </c>
      <c r="X13">
        <f>G6</f>
        <v>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3">
      <c r="B15">
        <f>SUM(C15:K15)</f>
        <v>90</v>
      </c>
      <c r="C15">
        <v>18</v>
      </c>
      <c r="D15">
        <v>18</v>
      </c>
      <c r="E15">
        <v>18</v>
      </c>
      <c r="F15">
        <v>18</v>
      </c>
      <c r="G15">
        <v>18</v>
      </c>
      <c r="O15">
        <v>5</v>
      </c>
      <c r="S15">
        <v>167</v>
      </c>
      <c r="U15">
        <f>$S$15*M15</f>
        <v>0</v>
      </c>
      <c r="V15">
        <f>$S$15*N15</f>
        <v>0</v>
      </c>
      <c r="W15">
        <f>$S$15*O15</f>
        <v>835</v>
      </c>
      <c r="X15">
        <f>$S$15*P15</f>
        <v>0</v>
      </c>
      <c r="Y15">
        <f>$S$15*Q15</f>
        <v>0</v>
      </c>
    </row>
    <row r="16" spans="2:25" x14ac:dyDescent="0.3">
      <c r="B16">
        <f>SUM(C16:K16)</f>
        <v>0</v>
      </c>
      <c r="S16">
        <v>0</v>
      </c>
      <c r="U16">
        <f>$S$16*M16</f>
        <v>0</v>
      </c>
      <c r="V16">
        <f>$S$16*N16</f>
        <v>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167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Y20"/>
  <sheetViews>
    <sheetView workbookViewId="0">
      <selection activeCell="K4" sqref="K4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16</v>
      </c>
      <c r="D3">
        <v>5000</v>
      </c>
      <c r="E3">
        <f>$C$11/C3</f>
        <v>8</v>
      </c>
      <c r="F3">
        <v>8</v>
      </c>
      <c r="G3">
        <f>D3/F3</f>
        <v>625</v>
      </c>
      <c r="H3">
        <f>B3*C3*D3</f>
        <v>1120000</v>
      </c>
      <c r="I3">
        <f>H3/$H$8</f>
        <v>0.20588235294117646</v>
      </c>
      <c r="J3">
        <f>$F$11*I3</f>
        <v>83.644235294117649</v>
      </c>
      <c r="K3">
        <f>J3/D3</f>
        <v>1.6728847058823531E-2</v>
      </c>
      <c r="L3">
        <f>K3+0.003</f>
        <v>1.972884705882353E-2</v>
      </c>
      <c r="M3" s="2">
        <f>L3+0.008</f>
        <v>2.772884705882353E-2</v>
      </c>
      <c r="N3" s="2">
        <f>L3+0.005</f>
        <v>2.4728847058823531E-2</v>
      </c>
      <c r="O3" s="2"/>
    </row>
    <row r="4" spans="2:25" x14ac:dyDescent="0.3">
      <c r="B4">
        <v>16</v>
      </c>
      <c r="C4">
        <v>18</v>
      </c>
      <c r="D4">
        <v>15000</v>
      </c>
      <c r="E4">
        <f>$C$11/C4</f>
        <v>7.1111111111111107</v>
      </c>
      <c r="F4">
        <v>7</v>
      </c>
      <c r="G4">
        <f>D4/F4</f>
        <v>2142.8571428571427</v>
      </c>
      <c r="H4">
        <f>B4*C4*D4</f>
        <v>4320000</v>
      </c>
      <c r="I4">
        <f>H4/$H$8</f>
        <v>0.79411764705882348</v>
      </c>
      <c r="J4">
        <f>$F$11*I4</f>
        <v>322.62776470588238</v>
      </c>
      <c r="K4">
        <f>J4/D4</f>
        <v>2.1508517647058824E-2</v>
      </c>
      <c r="L4">
        <f>K4+0.003</f>
        <v>2.4508517647058824E-2</v>
      </c>
      <c r="M4" s="2">
        <f>L4+0.008</f>
        <v>3.2508517647058824E-2</v>
      </c>
      <c r="N4" s="2">
        <f>L4+0.005</f>
        <v>2.9508517647058825E-2</v>
      </c>
      <c r="O4" s="2"/>
    </row>
    <row r="5" spans="2:25" x14ac:dyDescent="0.3">
      <c r="M5" s="2"/>
      <c r="N5" s="2"/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5440000</v>
      </c>
      <c r="I8">
        <f>SUM(I3:I7)</f>
        <v>1</v>
      </c>
      <c r="J8">
        <f>SUM(J3:J7)</f>
        <v>406.27200000000005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384</v>
      </c>
      <c r="F11">
        <f>E11*D11</f>
        <v>406.27200000000005</v>
      </c>
    </row>
    <row r="12" spans="2:25" x14ac:dyDescent="0.3">
      <c r="T12" t="s">
        <v>47</v>
      </c>
      <c r="U12">
        <f>SUM(U15:U19)</f>
        <v>630</v>
      </c>
      <c r="V12">
        <f>SUM(V15:V19)</f>
        <v>2148</v>
      </c>
      <c r="W12">
        <f>SUM(W15:W19)</f>
        <v>0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625</v>
      </c>
      <c r="V13">
        <f>G4</f>
        <v>2142.8571428571427</v>
      </c>
      <c r="W13">
        <f>G5+G6</f>
        <v>0</v>
      </c>
      <c r="X13">
        <f>G7</f>
        <v>0</v>
      </c>
    </row>
    <row r="14" spans="2:25" x14ac:dyDescent="0.3">
      <c r="B14" t="s">
        <v>121</v>
      </c>
      <c r="M14" s="2">
        <v>14</v>
      </c>
      <c r="N14" s="2">
        <v>16</v>
      </c>
      <c r="O14" s="2"/>
      <c r="P14" s="2"/>
      <c r="Q14" s="2"/>
      <c r="R14" s="2"/>
      <c r="S14" s="2" t="s">
        <v>7</v>
      </c>
      <c r="U14" s="2">
        <v>14</v>
      </c>
      <c r="V14" s="2">
        <v>16</v>
      </c>
      <c r="W14" s="2"/>
      <c r="X14" s="2"/>
      <c r="Y14" s="2"/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90</v>
      </c>
      <c r="U15">
        <f>$S$15*M15</f>
        <v>630</v>
      </c>
      <c r="V15">
        <f>$S$15*N15</f>
        <v>90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112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N16">
        <v>7</v>
      </c>
      <c r="S16">
        <v>294</v>
      </c>
      <c r="U16">
        <f>$S$16*M16</f>
        <v>0</v>
      </c>
      <c r="V16">
        <f>$S$16*N16</f>
        <v>2058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384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Y20"/>
  <sheetViews>
    <sheetView workbookViewId="0">
      <selection activeCell="L4" sqref="L4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16</v>
      </c>
      <c r="D3">
        <v>4000</v>
      </c>
      <c r="E3">
        <f>$C$11/C3</f>
        <v>8</v>
      </c>
      <c r="F3">
        <v>8</v>
      </c>
      <c r="G3">
        <f>D3/F3</f>
        <v>500</v>
      </c>
      <c r="H3">
        <f>B3*C3*D3</f>
        <v>896000</v>
      </c>
      <c r="I3">
        <f>H3/$H$8</f>
        <v>0.17665615141955837</v>
      </c>
      <c r="J3">
        <f>$F$11*I3</f>
        <v>74.667255520504725</v>
      </c>
      <c r="K3">
        <f>J3/D3</f>
        <v>1.8666813880126181E-2</v>
      </c>
      <c r="L3">
        <f>K3+0.003</f>
        <v>2.166681388012618E-2</v>
      </c>
      <c r="M3" s="2">
        <f>L3+0.008</f>
        <v>2.966681388012618E-2</v>
      </c>
      <c r="N3" s="2">
        <f>L3+0.005</f>
        <v>2.6666813880126181E-2</v>
      </c>
      <c r="O3" s="2"/>
    </row>
    <row r="4" spans="2:25" x14ac:dyDescent="0.3">
      <c r="B4">
        <v>16</v>
      </c>
      <c r="C4">
        <v>18</v>
      </c>
      <c r="D4">
        <v>12000</v>
      </c>
      <c r="E4">
        <f>$C$11/C4</f>
        <v>7.1111111111111107</v>
      </c>
      <c r="F4">
        <v>7</v>
      </c>
      <c r="G4">
        <f>D4/F4</f>
        <v>1714.2857142857142</v>
      </c>
      <c r="H4">
        <f>B4*C4*D4</f>
        <v>3456000</v>
      </c>
      <c r="I4">
        <f>H4/$H$8</f>
        <v>0.68138801261829651</v>
      </c>
      <c r="J4">
        <f>$F$11*I4</f>
        <v>288.00227129337537</v>
      </c>
      <c r="K4">
        <f>J4/D4</f>
        <v>2.4000189274447949E-2</v>
      </c>
      <c r="L4">
        <f>K4+0.003</f>
        <v>2.7000189274447948E-2</v>
      </c>
      <c r="M4" s="2">
        <f>L4+0.008</f>
        <v>3.5000189274447951E-2</v>
      </c>
      <c r="N4" s="2">
        <f>L4+0.005</f>
        <v>3.2000189274447949E-2</v>
      </c>
      <c r="O4" s="2"/>
    </row>
    <row r="5" spans="2:25" x14ac:dyDescent="0.3">
      <c r="B5">
        <v>18</v>
      </c>
      <c r="C5">
        <v>20</v>
      </c>
      <c r="D5">
        <v>2000</v>
      </c>
      <c r="E5">
        <f>$C$11/C5</f>
        <v>6.4</v>
      </c>
      <c r="F5">
        <v>6</v>
      </c>
      <c r="G5">
        <f>D5/F5</f>
        <v>333.33333333333331</v>
      </c>
      <c r="H5">
        <f>B5*C5*D5</f>
        <v>720000</v>
      </c>
      <c r="I5">
        <f>H5/$H$8</f>
        <v>0.14195583596214512</v>
      </c>
      <c r="J5">
        <f>$F$11*I5</f>
        <v>60.000473186119869</v>
      </c>
      <c r="K5">
        <f>J5/D5</f>
        <v>3.0000236593059934E-2</v>
      </c>
      <c r="L5">
        <f>K5+0.003</f>
        <v>3.3000236593059937E-2</v>
      </c>
      <c r="M5" s="2">
        <f>L5+0.008</f>
        <v>4.1000236593059937E-2</v>
      </c>
      <c r="N5" s="2">
        <f>L5+0.005</f>
        <v>3.8000236593059934E-2</v>
      </c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5072000</v>
      </c>
      <c r="I8">
        <f>SUM(I3:I7)</f>
        <v>1</v>
      </c>
      <c r="J8">
        <f>SUM(J3:J7)</f>
        <v>422.66999999999996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1.1579999999999999</v>
      </c>
      <c r="E11">
        <f>S20</f>
        <v>365</v>
      </c>
      <c r="F11">
        <f>E11*D11</f>
        <v>422.66999999999996</v>
      </c>
    </row>
    <row r="12" spans="2:25" x14ac:dyDescent="0.3">
      <c r="T12" t="s">
        <v>47</v>
      </c>
      <c r="U12">
        <f>SUM(U15:U19)</f>
        <v>505</v>
      </c>
      <c r="V12">
        <f>SUM(V15:V19)</f>
        <v>1783</v>
      </c>
      <c r="W12">
        <f>SUM(W15:W19)</f>
        <v>334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500</v>
      </c>
      <c r="V13">
        <f>G4</f>
        <v>1714.2857142857142</v>
      </c>
      <c r="W13">
        <f>G5+G6</f>
        <v>333.33333333333331</v>
      </c>
      <c r="X13">
        <f>G7</f>
        <v>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67</v>
      </c>
      <c r="U15">
        <f>$S$15*M15</f>
        <v>469</v>
      </c>
      <c r="V15">
        <f>$S$15*N15</f>
        <v>67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286</v>
      </c>
      <c r="U16">
        <f>$S$16*M16</f>
        <v>0</v>
      </c>
      <c r="V16">
        <f>$S$16*N16</f>
        <v>1716</v>
      </c>
      <c r="W16">
        <f>$S$16*O16</f>
        <v>286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18</v>
      </c>
      <c r="D17">
        <v>18</v>
      </c>
      <c r="E17">
        <v>18</v>
      </c>
      <c r="F17">
        <v>18</v>
      </c>
      <c r="G17">
        <v>14</v>
      </c>
      <c r="H17">
        <v>14</v>
      </c>
      <c r="I17">
        <v>14</v>
      </c>
      <c r="M17">
        <v>3</v>
      </c>
      <c r="O17">
        <v>4</v>
      </c>
      <c r="S17">
        <v>12</v>
      </c>
      <c r="U17">
        <f>$S$17*M17</f>
        <v>36</v>
      </c>
      <c r="V17">
        <f>$S$17*N17</f>
        <v>0</v>
      </c>
      <c r="W17">
        <f>$S$17*O17</f>
        <v>48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Y20"/>
  <sheetViews>
    <sheetView workbookViewId="0">
      <selection activeCell="J10" sqref="J10:M10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6.5555555555555554</v>
      </c>
      <c r="F3">
        <v>6</v>
      </c>
      <c r="G3">
        <f>D3/F3</f>
        <v>833.33333333333337</v>
      </c>
      <c r="H3">
        <f>B3*C3*D3</f>
        <v>1260000</v>
      </c>
      <c r="I3">
        <f>H3/$H$8</f>
        <v>0.109375</v>
      </c>
      <c r="J3">
        <f>$F$11*I3</f>
        <v>72.581249999999997</v>
      </c>
      <c r="K3">
        <f>J3/D3</f>
        <v>1.451625E-2</v>
      </c>
      <c r="L3">
        <f>K3+0.003</f>
        <v>1.7516250000000001E-2</v>
      </c>
      <c r="M3" s="2">
        <f>L3+0.008</f>
        <v>2.5516250000000001E-2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6.5555555555555554</v>
      </c>
      <c r="F4">
        <v>6</v>
      </c>
      <c r="G4">
        <f>D4/F4</f>
        <v>1333.3333333333333</v>
      </c>
      <c r="H4">
        <f>B4*C4*D4</f>
        <v>2160000</v>
      </c>
      <c r="I4">
        <f>H4/$H$8</f>
        <v>0.1875</v>
      </c>
      <c r="J4">
        <f>$F$11*I4</f>
        <v>124.42500000000001</v>
      </c>
      <c r="K4">
        <f>J4/D4</f>
        <v>1.5553125000000001E-2</v>
      </c>
      <c r="L4">
        <f>K4+0.003</f>
        <v>1.8553125E-2</v>
      </c>
      <c r="M4" s="2">
        <f>L4+0.008</f>
        <v>2.6553125E-2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6.5555555555555554</v>
      </c>
      <c r="F5">
        <v>6</v>
      </c>
      <c r="G5">
        <f>D5/F5</f>
        <v>2333.3333333333335</v>
      </c>
      <c r="H5">
        <f>B5*C5*D5</f>
        <v>4032000</v>
      </c>
      <c r="I5">
        <f>H5/$H$8</f>
        <v>0.35</v>
      </c>
      <c r="J5">
        <f>$F$11*I5</f>
        <v>232.26</v>
      </c>
      <c r="K5">
        <f>J5/D5</f>
        <v>1.6590000000000001E-2</v>
      </c>
      <c r="L5">
        <f>K5+0.003</f>
        <v>1.959E-2</v>
      </c>
      <c r="M5" s="2">
        <f>L5+0.008</f>
        <v>2.759E-2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6.5555555555555554</v>
      </c>
      <c r="F6">
        <v>6</v>
      </c>
      <c r="G6">
        <f>D6/F6</f>
        <v>1333.3333333333333</v>
      </c>
      <c r="H6">
        <f>B6*C6*D6</f>
        <v>2448000</v>
      </c>
      <c r="I6">
        <f>H6/$H$8</f>
        <v>0.21249999999999999</v>
      </c>
      <c r="J6">
        <f>$F$11*I6</f>
        <v>141.01500000000001</v>
      </c>
      <c r="K6">
        <f>J6/D6</f>
        <v>1.7626875E-2</v>
      </c>
      <c r="L6">
        <f>K6+0.003</f>
        <v>2.0626874999999999E-2</v>
      </c>
      <c r="M6" s="2">
        <f>L6+0.008</f>
        <v>2.8626875E-2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6.5555555555555554</v>
      </c>
      <c r="F7">
        <v>6</v>
      </c>
      <c r="G7">
        <f>D7/F7</f>
        <v>833.33333333333337</v>
      </c>
      <c r="H7">
        <f>B7*C7*D7</f>
        <v>1620000</v>
      </c>
      <c r="I7">
        <f>H7/$H$8</f>
        <v>0.140625</v>
      </c>
      <c r="J7">
        <f>$F$11*I7</f>
        <v>93.318750000000009</v>
      </c>
      <c r="K7">
        <f>J7/D7</f>
        <v>1.8663750000000003E-2</v>
      </c>
      <c r="L7">
        <f>K7+0.003</f>
        <v>2.1663750000000002E-2</v>
      </c>
      <c r="M7" s="2">
        <f>L7+0.008</f>
        <v>2.9663750000000003E-2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663.6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1.6590000000000001E-2</v>
      </c>
      <c r="L10">
        <f>K10+0.003</f>
        <v>1.959E-2</v>
      </c>
      <c r="M10" s="2">
        <f>L10+0.008</f>
        <v>2.759E-2</v>
      </c>
    </row>
    <row r="11" spans="2:25" x14ac:dyDescent="0.3">
      <c r="B11">
        <v>98</v>
      </c>
      <c r="C11">
        <v>118</v>
      </c>
      <c r="D11">
        <v>0.6</v>
      </c>
      <c r="E11">
        <f>S20</f>
        <v>1106</v>
      </c>
      <c r="F11">
        <f>E11*D11</f>
        <v>663.6</v>
      </c>
    </row>
    <row r="12" spans="2:25" x14ac:dyDescent="0.3">
      <c r="T12" t="s">
        <v>47</v>
      </c>
      <c r="U12">
        <f>SUM(U15:U19)</f>
        <v>837</v>
      </c>
      <c r="V12">
        <f>SUM(V15:V19)</f>
        <v>1338</v>
      </c>
      <c r="W12">
        <f>SUM(W15:W19)</f>
        <v>2336</v>
      </c>
      <c r="X12">
        <f>SUM(X15:X19)</f>
        <v>1335</v>
      </c>
      <c r="Y12">
        <f>SUM(Y15:Y19)</f>
        <v>834</v>
      </c>
    </row>
    <row r="13" spans="2:25" x14ac:dyDescent="0.3">
      <c r="T13" t="s">
        <v>11</v>
      </c>
      <c r="U13">
        <f>G3</f>
        <v>833.33333333333337</v>
      </c>
      <c r="V13">
        <f>G4</f>
        <v>1333.3333333333333</v>
      </c>
      <c r="W13">
        <f>G5</f>
        <v>2333.3333333333335</v>
      </c>
      <c r="X13">
        <f>G6</f>
        <v>1333.3333333333333</v>
      </c>
      <c r="Y13">
        <f>G7</f>
        <v>833.33333333333337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/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44</v>
      </c>
      <c r="U15">
        <f>$S$15*M15</f>
        <v>308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90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N16">
        <v>6</v>
      </c>
      <c r="S16">
        <v>223</v>
      </c>
      <c r="U16">
        <f>$S$16*M16</f>
        <v>0</v>
      </c>
      <c r="V16">
        <f>$S$16*N16</f>
        <v>1338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98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18</v>
      </c>
      <c r="O17">
        <v>5</v>
      </c>
      <c r="Q17">
        <v>1</v>
      </c>
      <c r="S17">
        <v>441</v>
      </c>
      <c r="U17">
        <f>$S$17*M17</f>
        <v>0</v>
      </c>
      <c r="V17">
        <f>$S$17*N17</f>
        <v>0</v>
      </c>
      <c r="W17">
        <f>$S$17*O17</f>
        <v>2205</v>
      </c>
      <c r="X17">
        <f>$S$17*P17</f>
        <v>0</v>
      </c>
      <c r="Y17">
        <f>$S$17*Q17</f>
        <v>441</v>
      </c>
    </row>
    <row r="18" spans="2:25" x14ac:dyDescent="0.3">
      <c r="B18">
        <f>SUM(C18:K18)</f>
        <v>99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M18">
        <v>1</v>
      </c>
      <c r="P18">
        <v>5</v>
      </c>
      <c r="S18">
        <v>267</v>
      </c>
      <c r="U18">
        <f>$S$18*M18</f>
        <v>267</v>
      </c>
      <c r="V18">
        <f>$S$18*N18</f>
        <v>0</v>
      </c>
      <c r="W18">
        <f>$S$18*O18</f>
        <v>0</v>
      </c>
      <c r="X18">
        <f>$S$18*P18</f>
        <v>1335</v>
      </c>
      <c r="Y18">
        <f>$S$18*Q18</f>
        <v>0</v>
      </c>
    </row>
    <row r="19" spans="2:25" x14ac:dyDescent="0.3">
      <c r="B19">
        <f>SUM(C19:K19)</f>
        <v>98</v>
      </c>
      <c r="C19">
        <v>18</v>
      </c>
      <c r="D19">
        <v>18</v>
      </c>
      <c r="E19">
        <v>18</v>
      </c>
      <c r="F19">
        <v>16</v>
      </c>
      <c r="G19">
        <v>14</v>
      </c>
      <c r="H19">
        <v>14</v>
      </c>
      <c r="M19">
        <v>2</v>
      </c>
      <c r="O19">
        <v>1</v>
      </c>
      <c r="Q19">
        <v>3</v>
      </c>
      <c r="S19">
        <v>131</v>
      </c>
      <c r="U19">
        <f>$S$19*M19</f>
        <v>262</v>
      </c>
      <c r="V19">
        <f>$S$19*N19</f>
        <v>0</v>
      </c>
      <c r="W19">
        <f>$S$19*O19</f>
        <v>131</v>
      </c>
      <c r="X19">
        <f>$S$19*P19</f>
        <v>0</v>
      </c>
      <c r="Y19">
        <f>$S$19*Q19</f>
        <v>393</v>
      </c>
    </row>
    <row r="20" spans="2:25" x14ac:dyDescent="0.3">
      <c r="S20">
        <f>SUM(S15:S19)</f>
        <v>1106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Y20"/>
  <sheetViews>
    <sheetView workbookViewId="0">
      <selection activeCell="K18" sqref="K18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97.638691718749996</v>
      </c>
      <c r="K3">
        <f>J3/D3</f>
        <v>1.952773834375E-2</v>
      </c>
      <c r="L3">
        <f>K3+0.003</f>
        <v>2.2527738343749999E-2</v>
      </c>
      <c r="M3" s="2">
        <f>L3+0.008</f>
        <v>3.0527738343749999E-2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167.38061437499999</v>
      </c>
      <c r="K4">
        <f>J4/D4</f>
        <v>2.0922576796874998E-2</v>
      </c>
      <c r="L4">
        <f>K4+0.003</f>
        <v>2.3922576796874997E-2</v>
      </c>
      <c r="M4" s="2">
        <f>L4+0.008</f>
        <v>3.1922576796874998E-2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312.44381349999998</v>
      </c>
      <c r="K5">
        <f>J5/D5</f>
        <v>2.2317415249999997E-2</v>
      </c>
      <c r="L5">
        <f>K5+0.003</f>
        <v>2.5317415249999996E-2</v>
      </c>
      <c r="M5" s="2">
        <f>L5+0.008</f>
        <v>3.3317415249999996E-2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189.69802962499998</v>
      </c>
      <c r="K6">
        <f>J6/D6</f>
        <v>2.3712253703124998E-2</v>
      </c>
      <c r="L6">
        <f>K6+0.003</f>
        <v>2.6712253703124998E-2</v>
      </c>
      <c r="M6" s="2">
        <f>L6+0.008</f>
        <v>3.4712253703125001E-2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125.53546078124999</v>
      </c>
      <c r="K7">
        <f>J7/D7</f>
        <v>2.510709215625E-2</v>
      </c>
      <c r="L7">
        <f>K7+0.003</f>
        <v>2.8107092156249999E-2</v>
      </c>
      <c r="M7" s="2">
        <f>L7+0.008</f>
        <v>3.6107092156249999E-2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892.69660999999996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2.231741525E-2</v>
      </c>
      <c r="L10">
        <f>K10+0.003</f>
        <v>2.5317415249999999E-2</v>
      </c>
      <c r="M10" s="2">
        <f>L10+0.008</f>
        <v>3.3317415249999996E-2</v>
      </c>
    </row>
    <row r="11" spans="2:25" x14ac:dyDescent="0.3">
      <c r="B11">
        <v>115</v>
      </c>
      <c r="C11">
        <v>126</v>
      </c>
      <c r="D11">
        <v>1.02491</v>
      </c>
      <c r="E11">
        <f>S20</f>
        <v>871</v>
      </c>
      <c r="F11">
        <f>E11*D11</f>
        <v>892.69660999999996</v>
      </c>
    </row>
    <row r="12" spans="2:25" x14ac:dyDescent="0.3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3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3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3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3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3">
      <c r="S20">
        <f>SUM(S15:S19)</f>
        <v>871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Y20"/>
  <sheetViews>
    <sheetView workbookViewId="0">
      <selection activeCell="O22" sqref="O22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106.5736546875</v>
      </c>
      <c r="K3">
        <f>J3/D3</f>
        <v>2.1314730937499998E-2</v>
      </c>
      <c r="L3">
        <f>K3+0.003</f>
        <v>2.4314730937499997E-2</v>
      </c>
      <c r="M3" s="2">
        <f>L3+0.008</f>
        <v>3.2314730937499994E-2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182.69769374999998</v>
      </c>
      <c r="K4">
        <f>J4/D4</f>
        <v>2.2837211718749997E-2</v>
      </c>
      <c r="L4">
        <f>K4+0.003</f>
        <v>2.5837211718749996E-2</v>
      </c>
      <c r="M4" s="2">
        <f>L4+0.008</f>
        <v>3.3837211718749996E-2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341.03569499999998</v>
      </c>
      <c r="K5">
        <f>J5/D5</f>
        <v>2.4359692499999998E-2</v>
      </c>
      <c r="L5">
        <f>K5+0.003</f>
        <v>2.7359692499999998E-2</v>
      </c>
      <c r="M5" s="2">
        <f>L5+0.008</f>
        <v>3.5359692499999998E-2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207.05738625000001</v>
      </c>
      <c r="K6">
        <f>J6/D6</f>
        <v>2.588217328125E-2</v>
      </c>
      <c r="L6">
        <f>K6+0.003</f>
        <v>2.888217328125E-2</v>
      </c>
      <c r="M6" s="2">
        <f>L6+0.008</f>
        <v>3.688217328125E-2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137.02327031249999</v>
      </c>
      <c r="K7">
        <f>J7/D7</f>
        <v>2.7404654062499999E-2</v>
      </c>
      <c r="L7">
        <f>K7+0.003</f>
        <v>3.0404654062499998E-2</v>
      </c>
      <c r="M7" s="2">
        <f>L7+0.008</f>
        <v>3.8404654062500002E-2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974.3877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2.4359692499999998E-2</v>
      </c>
      <c r="L10">
        <f>K10+0.003</f>
        <v>2.7359692499999998E-2</v>
      </c>
      <c r="M10" s="2">
        <f>L10+0.008</f>
        <v>3.5359692499999998E-2</v>
      </c>
    </row>
    <row r="11" spans="2:25" x14ac:dyDescent="0.3">
      <c r="B11">
        <v>115</v>
      </c>
      <c r="C11">
        <v>126</v>
      </c>
      <c r="D11">
        <v>1.1187</v>
      </c>
      <c r="E11">
        <f>S20</f>
        <v>871</v>
      </c>
      <c r="F11">
        <f>E11*D11</f>
        <v>974.3877</v>
      </c>
    </row>
    <row r="12" spans="2:25" x14ac:dyDescent="0.3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3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3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3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3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3">
      <c r="S20">
        <f>SUM(S15:S19)</f>
        <v>871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19"/>
  <sheetViews>
    <sheetView workbookViewId="0">
      <selection activeCell="P12" sqref="P12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2" width="6.44140625" bestFit="1" customWidth="1"/>
    <col min="13" max="13" width="6.8867187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204" t="s">
        <v>108</v>
      </c>
      <c r="B1" s="204"/>
      <c r="D1" s="2" t="s">
        <v>24</v>
      </c>
      <c r="H1" s="2" t="s">
        <v>21</v>
      </c>
      <c r="J1" s="2" t="s">
        <v>125</v>
      </c>
      <c r="L1" s="2" t="s">
        <v>142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58.540969162995594</v>
      </c>
      <c r="H3" s="22">
        <f>G3/C3</f>
        <v>1.4635242290748899E-2</v>
      </c>
      <c r="I3" s="22">
        <f>H3+0.003</f>
        <v>1.76352422907489E-2</v>
      </c>
      <c r="J3" s="24">
        <f>I3+0.008</f>
        <v>2.56352422907489E-2</v>
      </c>
      <c r="K3" s="22">
        <v>2.76E-2</v>
      </c>
      <c r="L3" s="22">
        <f>K3-J3</f>
        <v>1.9647577092510998E-3</v>
      </c>
      <c r="M3" s="20">
        <f>L3*C3</f>
        <v>7.8590308370043989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334.51982378854626</v>
      </c>
      <c r="H4" s="22">
        <f>G4/C4</f>
        <v>1.6725991189427313E-2</v>
      </c>
      <c r="I4" s="22">
        <f>H4+0.003</f>
        <v>1.9725991189427312E-2</v>
      </c>
      <c r="J4" s="24">
        <f>I4+0.008</f>
        <v>2.7725991189427313E-2</v>
      </c>
      <c r="K4" s="22">
        <v>3.1300000000000001E-2</v>
      </c>
      <c r="L4" s="22">
        <f>K4-J4</f>
        <v>3.5740088105726889E-3</v>
      </c>
      <c r="M4" s="20">
        <f>L4*C4</f>
        <v>71.480176211453781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338.70132158590303</v>
      </c>
      <c r="H5" s="22">
        <f>G5/C5</f>
        <v>1.8816740088105723E-2</v>
      </c>
      <c r="I5" s="22">
        <f>H5+0.003</f>
        <v>2.1816740088105722E-2</v>
      </c>
      <c r="J5" s="24">
        <f>I5+0.008</f>
        <v>2.9816740088105722E-2</v>
      </c>
      <c r="K5" s="22">
        <v>3.5799999999999998E-2</v>
      </c>
      <c r="L5" s="22">
        <f>K5-J5</f>
        <v>5.9832599118942766E-3</v>
      </c>
      <c r="M5" s="20">
        <f>L5*C5</f>
        <v>107.69867841409697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125.44493392070484</v>
      </c>
      <c r="H6" s="22">
        <f>G6/C6</f>
        <v>2.0907488986784139E-2</v>
      </c>
      <c r="I6" s="22">
        <f>H6+0.003</f>
        <v>2.3907488986784138E-2</v>
      </c>
      <c r="J6" s="24">
        <f>I6+0.008</f>
        <v>3.1907488986784138E-2</v>
      </c>
      <c r="K6" s="22">
        <v>4.1200000000000001E-2</v>
      </c>
      <c r="L6" s="22">
        <f>K6-J6</f>
        <v>9.2925110132158623E-3</v>
      </c>
      <c r="M6" s="20">
        <f>L6*C6</f>
        <v>55.755066079295176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91.992951541850218</v>
      </c>
      <c r="H7" s="22">
        <f>G7/C7</f>
        <v>2.2998237885462555E-2</v>
      </c>
      <c r="I7" s="22">
        <f>H7+0.003</f>
        <v>2.5998237885462554E-2</v>
      </c>
      <c r="J7" s="24">
        <f>I7+0.008</f>
        <v>3.3998237885462551E-2</v>
      </c>
      <c r="K7" s="22">
        <v>4.1200000000000001E-2</v>
      </c>
      <c r="L7" s="22">
        <f>K7-J7</f>
        <v>7.2017621145374494E-3</v>
      </c>
      <c r="M7" s="20">
        <f>L7*C7</f>
        <v>28.807048458149797</v>
      </c>
      <c r="Q7" s="2" t="s">
        <v>41</v>
      </c>
      <c r="V7">
        <f>V8-V9</f>
        <v>91.333333333333371</v>
      </c>
    </row>
    <row r="8" spans="1:22" x14ac:dyDescent="0.3">
      <c r="E8">
        <f>SUM(E3:E7)</f>
        <v>18160000</v>
      </c>
      <c r="F8" s="21">
        <f>SUM(F3:F7)</f>
        <v>1</v>
      </c>
      <c r="M8" s="23">
        <f>SUM(M3:M7)</f>
        <v>271.60000000000014</v>
      </c>
      <c r="Q8" s="2" t="s">
        <v>47</v>
      </c>
      <c r="R8">
        <f>SUM(R11:R15)</f>
        <v>672</v>
      </c>
      <c r="S8">
        <f>SUM(S11:S15)</f>
        <v>3335</v>
      </c>
      <c r="T8">
        <f>SUM(T11:T15)</f>
        <v>3002</v>
      </c>
      <c r="U8">
        <f>SUM(U11:U15)</f>
        <v>1002</v>
      </c>
      <c r="V8">
        <f>SUM(V11:V15)</f>
        <v>758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SUM(B11:H11)</f>
        <v>98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J11">
        <v>7</v>
      </c>
      <c r="P11" s="2">
        <v>96</v>
      </c>
      <c r="R11">
        <f>$P$11*J11</f>
        <v>672</v>
      </c>
      <c r="S11">
        <f>$P$11*K11</f>
        <v>0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SUM(B12:H12)</f>
        <v>98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18</v>
      </c>
      <c r="K12">
        <v>5</v>
      </c>
      <c r="L12">
        <v>1</v>
      </c>
      <c r="P12" s="2">
        <v>667</v>
      </c>
      <c r="R12">
        <f>$P$12*J12</f>
        <v>0</v>
      </c>
      <c r="S12">
        <f>$P$12*K12</f>
        <v>3335</v>
      </c>
      <c r="T12">
        <f>$P$12*L12</f>
        <v>667</v>
      </c>
      <c r="U12">
        <f>$P$12*M12</f>
        <v>0</v>
      </c>
      <c r="V12">
        <f>$P$12*N12</f>
        <v>0</v>
      </c>
    </row>
    <row r="13" spans="1:22" x14ac:dyDescent="0.3">
      <c r="A13">
        <f>SUM(B13:H13)</f>
        <v>96</v>
      </c>
      <c r="B13">
        <v>18</v>
      </c>
      <c r="C13">
        <v>18</v>
      </c>
      <c r="D13">
        <v>18</v>
      </c>
      <c r="E13">
        <v>20</v>
      </c>
      <c r="F13">
        <v>22</v>
      </c>
      <c r="L13">
        <v>3</v>
      </c>
      <c r="M13">
        <v>1</v>
      </c>
      <c r="N13">
        <v>1</v>
      </c>
      <c r="P13" s="2">
        <v>758</v>
      </c>
      <c r="R13">
        <f>$P$13*J13</f>
        <v>0</v>
      </c>
      <c r="S13">
        <f>$P$13*K13</f>
        <v>0</v>
      </c>
      <c r="T13">
        <f>$P$13*L13</f>
        <v>2274</v>
      </c>
      <c r="U13">
        <f>$P$13*M13</f>
        <v>758</v>
      </c>
      <c r="V13">
        <f>$P$13*N13</f>
        <v>758</v>
      </c>
    </row>
    <row r="14" spans="1:22" x14ac:dyDescent="0.3">
      <c r="A14">
        <f>SUM(B14:H14)</f>
        <v>98</v>
      </c>
      <c r="B14">
        <v>20</v>
      </c>
      <c r="C14">
        <v>20</v>
      </c>
      <c r="D14">
        <v>20</v>
      </c>
      <c r="E14">
        <v>20</v>
      </c>
      <c r="F14">
        <v>18</v>
      </c>
      <c r="L14">
        <v>1</v>
      </c>
      <c r="M14">
        <v>4</v>
      </c>
      <c r="P14" s="2">
        <v>61</v>
      </c>
      <c r="R14">
        <f>$P$14*J14</f>
        <v>0</v>
      </c>
      <c r="S14">
        <f>$P$14*K14</f>
        <v>0</v>
      </c>
      <c r="T14">
        <f>$P$14*L14</f>
        <v>61</v>
      </c>
      <c r="U14">
        <f>$P$14*M14</f>
        <v>244</v>
      </c>
      <c r="V14">
        <f>$P$14*N14</f>
        <v>0</v>
      </c>
    </row>
    <row r="15" spans="1:22" x14ac:dyDescent="0.3">
      <c r="A15">
        <f>SUM(B15:H15)</f>
        <v>98</v>
      </c>
      <c r="B15">
        <v>22</v>
      </c>
      <c r="C15">
        <v>22</v>
      </c>
      <c r="D15">
        <v>22</v>
      </c>
      <c r="E15">
        <v>16</v>
      </c>
      <c r="F15">
        <v>16</v>
      </c>
      <c r="K15">
        <v>2</v>
      </c>
      <c r="N15">
        <v>3</v>
      </c>
      <c r="P15" s="2">
        <v>0</v>
      </c>
      <c r="R15">
        <f>$P$15*J15</f>
        <v>0</v>
      </c>
      <c r="S15">
        <f>$P$15*K15</f>
        <v>0</v>
      </c>
      <c r="T15">
        <f>$P$15*L15</f>
        <v>0</v>
      </c>
      <c r="U15">
        <f>$P$15*M15</f>
        <v>0</v>
      </c>
      <c r="V15">
        <f>$P$15*N15</f>
        <v>0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98</v>
      </c>
      <c r="B19">
        <v>118</v>
      </c>
      <c r="C19">
        <v>0.6</v>
      </c>
      <c r="D19">
        <f>SUM(P11:P15)</f>
        <v>1582</v>
      </c>
      <c r="E19">
        <f>D19*C19</f>
        <v>949.19999999999993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9"/>
  <sheetViews>
    <sheetView workbookViewId="0">
      <selection activeCell="P15" sqref="P15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9.44140625" bestFit="1" customWidth="1"/>
    <col min="13" max="13" width="6.8867187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204" t="s">
        <v>108</v>
      </c>
      <c r="B1" s="204"/>
      <c r="D1" s="2" t="s">
        <v>24</v>
      </c>
      <c r="H1" s="2" t="s">
        <v>21</v>
      </c>
      <c r="J1" s="2" t="s">
        <v>125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81.44018325991189</v>
      </c>
      <c r="H3" s="22">
        <f>G3/C3</f>
        <v>2.0360045814977974E-2</v>
      </c>
      <c r="I3" s="22">
        <f>H3+0.003</f>
        <v>2.3360045814977973E-2</v>
      </c>
      <c r="J3" s="24">
        <f>I3+0.008</f>
        <v>3.1360045814977977E-2</v>
      </c>
      <c r="K3" s="22">
        <v>2.76E-2</v>
      </c>
      <c r="L3" s="22">
        <f>K3-J3</f>
        <v>-3.7600458149779775E-3</v>
      </c>
      <c r="M3" s="20">
        <f>L3*C3</f>
        <v>-15.04018325991191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465.37247577092518</v>
      </c>
      <c r="H4" s="22">
        <f>G4/C4</f>
        <v>2.3268623788546258E-2</v>
      </c>
      <c r="I4" s="22">
        <f>H4+0.003</f>
        <v>2.6268623788546257E-2</v>
      </c>
      <c r="J4" s="24">
        <f>I4+0.008</f>
        <v>3.4268623788546254E-2</v>
      </c>
      <c r="K4" s="22">
        <v>3.1300000000000001E-2</v>
      </c>
      <c r="L4" s="22">
        <f>K4-J4</f>
        <v>-2.9686237885462527E-3</v>
      </c>
      <c r="M4" s="20">
        <f>L4*C4</f>
        <v>-59.372475770925057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471.18963171806166</v>
      </c>
      <c r="H5" s="22">
        <f>G5/C5</f>
        <v>2.6177201762114535E-2</v>
      </c>
      <c r="I5" s="22">
        <f>H5+0.003</f>
        <v>2.9177201762114535E-2</v>
      </c>
      <c r="J5" s="24">
        <f>I5+0.008</f>
        <v>3.7177201762114531E-2</v>
      </c>
      <c r="K5" s="22">
        <v>3.5799999999999998E-2</v>
      </c>
      <c r="L5" s="22">
        <f>K5-J5</f>
        <v>-1.3772017621145327E-3</v>
      </c>
      <c r="M5" s="20">
        <f>L5*C5</f>
        <v>-24.789631718061589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174.51467841409692</v>
      </c>
      <c r="H6" s="22">
        <f>G6/C6</f>
        <v>2.9085779735682819E-2</v>
      </c>
      <c r="I6" s="22">
        <f>H6+0.003</f>
        <v>3.2085779735682822E-2</v>
      </c>
      <c r="J6" s="24">
        <f>I6+0.008</f>
        <v>4.0085779735682822E-2</v>
      </c>
      <c r="K6" s="22">
        <v>4.1200000000000001E-2</v>
      </c>
      <c r="L6" s="22">
        <f>K6-J6</f>
        <v>1.1142202643171784E-3</v>
      </c>
      <c r="M6" s="20">
        <f>L6*C6</f>
        <v>6.6853215859030701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127.97743083700442</v>
      </c>
      <c r="H7" s="22">
        <f>G7/C7</f>
        <v>3.1994357709251103E-2</v>
      </c>
      <c r="I7" s="22">
        <f>H7+0.003</f>
        <v>3.4994357709251106E-2</v>
      </c>
      <c r="J7" s="24">
        <f>I7+0.008</f>
        <v>4.2994357709251106E-2</v>
      </c>
      <c r="K7" s="22">
        <v>4.1200000000000001E-2</v>
      </c>
      <c r="L7" s="22">
        <f>K7-J7</f>
        <v>-1.7943577092511057E-3</v>
      </c>
      <c r="M7" s="20">
        <f>L7*C7</f>
        <v>-7.1774308370044224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3">
      <c r="E8">
        <f>SUM(E3:E7)</f>
        <v>18160000</v>
      </c>
      <c r="F8" s="21">
        <f>SUM(F3:F7)</f>
        <v>1</v>
      </c>
      <c r="M8" s="23">
        <f>SUM(M3:M7)</f>
        <v>-99.694399999999902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3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3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3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115</v>
      </c>
      <c r="B19">
        <v>120</v>
      </c>
      <c r="C19">
        <v>0.99360000000000004</v>
      </c>
      <c r="D19">
        <f>SUM(P11:P15)</f>
        <v>1329</v>
      </c>
      <c r="E19">
        <f>D19*C19</f>
        <v>1320.4944</v>
      </c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9"/>
  <sheetViews>
    <sheetView workbookViewId="0">
      <selection activeCell="W12" sqref="W12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9.44140625" bestFit="1" customWidth="1"/>
    <col min="13" max="13" width="7.3320312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204" t="s">
        <v>108</v>
      </c>
      <c r="B1" s="204"/>
      <c r="D1" s="2" t="s">
        <v>24</v>
      </c>
      <c r="H1" s="2" t="s">
        <v>21</v>
      </c>
      <c r="J1" s="2" t="s">
        <v>125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88.980940969162987</v>
      </c>
      <c r="H3" s="22">
        <f>G3/C3</f>
        <v>2.2245235242290745E-2</v>
      </c>
      <c r="I3" s="22">
        <f>H3+0.003</f>
        <v>2.5245235242290744E-2</v>
      </c>
      <c r="J3" s="24">
        <f>I3+0.008</f>
        <v>3.3245235242290741E-2</v>
      </c>
      <c r="K3" s="22">
        <v>2.76E-2</v>
      </c>
      <c r="L3" s="22">
        <f>K3-J3</f>
        <v>-5.6452352422907415E-3</v>
      </c>
      <c r="M3" s="20">
        <f>L3*C3</f>
        <v>-22.580940969162967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508.46251982378851</v>
      </c>
      <c r="H4" s="22">
        <f>G4/C4</f>
        <v>2.5423125991189427E-2</v>
      </c>
      <c r="I4" s="22">
        <f>H4+0.003</f>
        <v>2.8423125991189426E-2</v>
      </c>
      <c r="J4" s="24">
        <f>I4+0.008</f>
        <v>3.6423125991189423E-2</v>
      </c>
      <c r="K4" s="22">
        <v>3.1300000000000001E-2</v>
      </c>
      <c r="L4" s="22">
        <f>K4-J4</f>
        <v>-5.1231259911894214E-3</v>
      </c>
      <c r="M4" s="20">
        <f>L4*C4</f>
        <v>-102.46251982378843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514.81830132158586</v>
      </c>
      <c r="H5" s="22">
        <f>G5/C5</f>
        <v>2.8601016740088102E-2</v>
      </c>
      <c r="I5" s="22">
        <f>H5+0.003</f>
        <v>3.1601016740088105E-2</v>
      </c>
      <c r="J5" s="24">
        <f>I5+0.008</f>
        <v>3.9601016740088105E-2</v>
      </c>
      <c r="K5" s="22">
        <v>3.5799999999999998E-2</v>
      </c>
      <c r="L5" s="22">
        <f>K5-J5</f>
        <v>-3.8010167400881062E-3</v>
      </c>
      <c r="M5" s="20">
        <f>L5*C5</f>
        <v>-68.418301321585915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190.67344493392068</v>
      </c>
      <c r="H6" s="22">
        <f>G6/C6</f>
        <v>3.1778907488986777E-2</v>
      </c>
      <c r="I6" s="22">
        <f>H6+0.003</f>
        <v>3.4778907488986779E-2</v>
      </c>
      <c r="J6" s="24">
        <f>I6+0.008</f>
        <v>4.277890748898678E-2</v>
      </c>
      <c r="K6" s="22">
        <v>4.1200000000000001E-2</v>
      </c>
      <c r="L6" s="22">
        <f>K6-J6</f>
        <v>-1.5789074889867791E-3</v>
      </c>
      <c r="M6" s="20">
        <f>L6*C6</f>
        <v>-9.4734449339206748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139.82719295154183</v>
      </c>
      <c r="H7" s="22">
        <f>G7/C7</f>
        <v>3.4956798237885459E-2</v>
      </c>
      <c r="I7" s="22">
        <f>H7+0.003</f>
        <v>3.7956798237885461E-2</v>
      </c>
      <c r="J7" s="24">
        <f>I7+0.008</f>
        <v>4.5956798237885461E-2</v>
      </c>
      <c r="K7" s="22">
        <v>4.1200000000000001E-2</v>
      </c>
      <c r="L7" s="22">
        <f>K7-J7</f>
        <v>-4.7567982378854609E-3</v>
      </c>
      <c r="M7" s="20">
        <f>L7*C7</f>
        <v>-19.027192951541842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3">
      <c r="C8">
        <f>SUM(C3:C7)</f>
        <v>52000</v>
      </c>
      <c r="E8">
        <f>SUM(E3:E7)</f>
        <v>18160000</v>
      </c>
      <c r="F8" s="21">
        <f>SUM(F3:F7)</f>
        <v>1</v>
      </c>
      <c r="M8" s="23">
        <f>SUM(M3:M7)</f>
        <v>-221.96239999999983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3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3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3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115</v>
      </c>
      <c r="B19">
        <v>120</v>
      </c>
      <c r="C19">
        <v>1.0855999999999999</v>
      </c>
      <c r="D19">
        <f>SUM(P11:P15)</f>
        <v>1329</v>
      </c>
      <c r="E19">
        <f>D19*C19</f>
        <v>1442.7623999999998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47"/>
  <sheetViews>
    <sheetView topLeftCell="A3" workbookViewId="0">
      <selection activeCell="I14" sqref="I14"/>
    </sheetView>
  </sheetViews>
  <sheetFormatPr defaultRowHeight="14.4" x14ac:dyDescent="0.3"/>
  <cols>
    <col min="10" max="10" width="11.44140625" bestFit="1" customWidth="1"/>
    <col min="11" max="11" width="16" bestFit="1" customWidth="1"/>
  </cols>
  <sheetData>
    <row r="2" spans="2:13" x14ac:dyDescent="0.3">
      <c r="B2" s="2" t="s">
        <v>108</v>
      </c>
      <c r="L2" t="s">
        <v>30</v>
      </c>
    </row>
    <row r="3" spans="2:13" x14ac:dyDescent="0.3">
      <c r="B3" t="s">
        <v>1</v>
      </c>
      <c r="C3" t="s">
        <v>2</v>
      </c>
      <c r="D3" t="s">
        <v>3</v>
      </c>
      <c r="E3" t="s">
        <v>15</v>
      </c>
      <c r="F3" t="s">
        <v>24</v>
      </c>
      <c r="H3" t="s">
        <v>113</v>
      </c>
      <c r="J3" t="s">
        <v>117</v>
      </c>
      <c r="K3" t="s">
        <v>118</v>
      </c>
      <c r="M3" s="14">
        <v>0.5</v>
      </c>
    </row>
    <row r="4" spans="2:13" x14ac:dyDescent="0.3">
      <c r="B4">
        <v>13</v>
      </c>
      <c r="C4">
        <v>17</v>
      </c>
      <c r="D4">
        <v>20000</v>
      </c>
      <c r="E4">
        <v>2.5399999999999999E-2</v>
      </c>
      <c r="F4">
        <f t="shared" ref="F4:F10" si="0">120/C4</f>
        <v>7.0588235294117645</v>
      </c>
      <c r="G4">
        <v>7</v>
      </c>
      <c r="H4">
        <f t="shared" ref="H4:H10" si="1">D4/G4</f>
        <v>2857.1428571428573</v>
      </c>
      <c r="I4">
        <v>2858</v>
      </c>
      <c r="J4">
        <f t="shared" ref="J4:J10" si="2">E4*D4</f>
        <v>508</v>
      </c>
      <c r="K4">
        <v>300</v>
      </c>
      <c r="L4">
        <f>J11-K4-F14</f>
        <v>634.59335999999939</v>
      </c>
      <c r="M4">
        <f>L4/2</f>
        <v>317.2966799999997</v>
      </c>
    </row>
    <row r="5" spans="2:13" x14ac:dyDescent="0.3">
      <c r="B5">
        <v>14</v>
      </c>
      <c r="C5">
        <v>17</v>
      </c>
      <c r="D5">
        <v>20000</v>
      </c>
      <c r="E5">
        <v>2.8400000000000002E-2</v>
      </c>
      <c r="F5">
        <f t="shared" si="0"/>
        <v>7.0588235294117645</v>
      </c>
      <c r="G5">
        <v>7</v>
      </c>
      <c r="H5">
        <f t="shared" si="1"/>
        <v>2857.1428571428573</v>
      </c>
      <c r="I5">
        <v>2858</v>
      </c>
      <c r="J5">
        <f t="shared" si="2"/>
        <v>568</v>
      </c>
    </row>
    <row r="6" spans="2:13" x14ac:dyDescent="0.3">
      <c r="B6">
        <v>15</v>
      </c>
      <c r="C6">
        <v>17</v>
      </c>
      <c r="D6">
        <v>15000</v>
      </c>
      <c r="E6">
        <v>3.015E-2</v>
      </c>
      <c r="F6">
        <f t="shared" si="0"/>
        <v>7.0588235294117645</v>
      </c>
      <c r="G6">
        <v>7</v>
      </c>
      <c r="H6">
        <f t="shared" si="1"/>
        <v>2142.8571428571427</v>
      </c>
      <c r="I6">
        <v>2143</v>
      </c>
      <c r="J6">
        <f t="shared" si="2"/>
        <v>452.25</v>
      </c>
    </row>
    <row r="7" spans="2:13" x14ac:dyDescent="0.3">
      <c r="B7">
        <v>17</v>
      </c>
      <c r="C7">
        <v>17</v>
      </c>
      <c r="D7">
        <v>4000</v>
      </c>
      <c r="E7">
        <v>3.415E-2</v>
      </c>
      <c r="F7">
        <f t="shared" si="0"/>
        <v>7.0588235294117645</v>
      </c>
      <c r="G7">
        <v>7</v>
      </c>
      <c r="H7">
        <f t="shared" si="1"/>
        <v>571.42857142857144</v>
      </c>
      <c r="I7">
        <v>572</v>
      </c>
      <c r="J7">
        <f t="shared" si="2"/>
        <v>136.6</v>
      </c>
    </row>
    <row r="8" spans="2:13" x14ac:dyDescent="0.3">
      <c r="B8">
        <v>20</v>
      </c>
      <c r="C8">
        <v>10</v>
      </c>
      <c r="D8">
        <v>16000</v>
      </c>
      <c r="E8">
        <v>2.47E-2</v>
      </c>
      <c r="F8">
        <f t="shared" si="0"/>
        <v>12</v>
      </c>
      <c r="G8">
        <v>12</v>
      </c>
      <c r="H8">
        <f t="shared" si="1"/>
        <v>1333.3333333333333</v>
      </c>
      <c r="I8">
        <v>1334</v>
      </c>
      <c r="J8">
        <f t="shared" si="2"/>
        <v>395.2</v>
      </c>
    </row>
    <row r="9" spans="2:13" x14ac:dyDescent="0.3">
      <c r="B9">
        <v>22</v>
      </c>
      <c r="C9">
        <v>10</v>
      </c>
      <c r="D9">
        <v>16000</v>
      </c>
      <c r="E9">
        <v>2.435E-2</v>
      </c>
      <c r="F9">
        <f t="shared" si="0"/>
        <v>12</v>
      </c>
      <c r="G9">
        <v>12</v>
      </c>
      <c r="H9">
        <f t="shared" si="1"/>
        <v>1333.3333333333333</v>
      </c>
      <c r="I9">
        <v>1334</v>
      </c>
      <c r="J9">
        <f t="shared" si="2"/>
        <v>389.6</v>
      </c>
    </row>
    <row r="10" spans="2:13" x14ac:dyDescent="0.3">
      <c r="B10">
        <v>24</v>
      </c>
      <c r="C10">
        <v>10</v>
      </c>
      <c r="D10">
        <v>8000</v>
      </c>
      <c r="E10">
        <v>3.04E-2</v>
      </c>
      <c r="F10">
        <f t="shared" si="0"/>
        <v>12</v>
      </c>
      <c r="G10">
        <v>12</v>
      </c>
      <c r="H10">
        <f t="shared" si="1"/>
        <v>666.66666666666663</v>
      </c>
      <c r="I10">
        <v>667</v>
      </c>
      <c r="J10">
        <f t="shared" si="2"/>
        <v>243.2</v>
      </c>
    </row>
    <row r="11" spans="2:13" x14ac:dyDescent="0.3">
      <c r="D11">
        <f>SUM(D4:D10)</f>
        <v>99000</v>
      </c>
      <c r="J11">
        <f>SUM(J4:J10)</f>
        <v>2692.8499999999995</v>
      </c>
    </row>
    <row r="12" spans="2:13" x14ac:dyDescent="0.3">
      <c r="B12" s="2" t="s">
        <v>84</v>
      </c>
    </row>
    <row r="13" spans="2:13" x14ac:dyDescent="0.3">
      <c r="B13" t="s">
        <v>1</v>
      </c>
      <c r="C13" t="s">
        <v>2</v>
      </c>
      <c r="D13" t="s">
        <v>15</v>
      </c>
      <c r="E13" t="s">
        <v>115</v>
      </c>
      <c r="F13" t="s">
        <v>116</v>
      </c>
    </row>
    <row r="14" spans="2:13" x14ac:dyDescent="0.3">
      <c r="B14">
        <v>115</v>
      </c>
      <c r="C14">
        <v>120</v>
      </c>
      <c r="D14">
        <v>1.05728</v>
      </c>
      <c r="E14">
        <f>B47</f>
        <v>1663</v>
      </c>
      <c r="F14">
        <f>E14*D14</f>
        <v>1758.2566400000001</v>
      </c>
    </row>
    <row r="15" spans="2:13" x14ac:dyDescent="0.3">
      <c r="B15">
        <v>76</v>
      </c>
      <c r="C15">
        <v>120</v>
      </c>
      <c r="D15">
        <v>0.71679999999999999</v>
      </c>
    </row>
    <row r="17" spans="1:10" x14ac:dyDescent="0.3">
      <c r="A17" s="2" t="s">
        <v>84</v>
      </c>
      <c r="B17" s="2" t="s">
        <v>109</v>
      </c>
    </row>
    <row r="18" spans="1:10" x14ac:dyDescent="0.3">
      <c r="A18" s="2">
        <v>243</v>
      </c>
      <c r="B18" s="15">
        <f t="shared" ref="B18:B24" si="3">SUM(C18:L18)</f>
        <v>115</v>
      </c>
      <c r="C18">
        <v>13</v>
      </c>
      <c r="D18">
        <v>13</v>
      </c>
      <c r="E18">
        <v>13</v>
      </c>
      <c r="F18">
        <v>13</v>
      </c>
      <c r="G18">
        <v>13</v>
      </c>
      <c r="H18">
        <v>13</v>
      </c>
      <c r="I18">
        <v>13</v>
      </c>
      <c r="J18">
        <v>24</v>
      </c>
    </row>
    <row r="19" spans="1:10" x14ac:dyDescent="0.3">
      <c r="A19" s="2">
        <v>315</v>
      </c>
      <c r="B19" s="15">
        <f t="shared" si="3"/>
        <v>115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17</v>
      </c>
    </row>
    <row r="20" spans="1:10" x14ac:dyDescent="0.3">
      <c r="A20" s="2">
        <v>319</v>
      </c>
      <c r="B20" s="15">
        <f t="shared" si="3"/>
        <v>115</v>
      </c>
      <c r="C20">
        <v>15</v>
      </c>
      <c r="D20">
        <v>15</v>
      </c>
      <c r="E20">
        <v>15</v>
      </c>
      <c r="F20">
        <v>15</v>
      </c>
      <c r="G20">
        <v>15</v>
      </c>
      <c r="H20">
        <v>14</v>
      </c>
      <c r="I20">
        <v>13</v>
      </c>
      <c r="J20">
        <v>13</v>
      </c>
    </row>
    <row r="21" spans="1:10" x14ac:dyDescent="0.3">
      <c r="A21" s="2">
        <v>43</v>
      </c>
      <c r="B21" s="15">
        <f t="shared" si="3"/>
        <v>115</v>
      </c>
      <c r="C21">
        <v>17</v>
      </c>
      <c r="D21">
        <v>17</v>
      </c>
      <c r="E21">
        <v>17</v>
      </c>
      <c r="F21">
        <v>17</v>
      </c>
      <c r="G21">
        <v>17</v>
      </c>
      <c r="H21">
        <v>17</v>
      </c>
      <c r="I21">
        <v>13</v>
      </c>
    </row>
    <row r="22" spans="1:10" x14ac:dyDescent="0.3">
      <c r="A22" s="2">
        <v>267</v>
      </c>
      <c r="B22" s="15">
        <f t="shared" si="3"/>
        <v>115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15</v>
      </c>
    </row>
    <row r="23" spans="1:10" x14ac:dyDescent="0.3">
      <c r="A23" s="2">
        <v>334</v>
      </c>
      <c r="B23" s="15">
        <f t="shared" si="3"/>
        <v>115</v>
      </c>
      <c r="C23">
        <v>22</v>
      </c>
      <c r="D23">
        <v>22</v>
      </c>
      <c r="E23">
        <v>22</v>
      </c>
      <c r="F23">
        <v>22</v>
      </c>
      <c r="G23">
        <v>13</v>
      </c>
      <c r="H23">
        <v>14</v>
      </c>
    </row>
    <row r="24" spans="1:10" x14ac:dyDescent="0.3">
      <c r="A24" s="2">
        <v>142</v>
      </c>
      <c r="B24" s="15">
        <f t="shared" si="3"/>
        <v>115</v>
      </c>
      <c r="C24">
        <v>24</v>
      </c>
      <c r="D24">
        <v>24</v>
      </c>
      <c r="E24">
        <v>24</v>
      </c>
      <c r="F24">
        <v>15</v>
      </c>
      <c r="G24">
        <v>15</v>
      </c>
      <c r="H24">
        <v>13</v>
      </c>
    </row>
    <row r="26" spans="1:10" x14ac:dyDescent="0.3">
      <c r="B26" t="s">
        <v>110</v>
      </c>
      <c r="C26" s="2">
        <v>13</v>
      </c>
      <c r="D26" s="2">
        <v>14</v>
      </c>
      <c r="E26" s="2">
        <v>15</v>
      </c>
      <c r="F26" s="2">
        <v>17</v>
      </c>
      <c r="G26" s="2">
        <v>20</v>
      </c>
      <c r="H26" s="2">
        <v>22</v>
      </c>
      <c r="I26" s="2">
        <v>24</v>
      </c>
    </row>
    <row r="27" spans="1:10" x14ac:dyDescent="0.3">
      <c r="A27">
        <v>1</v>
      </c>
      <c r="C27">
        <v>7</v>
      </c>
      <c r="I27">
        <v>1</v>
      </c>
    </row>
    <row r="28" spans="1:10" x14ac:dyDescent="0.3">
      <c r="A28">
        <v>2</v>
      </c>
      <c r="D28">
        <v>7</v>
      </c>
      <c r="F28">
        <v>1</v>
      </c>
    </row>
    <row r="29" spans="1:10" x14ac:dyDescent="0.3">
      <c r="A29">
        <v>3</v>
      </c>
      <c r="C29">
        <v>2</v>
      </c>
      <c r="D29">
        <v>1</v>
      </c>
      <c r="E29">
        <v>5</v>
      </c>
    </row>
    <row r="30" spans="1:10" x14ac:dyDescent="0.3">
      <c r="A30">
        <v>4</v>
      </c>
      <c r="C30">
        <v>1</v>
      </c>
      <c r="F30">
        <v>6</v>
      </c>
    </row>
    <row r="31" spans="1:10" x14ac:dyDescent="0.3">
      <c r="A31">
        <v>5</v>
      </c>
      <c r="E31">
        <v>1</v>
      </c>
      <c r="G31">
        <v>5</v>
      </c>
    </row>
    <row r="32" spans="1:10" x14ac:dyDescent="0.3">
      <c r="A32">
        <v>6</v>
      </c>
      <c r="C32">
        <v>1</v>
      </c>
      <c r="D32">
        <v>1</v>
      </c>
      <c r="H32">
        <v>4</v>
      </c>
    </row>
    <row r="33" spans="1:9" x14ac:dyDescent="0.3">
      <c r="A33">
        <v>7</v>
      </c>
      <c r="C33">
        <v>1</v>
      </c>
      <c r="E33">
        <v>2</v>
      </c>
      <c r="I33">
        <v>3</v>
      </c>
    </row>
    <row r="35" spans="1:9" x14ac:dyDescent="0.3">
      <c r="B35" s="13" t="s">
        <v>111</v>
      </c>
      <c r="C35" s="2">
        <f>I4</f>
        <v>2858</v>
      </c>
      <c r="D35" s="2">
        <f>I5</f>
        <v>2858</v>
      </c>
      <c r="E35" s="2">
        <f>I6</f>
        <v>2143</v>
      </c>
      <c r="F35" s="2">
        <f>I7</f>
        <v>572</v>
      </c>
      <c r="G35" s="2">
        <f>I8</f>
        <v>1334</v>
      </c>
      <c r="H35" s="2">
        <f>I9</f>
        <v>1334</v>
      </c>
      <c r="I35" s="2">
        <f>I10</f>
        <v>667</v>
      </c>
    </row>
    <row r="36" spans="1:9" x14ac:dyDescent="0.3">
      <c r="B36" s="13" t="s">
        <v>112</v>
      </c>
      <c r="C36">
        <f t="shared" ref="C36:I36" si="4">SUM(C38:C44)</f>
        <v>2858</v>
      </c>
      <c r="D36">
        <f t="shared" si="4"/>
        <v>2858</v>
      </c>
      <c r="E36">
        <f t="shared" si="4"/>
        <v>2146</v>
      </c>
      <c r="F36">
        <f t="shared" si="4"/>
        <v>573</v>
      </c>
      <c r="G36">
        <f t="shared" si="4"/>
        <v>1335</v>
      </c>
      <c r="H36">
        <f t="shared" si="4"/>
        <v>1336</v>
      </c>
      <c r="I36">
        <f t="shared" si="4"/>
        <v>669</v>
      </c>
    </row>
    <row r="38" spans="1:9" x14ac:dyDescent="0.3">
      <c r="A38">
        <v>1</v>
      </c>
      <c r="B38">
        <v>243</v>
      </c>
      <c r="C38">
        <f t="shared" ref="C38:I38" si="5">$B$38*C27</f>
        <v>1701</v>
      </c>
      <c r="D38">
        <f t="shared" si="5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243</v>
      </c>
    </row>
    <row r="39" spans="1:9" x14ac:dyDescent="0.3">
      <c r="A39">
        <v>2</v>
      </c>
      <c r="B39">
        <v>315</v>
      </c>
      <c r="C39">
        <f t="shared" ref="C39:I39" si="6">$B$39*C28</f>
        <v>0</v>
      </c>
      <c r="D39">
        <f t="shared" si="6"/>
        <v>2205</v>
      </c>
      <c r="E39">
        <f t="shared" si="6"/>
        <v>0</v>
      </c>
      <c r="F39">
        <f t="shared" si="6"/>
        <v>315</v>
      </c>
      <c r="G39">
        <f t="shared" si="6"/>
        <v>0</v>
      </c>
      <c r="H39">
        <f t="shared" si="6"/>
        <v>0</v>
      </c>
      <c r="I39">
        <f t="shared" si="6"/>
        <v>0</v>
      </c>
    </row>
    <row r="40" spans="1:9" x14ac:dyDescent="0.3">
      <c r="A40">
        <v>3</v>
      </c>
      <c r="B40">
        <v>319</v>
      </c>
      <c r="C40">
        <f t="shared" ref="C40:I40" si="7">$B$40*C29</f>
        <v>638</v>
      </c>
      <c r="D40">
        <f t="shared" si="7"/>
        <v>319</v>
      </c>
      <c r="E40">
        <f t="shared" si="7"/>
        <v>1595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</row>
    <row r="41" spans="1:9" x14ac:dyDescent="0.3">
      <c r="A41">
        <v>4</v>
      </c>
      <c r="B41">
        <v>43</v>
      </c>
      <c r="C41">
        <f t="shared" ref="C41:I41" si="8">$B$41*C30</f>
        <v>43</v>
      </c>
      <c r="D41">
        <f t="shared" si="8"/>
        <v>0</v>
      </c>
      <c r="E41">
        <f t="shared" si="8"/>
        <v>0</v>
      </c>
      <c r="F41">
        <f t="shared" si="8"/>
        <v>258</v>
      </c>
      <c r="G41">
        <f t="shared" si="8"/>
        <v>0</v>
      </c>
      <c r="H41">
        <f t="shared" si="8"/>
        <v>0</v>
      </c>
      <c r="I41">
        <f t="shared" si="8"/>
        <v>0</v>
      </c>
    </row>
    <row r="42" spans="1:9" x14ac:dyDescent="0.3">
      <c r="A42">
        <v>5</v>
      </c>
      <c r="B42">
        <v>267</v>
      </c>
      <c r="C42">
        <f t="shared" ref="C42:I42" si="9">$B$42*C31</f>
        <v>0</v>
      </c>
      <c r="D42">
        <f t="shared" si="9"/>
        <v>0</v>
      </c>
      <c r="E42">
        <f t="shared" si="9"/>
        <v>267</v>
      </c>
      <c r="F42">
        <f t="shared" si="9"/>
        <v>0</v>
      </c>
      <c r="G42">
        <f t="shared" si="9"/>
        <v>1335</v>
      </c>
      <c r="H42">
        <f t="shared" si="9"/>
        <v>0</v>
      </c>
      <c r="I42">
        <f t="shared" si="9"/>
        <v>0</v>
      </c>
    </row>
    <row r="43" spans="1:9" x14ac:dyDescent="0.3">
      <c r="A43">
        <v>6</v>
      </c>
      <c r="B43">
        <v>334</v>
      </c>
      <c r="C43">
        <f t="shared" ref="C43:I43" si="10">$B$43*C32</f>
        <v>334</v>
      </c>
      <c r="D43">
        <f t="shared" si="10"/>
        <v>334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1336</v>
      </c>
      <c r="I43">
        <f t="shared" si="10"/>
        <v>0</v>
      </c>
    </row>
    <row r="44" spans="1:9" x14ac:dyDescent="0.3">
      <c r="A44">
        <v>7</v>
      </c>
      <c r="B44">
        <v>142</v>
      </c>
      <c r="C44">
        <f t="shared" ref="C44:I44" si="11">$B$44*C33</f>
        <v>142</v>
      </c>
      <c r="D44">
        <f t="shared" si="11"/>
        <v>0</v>
      </c>
      <c r="E44">
        <f t="shared" si="11"/>
        <v>284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11"/>
        <v>426</v>
      </c>
    </row>
    <row r="46" spans="1:9" x14ac:dyDescent="0.3">
      <c r="A46" t="s">
        <v>114</v>
      </c>
    </row>
    <row r="47" spans="1:9" x14ac:dyDescent="0.3">
      <c r="B47">
        <f>SUM(B38:B46)</f>
        <v>1663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5"/>
  <sheetViews>
    <sheetView topLeftCell="A25" zoomScale="70" zoomScaleNormal="70" workbookViewId="0">
      <selection activeCell="B67" sqref="B67"/>
    </sheetView>
  </sheetViews>
  <sheetFormatPr defaultRowHeight="14.4" x14ac:dyDescent="0.3"/>
  <cols>
    <col min="1" max="1" width="16.33203125" bestFit="1" customWidth="1"/>
    <col min="2" max="2" width="25.33203125" bestFit="1" customWidth="1"/>
    <col min="3" max="3" width="15" customWidth="1"/>
    <col min="4" max="4" width="16.109375" customWidth="1"/>
    <col min="5" max="5" width="11.5546875" bestFit="1" customWidth="1"/>
    <col min="6" max="6" width="14.6640625" bestFit="1" customWidth="1"/>
    <col min="7" max="7" width="11.33203125" customWidth="1"/>
    <col min="8" max="10" width="14.109375" customWidth="1"/>
    <col min="11" max="11" width="11.6640625" customWidth="1"/>
    <col min="12" max="12" width="12.109375" customWidth="1"/>
    <col min="13" max="18" width="4.33203125" customWidth="1"/>
    <col min="19" max="19" width="7.109375" customWidth="1"/>
    <col min="20" max="22" width="15.88671875" customWidth="1"/>
    <col min="23" max="23" width="8.109375" bestFit="1" customWidth="1"/>
    <col min="24" max="24" width="8.5546875" bestFit="1" customWidth="1"/>
    <col min="25" max="27" width="7.33203125" customWidth="1"/>
  </cols>
  <sheetData>
    <row r="1" spans="1:22" s="2" customFormat="1" x14ac:dyDescent="0.3">
      <c r="A1" s="207" t="s">
        <v>145</v>
      </c>
      <c r="B1" s="207"/>
    </row>
    <row r="2" spans="1:22" s="2" customFormat="1" x14ac:dyDescent="0.3">
      <c r="A2" s="208" t="s">
        <v>159</v>
      </c>
      <c r="B2" s="208"/>
      <c r="C2" s="209"/>
      <c r="D2" s="210" t="s">
        <v>160</v>
      </c>
      <c r="E2" s="210"/>
      <c r="F2" s="210"/>
      <c r="G2" s="210"/>
      <c r="H2" s="210"/>
      <c r="I2" s="210"/>
      <c r="J2" s="210"/>
      <c r="K2" s="7"/>
    </row>
    <row r="3" spans="1:22" s="3" customFormat="1" ht="72" x14ac:dyDescent="0.3">
      <c r="A3" s="76" t="s">
        <v>176</v>
      </c>
      <c r="B3" s="76" t="s">
        <v>177</v>
      </c>
      <c r="C3" s="87" t="s">
        <v>175</v>
      </c>
      <c r="D3" s="77" t="s">
        <v>174</v>
      </c>
      <c r="E3" s="30" t="s">
        <v>173</v>
      </c>
      <c r="F3" s="30" t="s">
        <v>171</v>
      </c>
      <c r="G3" s="78" t="s">
        <v>178</v>
      </c>
      <c r="H3" s="30" t="s">
        <v>179</v>
      </c>
      <c r="I3" s="30" t="s">
        <v>180</v>
      </c>
      <c r="J3" s="30" t="s">
        <v>181</v>
      </c>
      <c r="K3" s="92" t="s">
        <v>191</v>
      </c>
      <c r="L3" s="92" t="s">
        <v>284</v>
      </c>
      <c r="T3" s="96" t="s">
        <v>199</v>
      </c>
      <c r="U3" s="96" t="s">
        <v>200</v>
      </c>
      <c r="V3" s="96" t="s">
        <v>198</v>
      </c>
    </row>
    <row r="4" spans="1:22" x14ac:dyDescent="0.3">
      <c r="A4" s="72">
        <v>14</v>
      </c>
      <c r="B4" s="72">
        <v>18</v>
      </c>
      <c r="C4" s="88">
        <v>1000</v>
      </c>
      <c r="D4" s="66">
        <v>6</v>
      </c>
      <c r="E4" s="25">
        <f>A4*$B$4*C4</f>
        <v>252000</v>
      </c>
      <c r="F4" s="85">
        <f t="shared" ref="F4:F9" si="0">E4/$E$10</f>
        <v>0.10687022900763359</v>
      </c>
      <c r="G4" s="73">
        <f t="shared" ref="G4:G9" si="1">$E$66*F4</f>
        <v>15.581679389312974</v>
      </c>
      <c r="H4" s="26">
        <f>G4/C4</f>
        <v>1.5581679389312974E-2</v>
      </c>
      <c r="I4" s="26">
        <f>H4+0.003</f>
        <v>1.8581679389312974E-2</v>
      </c>
      <c r="J4" s="27">
        <f>I4+0.007</f>
        <v>2.5581679389312974E-2</v>
      </c>
      <c r="K4" s="93">
        <f>C4/L15</f>
        <v>142.85714285714286</v>
      </c>
      <c r="L4" s="93">
        <f>K4/L15</f>
        <v>20.408163265306122</v>
      </c>
      <c r="M4" s="22"/>
      <c r="O4">
        <f>7*6</f>
        <v>42</v>
      </c>
      <c r="S4" t="s">
        <v>204</v>
      </c>
      <c r="T4" s="31">
        <f>A4*B4</f>
        <v>252</v>
      </c>
      <c r="U4" s="31">
        <f>A66*B66</f>
        <v>11564</v>
      </c>
      <c r="V4" s="31">
        <f>D66*D4</f>
        <v>1458</v>
      </c>
    </row>
    <row r="5" spans="1:22" x14ac:dyDescent="0.3">
      <c r="A5" s="72">
        <v>15</v>
      </c>
      <c r="B5" s="72">
        <v>18</v>
      </c>
      <c r="C5" s="88">
        <v>1000</v>
      </c>
      <c r="D5" s="66">
        <v>6</v>
      </c>
      <c r="E5" s="25">
        <f t="shared" ref="E5:E9" si="2">A5*$B$4*C5</f>
        <v>270000</v>
      </c>
      <c r="F5" s="85">
        <f t="shared" si="0"/>
        <v>0.11450381679389313</v>
      </c>
      <c r="G5" s="73">
        <f t="shared" si="1"/>
        <v>16.694656488549615</v>
      </c>
      <c r="H5" s="26">
        <f>G5/C5</f>
        <v>1.6694656488549616E-2</v>
      </c>
      <c r="I5" s="26">
        <f>H5+0.003</f>
        <v>1.9694656488549615E-2</v>
      </c>
      <c r="J5" s="27">
        <f>I5+0.007</f>
        <v>2.6694656488549615E-2</v>
      </c>
      <c r="K5" s="93">
        <f t="shared" ref="K5:K7" si="3">C5/L16</f>
        <v>166.66666666666666</v>
      </c>
      <c r="L5" s="93">
        <f>K5/L16</f>
        <v>27.777777777777775</v>
      </c>
      <c r="M5" s="22"/>
      <c r="N5" s="20"/>
      <c r="S5" t="s">
        <v>205</v>
      </c>
      <c r="T5" s="31">
        <f>A5*B5</f>
        <v>270</v>
      </c>
      <c r="U5" s="31"/>
      <c r="V5" s="31"/>
    </row>
    <row r="6" spans="1:22" x14ac:dyDescent="0.3">
      <c r="A6" s="72">
        <v>16</v>
      </c>
      <c r="B6" s="72">
        <v>18</v>
      </c>
      <c r="C6" s="88">
        <v>2000</v>
      </c>
      <c r="D6" s="66">
        <v>6</v>
      </c>
      <c r="E6" s="25">
        <f t="shared" si="2"/>
        <v>576000</v>
      </c>
      <c r="F6" s="85">
        <f t="shared" si="0"/>
        <v>0.24427480916030533</v>
      </c>
      <c r="G6" s="73">
        <f t="shared" si="1"/>
        <v>35.615267175572512</v>
      </c>
      <c r="H6" s="26">
        <f>G6/C6</f>
        <v>1.7807633587786257E-2</v>
      </c>
      <c r="I6" s="26">
        <f>H6+0.003</f>
        <v>2.0807633587786256E-2</v>
      </c>
      <c r="J6" s="27">
        <f>I6+0.007</f>
        <v>2.7807633587786255E-2</v>
      </c>
      <c r="K6" s="93">
        <f t="shared" si="3"/>
        <v>333.33333333333331</v>
      </c>
      <c r="L6" s="93">
        <f>K6/L17</f>
        <v>55.55555555555555</v>
      </c>
      <c r="M6" s="22"/>
      <c r="N6" s="20"/>
      <c r="S6" t="s">
        <v>206</v>
      </c>
      <c r="T6" s="31">
        <f t="shared" ref="T6:T9" si="4">A6*B6</f>
        <v>288</v>
      </c>
      <c r="U6" s="31"/>
      <c r="V6" s="31"/>
    </row>
    <row r="7" spans="1:22" x14ac:dyDescent="0.3">
      <c r="A7" s="72">
        <v>17</v>
      </c>
      <c r="B7" s="72">
        <v>18</v>
      </c>
      <c r="C7" s="88">
        <v>2000</v>
      </c>
      <c r="D7" s="66">
        <v>6</v>
      </c>
      <c r="E7" s="25">
        <f t="shared" si="2"/>
        <v>612000</v>
      </c>
      <c r="F7" s="85">
        <f t="shared" si="0"/>
        <v>0.25954198473282442</v>
      </c>
      <c r="G7" s="73">
        <f t="shared" si="1"/>
        <v>37.841221374045794</v>
      </c>
      <c r="H7" s="26">
        <f>G7/C7</f>
        <v>1.8920610687022898E-2</v>
      </c>
      <c r="I7" s="26">
        <f>H7+0.003</f>
        <v>2.1920610687022897E-2</v>
      </c>
      <c r="J7" s="27">
        <f>I7+0.007</f>
        <v>2.8920610687022896E-2</v>
      </c>
      <c r="K7" s="93">
        <f t="shared" si="3"/>
        <v>333.33333333333331</v>
      </c>
      <c r="L7" s="93">
        <f>K7/L18</f>
        <v>55.55555555555555</v>
      </c>
      <c r="M7" s="22"/>
      <c r="N7" s="20"/>
      <c r="S7" t="s">
        <v>207</v>
      </c>
      <c r="T7" s="31">
        <f t="shared" si="4"/>
        <v>306</v>
      </c>
      <c r="U7" s="31"/>
      <c r="V7" s="31"/>
    </row>
    <row r="8" spans="1:22" x14ac:dyDescent="0.3">
      <c r="A8" s="72">
        <v>18</v>
      </c>
      <c r="B8" s="72">
        <v>18</v>
      </c>
      <c r="C8" s="88">
        <v>2000</v>
      </c>
      <c r="D8" s="66">
        <v>6</v>
      </c>
      <c r="E8" s="25">
        <f t="shared" si="2"/>
        <v>648000</v>
      </c>
      <c r="F8" s="85">
        <f t="shared" si="0"/>
        <v>0.27480916030534353</v>
      </c>
      <c r="G8" s="73">
        <f t="shared" si="1"/>
        <v>40.067175572519083</v>
      </c>
      <c r="H8" s="26">
        <f>G8/C8</f>
        <v>2.0033587786259542E-2</v>
      </c>
      <c r="I8" s="26">
        <f>H8+0.003</f>
        <v>2.3033587786259541E-2</v>
      </c>
      <c r="J8" s="27">
        <f>I8+0.007</f>
        <v>3.0033587786259541E-2</v>
      </c>
      <c r="K8" s="93">
        <f>C8/L19</f>
        <v>400</v>
      </c>
      <c r="L8" s="93">
        <f>K8/L19</f>
        <v>80</v>
      </c>
      <c r="M8" s="22"/>
      <c r="N8" s="20"/>
      <c r="S8" t="s">
        <v>208</v>
      </c>
      <c r="T8" s="31">
        <f t="shared" si="4"/>
        <v>324</v>
      </c>
      <c r="U8" s="31"/>
      <c r="V8" s="31"/>
    </row>
    <row r="9" spans="1:22" x14ac:dyDescent="0.3">
      <c r="A9" s="72">
        <v>24</v>
      </c>
      <c r="B9" s="72">
        <v>18</v>
      </c>
      <c r="C9" s="88">
        <v>0</v>
      </c>
      <c r="D9" s="66">
        <v>0</v>
      </c>
      <c r="E9" s="25">
        <f t="shared" si="2"/>
        <v>0</v>
      </c>
      <c r="F9" s="85">
        <f t="shared" si="0"/>
        <v>0</v>
      </c>
      <c r="G9" s="73">
        <f t="shared" si="1"/>
        <v>0</v>
      </c>
      <c r="H9" s="26"/>
      <c r="I9" s="26"/>
      <c r="J9" s="27"/>
      <c r="K9" s="94"/>
      <c r="L9" s="94"/>
      <c r="M9" s="22"/>
      <c r="N9" s="20"/>
      <c r="S9" t="s">
        <v>203</v>
      </c>
      <c r="T9" s="31">
        <f t="shared" si="4"/>
        <v>432</v>
      </c>
      <c r="U9" s="31"/>
      <c r="V9" s="31"/>
    </row>
    <row r="10" spans="1:22" x14ac:dyDescent="0.3">
      <c r="D10" s="31"/>
      <c r="E10" s="28">
        <f t="shared" ref="E10:K10" si="5">SUM(E4:E9)</f>
        <v>2358000</v>
      </c>
      <c r="F10" s="89">
        <f t="shared" si="5"/>
        <v>1</v>
      </c>
      <c r="G10" s="74">
        <f t="shared" si="5"/>
        <v>145.79999999999998</v>
      </c>
      <c r="H10" s="75">
        <f t="shared" si="5"/>
        <v>8.9038167938931295E-2</v>
      </c>
      <c r="I10" s="75">
        <f t="shared" si="5"/>
        <v>0.10403816793893128</v>
      </c>
      <c r="J10" s="75">
        <f t="shared" si="5"/>
        <v>0.13903816793893128</v>
      </c>
      <c r="K10" s="95">
        <f t="shared" si="5"/>
        <v>1376.1904761904761</v>
      </c>
      <c r="L10" s="95">
        <f t="shared" ref="L10" si="6">SUM(L4:L9)</f>
        <v>239.297052154195</v>
      </c>
      <c r="N10" s="23"/>
    </row>
    <row r="11" spans="1:22" ht="28.8" x14ac:dyDescent="0.3">
      <c r="E11" s="8"/>
      <c r="F11" s="70"/>
      <c r="G11" s="71"/>
      <c r="H11" s="71"/>
      <c r="I11" s="71"/>
      <c r="J11" s="71"/>
      <c r="K11" s="71"/>
      <c r="N11" s="23"/>
      <c r="U11" s="102" t="s">
        <v>201</v>
      </c>
    </row>
    <row r="12" spans="1:22" x14ac:dyDescent="0.3">
      <c r="A12" s="33" t="s">
        <v>146</v>
      </c>
      <c r="U12" s="31">
        <f>U4*D66</f>
        <v>2810052</v>
      </c>
    </row>
    <row r="13" spans="1:22" x14ac:dyDescent="0.3">
      <c r="A13" s="211" t="s">
        <v>163</v>
      </c>
      <c r="B13" s="211"/>
      <c r="C13" s="211"/>
      <c r="D13" s="211"/>
      <c r="E13" s="211"/>
      <c r="F13" s="211"/>
      <c r="G13" s="211"/>
      <c r="H13" s="211"/>
      <c r="I13" s="211"/>
      <c r="L13" s="206" t="s">
        <v>161</v>
      </c>
      <c r="M13" s="206"/>
      <c r="N13" s="206"/>
      <c r="O13" s="206"/>
      <c r="P13" s="206"/>
      <c r="Q13" s="206"/>
      <c r="R13" s="206"/>
    </row>
    <row r="14" spans="1:22" s="3" customFormat="1" ht="43.2" x14ac:dyDescent="0.3">
      <c r="A14" s="83" t="s">
        <v>182</v>
      </c>
      <c r="B14" s="83" t="s">
        <v>183</v>
      </c>
      <c r="C14" s="83" t="s">
        <v>184</v>
      </c>
      <c r="D14" s="83" t="s">
        <v>185</v>
      </c>
      <c r="E14" s="83" t="s">
        <v>186</v>
      </c>
      <c r="F14" s="83" t="s">
        <v>187</v>
      </c>
      <c r="G14" s="83" t="s">
        <v>188</v>
      </c>
      <c r="H14" s="83" t="s">
        <v>189</v>
      </c>
      <c r="I14" s="83" t="s">
        <v>190</v>
      </c>
      <c r="J14" s="90" t="s">
        <v>172</v>
      </c>
      <c r="K14" s="86"/>
      <c r="L14" s="83" t="s">
        <v>153</v>
      </c>
      <c r="M14" s="83">
        <f>A4</f>
        <v>14</v>
      </c>
      <c r="N14" s="83">
        <f>A5</f>
        <v>15</v>
      </c>
      <c r="O14" s="83">
        <f>A6</f>
        <v>16</v>
      </c>
      <c r="P14" s="83">
        <f>A7</f>
        <v>17</v>
      </c>
      <c r="Q14" s="83">
        <f>A8</f>
        <v>18</v>
      </c>
      <c r="R14" s="83">
        <f>A9</f>
        <v>24</v>
      </c>
      <c r="U14" s="3" t="s">
        <v>202</v>
      </c>
    </row>
    <row r="15" spans="1:22" x14ac:dyDescent="0.3">
      <c r="A15" s="28">
        <f>SUM(B15:H15)</f>
        <v>98</v>
      </c>
      <c r="B15" s="25">
        <v>14</v>
      </c>
      <c r="C15" s="25">
        <v>14</v>
      </c>
      <c r="D15" s="25">
        <v>14</v>
      </c>
      <c r="E15" s="25">
        <v>14</v>
      </c>
      <c r="F15" s="25">
        <v>14</v>
      </c>
      <c r="G15" s="25">
        <v>14</v>
      </c>
      <c r="H15" s="25">
        <v>14</v>
      </c>
      <c r="I15" s="25"/>
      <c r="J15" s="91">
        <f>($A$66-A15)*$B$4</f>
        <v>0</v>
      </c>
      <c r="K15" s="9"/>
      <c r="L15" s="41">
        <f>SUM(M15:R15)</f>
        <v>7</v>
      </c>
      <c r="M15" s="25">
        <f t="shared" ref="M15:R19" si="7">COUNTIF($B15:$I15,M$14)</f>
        <v>7</v>
      </c>
      <c r="N15" s="25">
        <f t="shared" si="7"/>
        <v>0</v>
      </c>
      <c r="O15" s="25">
        <f t="shared" si="7"/>
        <v>0</v>
      </c>
      <c r="P15" s="25">
        <f t="shared" si="7"/>
        <v>0</v>
      </c>
      <c r="Q15" s="25">
        <f t="shared" si="7"/>
        <v>0</v>
      </c>
      <c r="R15" s="25">
        <f t="shared" si="7"/>
        <v>0</v>
      </c>
      <c r="U15">
        <f>U12-E10</f>
        <v>452052</v>
      </c>
    </row>
    <row r="16" spans="1:22" x14ac:dyDescent="0.3">
      <c r="A16" s="28">
        <f>SUM(B16:H16)</f>
        <v>96</v>
      </c>
      <c r="B16" s="25">
        <v>15</v>
      </c>
      <c r="C16" s="25">
        <v>15</v>
      </c>
      <c r="D16" s="25">
        <v>15</v>
      </c>
      <c r="E16" s="25">
        <v>15</v>
      </c>
      <c r="F16" s="25">
        <v>18</v>
      </c>
      <c r="G16" s="25">
        <v>18</v>
      </c>
      <c r="H16" s="25"/>
      <c r="I16" s="25"/>
      <c r="J16" s="91">
        <f>($A$66-A16)*$B$4</f>
        <v>36</v>
      </c>
      <c r="K16" s="9"/>
      <c r="L16" s="41">
        <f t="shared" ref="L16:L19" si="8">SUM(M16:R16)</f>
        <v>6</v>
      </c>
      <c r="M16" s="25">
        <f t="shared" si="7"/>
        <v>0</v>
      </c>
      <c r="N16" s="25">
        <f t="shared" si="7"/>
        <v>4</v>
      </c>
      <c r="O16" s="25">
        <f t="shared" si="7"/>
        <v>0</v>
      </c>
      <c r="P16" s="25">
        <f t="shared" si="7"/>
        <v>0</v>
      </c>
      <c r="Q16" s="25">
        <f t="shared" si="7"/>
        <v>2</v>
      </c>
      <c r="R16" s="25">
        <f t="shared" si="7"/>
        <v>0</v>
      </c>
    </row>
    <row r="17" spans="1:20" x14ac:dyDescent="0.3">
      <c r="A17" s="28">
        <f>SUM(B17:H17)</f>
        <v>96</v>
      </c>
      <c r="B17" s="25">
        <v>16</v>
      </c>
      <c r="C17" s="25">
        <v>16</v>
      </c>
      <c r="D17" s="25">
        <v>16</v>
      </c>
      <c r="E17" s="25">
        <v>16</v>
      </c>
      <c r="F17" s="25">
        <v>16</v>
      </c>
      <c r="G17" s="25">
        <v>16</v>
      </c>
      <c r="H17" s="25"/>
      <c r="I17" s="25"/>
      <c r="J17" s="91">
        <f>($A$66-A17)*$B$4</f>
        <v>36</v>
      </c>
      <c r="K17" s="9"/>
      <c r="L17" s="41">
        <f t="shared" si="8"/>
        <v>6</v>
      </c>
      <c r="M17" s="25">
        <f t="shared" si="7"/>
        <v>0</v>
      </c>
      <c r="N17" s="25">
        <f t="shared" si="7"/>
        <v>0</v>
      </c>
      <c r="O17" s="25">
        <f t="shared" si="7"/>
        <v>6</v>
      </c>
      <c r="P17" s="25">
        <f t="shared" si="7"/>
        <v>0</v>
      </c>
      <c r="Q17" s="25">
        <f t="shared" si="7"/>
        <v>0</v>
      </c>
      <c r="R17" s="25">
        <f t="shared" si="7"/>
        <v>0</v>
      </c>
      <c r="T17" t="s">
        <v>209</v>
      </c>
    </row>
    <row r="18" spans="1:20" x14ac:dyDescent="0.3">
      <c r="A18" s="28">
        <f>SUM(B18:H18)</f>
        <v>98</v>
      </c>
      <c r="B18" s="25">
        <v>17</v>
      </c>
      <c r="C18" s="25">
        <v>17</v>
      </c>
      <c r="D18" s="25">
        <v>17</v>
      </c>
      <c r="E18" s="25">
        <v>17</v>
      </c>
      <c r="F18" s="25">
        <v>16</v>
      </c>
      <c r="G18" s="25">
        <v>14</v>
      </c>
      <c r="H18" s="25"/>
      <c r="I18" s="25"/>
      <c r="J18" s="91">
        <f>($A$66-A18)*$B$4</f>
        <v>0</v>
      </c>
      <c r="K18" s="9"/>
      <c r="L18" s="41">
        <f t="shared" si="8"/>
        <v>6</v>
      </c>
      <c r="M18" s="25">
        <f t="shared" si="7"/>
        <v>1</v>
      </c>
      <c r="N18" s="25">
        <f t="shared" si="7"/>
        <v>0</v>
      </c>
      <c r="O18" s="25">
        <f t="shared" si="7"/>
        <v>1</v>
      </c>
      <c r="P18" s="25">
        <f t="shared" si="7"/>
        <v>4</v>
      </c>
      <c r="Q18" s="25">
        <f t="shared" si="7"/>
        <v>0</v>
      </c>
      <c r="R18" s="25">
        <f t="shared" si="7"/>
        <v>0</v>
      </c>
    </row>
    <row r="19" spans="1:20" x14ac:dyDescent="0.3">
      <c r="A19" s="28">
        <f>SUM(B19:H19)</f>
        <v>96</v>
      </c>
      <c r="B19" s="25">
        <v>18</v>
      </c>
      <c r="C19" s="25">
        <v>18</v>
      </c>
      <c r="D19" s="25">
        <v>18</v>
      </c>
      <c r="E19" s="25">
        <v>18</v>
      </c>
      <c r="F19" s="84">
        <v>24</v>
      </c>
      <c r="G19" s="25"/>
      <c r="H19" s="25"/>
      <c r="I19" s="25"/>
      <c r="J19" s="91">
        <f>($A$66-A19)*$B$4</f>
        <v>36</v>
      </c>
      <c r="K19" s="9"/>
      <c r="L19" s="41">
        <f t="shared" si="8"/>
        <v>5</v>
      </c>
      <c r="M19" s="25">
        <f t="shared" si="7"/>
        <v>0</v>
      </c>
      <c r="N19" s="25">
        <f t="shared" si="7"/>
        <v>0</v>
      </c>
      <c r="O19" s="25">
        <f t="shared" si="7"/>
        <v>0</v>
      </c>
      <c r="P19" s="25">
        <f t="shared" si="7"/>
        <v>0</v>
      </c>
      <c r="Q19" s="25">
        <f t="shared" si="7"/>
        <v>4</v>
      </c>
      <c r="R19" s="25">
        <f t="shared" si="7"/>
        <v>1</v>
      </c>
    </row>
    <row r="20" spans="1:20" x14ac:dyDescent="0.3">
      <c r="M20" s="25">
        <f>SUM(M15:M19)</f>
        <v>8</v>
      </c>
      <c r="N20" s="25">
        <f t="shared" ref="N20:R20" si="9">SUM(N15:N19)</f>
        <v>4</v>
      </c>
      <c r="O20" s="25">
        <f t="shared" si="9"/>
        <v>7</v>
      </c>
      <c r="P20" s="25">
        <f t="shared" si="9"/>
        <v>4</v>
      </c>
      <c r="Q20" s="25">
        <f t="shared" si="9"/>
        <v>6</v>
      </c>
      <c r="R20" s="25">
        <f t="shared" si="9"/>
        <v>1</v>
      </c>
    </row>
    <row r="21" spans="1:20" x14ac:dyDescent="0.3">
      <c r="A21" s="104" t="s">
        <v>213</v>
      </c>
    </row>
    <row r="22" spans="1:20" ht="28.8" x14ac:dyDescent="0.3">
      <c r="A22" s="97" t="s">
        <v>192</v>
      </c>
      <c r="B22" s="96" t="s">
        <v>154</v>
      </c>
      <c r="C22" s="96">
        <f>M14</f>
        <v>14</v>
      </c>
      <c r="D22" s="96">
        <f t="shared" ref="D22:H22" si="10">N14</f>
        <v>15</v>
      </c>
      <c r="E22" s="96">
        <f t="shared" si="10"/>
        <v>16</v>
      </c>
      <c r="F22" s="96">
        <f t="shared" si="10"/>
        <v>17</v>
      </c>
      <c r="G22" s="96">
        <f t="shared" si="10"/>
        <v>18</v>
      </c>
      <c r="H22" s="96">
        <f t="shared" si="10"/>
        <v>24</v>
      </c>
      <c r="I22" s="35" t="s">
        <v>197</v>
      </c>
    </row>
    <row r="23" spans="1:20" x14ac:dyDescent="0.3">
      <c r="A23" s="98">
        <v>12</v>
      </c>
      <c r="B23" s="31"/>
      <c r="C23" s="40">
        <f>$A23*M15*$D$4</f>
        <v>504</v>
      </c>
      <c r="D23" s="40">
        <f t="shared" ref="D23:H27" si="11">$A23*N15*$D$4</f>
        <v>0</v>
      </c>
      <c r="E23" s="40">
        <f t="shared" si="11"/>
        <v>0</v>
      </c>
      <c r="F23" s="40">
        <f t="shared" si="11"/>
        <v>0</v>
      </c>
      <c r="G23" s="40">
        <f t="shared" si="11"/>
        <v>0</v>
      </c>
      <c r="H23" s="40">
        <f t="shared" si="11"/>
        <v>0</v>
      </c>
      <c r="I23" s="31">
        <f>A23*J15</f>
        <v>0</v>
      </c>
    </row>
    <row r="24" spans="1:20" x14ac:dyDescent="0.3">
      <c r="A24" s="98">
        <v>42</v>
      </c>
      <c r="B24" s="31"/>
      <c r="C24" s="40">
        <f t="shared" ref="C24:C27" si="12">$A24*M16*$D$4</f>
        <v>0</v>
      </c>
      <c r="D24" s="40">
        <f>$A24*N16*$D$4</f>
        <v>1008</v>
      </c>
      <c r="E24" s="40">
        <f t="shared" si="11"/>
        <v>0</v>
      </c>
      <c r="F24" s="40">
        <f t="shared" si="11"/>
        <v>0</v>
      </c>
      <c r="G24" s="40">
        <f t="shared" si="11"/>
        <v>504</v>
      </c>
      <c r="H24" s="40">
        <f t="shared" si="11"/>
        <v>0</v>
      </c>
      <c r="I24" s="31">
        <f t="shared" ref="I24:I27" si="13">A24*J16</f>
        <v>1512</v>
      </c>
    </row>
    <row r="25" spans="1:20" x14ac:dyDescent="0.3">
      <c r="A25" s="98">
        <v>42</v>
      </c>
      <c r="B25" s="31"/>
      <c r="C25" s="40">
        <f t="shared" si="12"/>
        <v>0</v>
      </c>
      <c r="D25" s="40">
        <f t="shared" si="11"/>
        <v>0</v>
      </c>
      <c r="E25" s="40">
        <f t="shared" si="11"/>
        <v>1512</v>
      </c>
      <c r="F25" s="40">
        <f t="shared" si="11"/>
        <v>0</v>
      </c>
      <c r="G25" s="40">
        <f t="shared" si="11"/>
        <v>0</v>
      </c>
      <c r="H25" s="40">
        <f t="shared" si="11"/>
        <v>0</v>
      </c>
      <c r="I25" s="31">
        <f t="shared" si="13"/>
        <v>1512</v>
      </c>
      <c r="L25" s="20"/>
    </row>
    <row r="26" spans="1:20" x14ac:dyDescent="0.3">
      <c r="A26" s="98">
        <v>84</v>
      </c>
      <c r="B26" s="31"/>
      <c r="C26" s="40">
        <f t="shared" si="12"/>
        <v>504</v>
      </c>
      <c r="D26" s="40">
        <f t="shared" si="11"/>
        <v>0</v>
      </c>
      <c r="E26" s="40">
        <f t="shared" si="11"/>
        <v>504</v>
      </c>
      <c r="F26" s="40">
        <f t="shared" si="11"/>
        <v>2016</v>
      </c>
      <c r="G26" s="40">
        <f t="shared" si="11"/>
        <v>0</v>
      </c>
      <c r="H26" s="40">
        <f t="shared" si="11"/>
        <v>0</v>
      </c>
      <c r="I26" s="31">
        <f t="shared" si="13"/>
        <v>0</v>
      </c>
    </row>
    <row r="27" spans="1:20" x14ac:dyDescent="0.3">
      <c r="A27" s="98">
        <v>63</v>
      </c>
      <c r="B27" s="31"/>
      <c r="C27" s="40">
        <f t="shared" si="12"/>
        <v>0</v>
      </c>
      <c r="D27" s="40">
        <f t="shared" si="11"/>
        <v>0</v>
      </c>
      <c r="E27" s="40">
        <f t="shared" si="11"/>
        <v>0</v>
      </c>
      <c r="F27" s="40">
        <f t="shared" si="11"/>
        <v>0</v>
      </c>
      <c r="G27" s="40">
        <f t="shared" si="11"/>
        <v>1512</v>
      </c>
      <c r="H27" s="40">
        <f t="shared" si="11"/>
        <v>378</v>
      </c>
      <c r="I27" s="31">
        <f t="shared" si="13"/>
        <v>2268</v>
      </c>
    </row>
    <row r="28" spans="1:20" x14ac:dyDescent="0.3">
      <c r="A28" s="98">
        <f>SUM(A23:A27)</f>
        <v>243</v>
      </c>
      <c r="B28" s="42"/>
      <c r="C28" s="43"/>
      <c r="D28" s="43"/>
      <c r="E28" s="43"/>
      <c r="F28" s="43"/>
      <c r="G28" s="43"/>
      <c r="H28" s="43"/>
      <c r="I28" s="31">
        <f>SUM(I23:I27)</f>
        <v>5292</v>
      </c>
    </row>
    <row r="29" spans="1:20" x14ac:dyDescent="0.3">
      <c r="B29" s="39" t="s">
        <v>147</v>
      </c>
      <c r="C29" s="31"/>
      <c r="D29" s="31"/>
      <c r="E29" s="31"/>
      <c r="F29" s="31"/>
      <c r="G29" s="31"/>
      <c r="H29" s="31"/>
      <c r="I29" s="31"/>
    </row>
    <row r="30" spans="1:20" x14ac:dyDescent="0.3">
      <c r="A30" s="34"/>
      <c r="B30" s="99" t="s">
        <v>212</v>
      </c>
      <c r="C30" s="100">
        <f>C31-C32</f>
        <v>8</v>
      </c>
      <c r="D30" s="100">
        <f t="shared" ref="D30" si="14">D31-D32</f>
        <v>8</v>
      </c>
      <c r="E30" s="100">
        <f>E31-E32</f>
        <v>16</v>
      </c>
      <c r="F30" s="100">
        <f t="shared" ref="F30" si="15">F31-F32</f>
        <v>16</v>
      </c>
      <c r="G30" s="100">
        <f>G31-G32</f>
        <v>16</v>
      </c>
      <c r="H30" s="100">
        <f>H31-H32</f>
        <v>378</v>
      </c>
      <c r="I30" s="40">
        <f>SUM(C30:H30)</f>
        <v>442</v>
      </c>
    </row>
    <row r="31" spans="1:20" x14ac:dyDescent="0.3">
      <c r="B31" s="32" t="s">
        <v>211</v>
      </c>
      <c r="C31" s="40">
        <f t="shared" ref="C31:H31" si="16">SUM(C23:C27)</f>
        <v>1008</v>
      </c>
      <c r="D31" s="40">
        <f t="shared" si="16"/>
        <v>1008</v>
      </c>
      <c r="E31" s="40">
        <f t="shared" si="16"/>
        <v>2016</v>
      </c>
      <c r="F31" s="40">
        <f t="shared" si="16"/>
        <v>2016</v>
      </c>
      <c r="G31" s="40">
        <f t="shared" si="16"/>
        <v>2016</v>
      </c>
      <c r="H31" s="40">
        <f t="shared" si="16"/>
        <v>378</v>
      </c>
      <c r="I31" s="40">
        <f>SUM(C31:H31)</f>
        <v>8442</v>
      </c>
    </row>
    <row r="32" spans="1:20" x14ac:dyDescent="0.3">
      <c r="B32" s="32" t="s">
        <v>210</v>
      </c>
      <c r="C32" s="40">
        <f>C4</f>
        <v>1000</v>
      </c>
      <c r="D32" s="40">
        <f>C5</f>
        <v>1000</v>
      </c>
      <c r="E32" s="40">
        <f>C6</f>
        <v>2000</v>
      </c>
      <c r="F32" s="40">
        <f>C7</f>
        <v>2000</v>
      </c>
      <c r="G32" s="40">
        <f>C8</f>
        <v>2000</v>
      </c>
      <c r="H32" s="40">
        <f>C9</f>
        <v>0</v>
      </c>
      <c r="I32" s="40">
        <f>SUM(C32:H32)</f>
        <v>8000</v>
      </c>
    </row>
    <row r="34" spans="1:9" x14ac:dyDescent="0.3">
      <c r="A34" s="106" t="s">
        <v>214</v>
      </c>
    </row>
    <row r="35" spans="1:9" ht="43.2" x14ac:dyDescent="0.3">
      <c r="A35" s="97" t="s">
        <v>192</v>
      </c>
      <c r="B35" s="96" t="s">
        <v>154</v>
      </c>
      <c r="C35" s="96">
        <f t="shared" ref="C35:H35" si="17">C22</f>
        <v>14</v>
      </c>
      <c r="D35" s="96">
        <f t="shared" si="17"/>
        <v>15</v>
      </c>
      <c r="E35" s="96">
        <f t="shared" si="17"/>
        <v>16</v>
      </c>
      <c r="F35" s="96">
        <f t="shared" si="17"/>
        <v>17</v>
      </c>
      <c r="G35" s="96">
        <f t="shared" si="17"/>
        <v>18</v>
      </c>
      <c r="H35" s="96">
        <f t="shared" si="17"/>
        <v>24</v>
      </c>
      <c r="I35" s="35" t="s">
        <v>216</v>
      </c>
    </row>
    <row r="36" spans="1:9" x14ac:dyDescent="0.3">
      <c r="A36" s="98">
        <f t="shared" ref="A36:A40" si="18">A23</f>
        <v>12</v>
      </c>
      <c r="B36" s="31"/>
      <c r="C36" s="40">
        <f>C$35*18*C23</f>
        <v>127008</v>
      </c>
      <c r="D36" s="40">
        <f t="shared" ref="D36:H36" si="19">D$35*18*D23</f>
        <v>0</v>
      </c>
      <c r="E36" s="40">
        <f t="shared" si="19"/>
        <v>0</v>
      </c>
      <c r="F36" s="40">
        <f>F$35*18*F23</f>
        <v>0</v>
      </c>
      <c r="G36" s="40">
        <f t="shared" si="19"/>
        <v>0</v>
      </c>
      <c r="H36" s="40">
        <f t="shared" si="19"/>
        <v>0</v>
      </c>
      <c r="I36" s="31">
        <f>$A36*$U$4</f>
        <v>138768</v>
      </c>
    </row>
    <row r="37" spans="1:9" x14ac:dyDescent="0.3">
      <c r="A37" s="98">
        <f t="shared" si="18"/>
        <v>42</v>
      </c>
      <c r="B37" s="31"/>
      <c r="C37" s="40">
        <f t="shared" ref="C37:H37" si="20">C$35*18*C24</f>
        <v>0</v>
      </c>
      <c r="D37" s="40">
        <f t="shared" si="20"/>
        <v>272160</v>
      </c>
      <c r="E37" s="40">
        <f t="shared" si="20"/>
        <v>0</v>
      </c>
      <c r="F37" s="40">
        <f t="shared" si="20"/>
        <v>0</v>
      </c>
      <c r="G37" s="40">
        <f t="shared" si="20"/>
        <v>163296</v>
      </c>
      <c r="H37" s="40">
        <f t="shared" si="20"/>
        <v>0</v>
      </c>
      <c r="I37" s="31">
        <f t="shared" ref="I37:I40" si="21">$A37*$U$4</f>
        <v>485688</v>
      </c>
    </row>
    <row r="38" spans="1:9" x14ac:dyDescent="0.3">
      <c r="A38" s="98">
        <f t="shared" si="18"/>
        <v>42</v>
      </c>
      <c r="B38" s="31"/>
      <c r="C38" s="40">
        <f t="shared" ref="C38:H38" si="22">C$35*18*C25</f>
        <v>0</v>
      </c>
      <c r="D38" s="40">
        <f t="shared" si="22"/>
        <v>0</v>
      </c>
      <c r="E38" s="40">
        <f t="shared" si="22"/>
        <v>435456</v>
      </c>
      <c r="F38" s="40">
        <f t="shared" si="22"/>
        <v>0</v>
      </c>
      <c r="G38" s="40">
        <f t="shared" si="22"/>
        <v>0</v>
      </c>
      <c r="H38" s="40">
        <f t="shared" si="22"/>
        <v>0</v>
      </c>
      <c r="I38" s="31">
        <f t="shared" si="21"/>
        <v>485688</v>
      </c>
    </row>
    <row r="39" spans="1:9" x14ac:dyDescent="0.3">
      <c r="A39" s="98">
        <f t="shared" si="18"/>
        <v>84</v>
      </c>
      <c r="B39" s="31"/>
      <c r="C39" s="40">
        <f t="shared" ref="C39:H39" si="23">C$35*18*C26</f>
        <v>127008</v>
      </c>
      <c r="D39" s="40">
        <f t="shared" si="23"/>
        <v>0</v>
      </c>
      <c r="E39" s="40">
        <f t="shared" si="23"/>
        <v>145152</v>
      </c>
      <c r="F39" s="40">
        <f t="shared" si="23"/>
        <v>616896</v>
      </c>
      <c r="G39" s="40">
        <f t="shared" si="23"/>
        <v>0</v>
      </c>
      <c r="H39" s="40">
        <f t="shared" si="23"/>
        <v>0</v>
      </c>
      <c r="I39" s="31">
        <f t="shared" si="21"/>
        <v>971376</v>
      </c>
    </row>
    <row r="40" spans="1:9" x14ac:dyDescent="0.3">
      <c r="A40" s="98">
        <f t="shared" si="18"/>
        <v>63</v>
      </c>
      <c r="B40" s="31"/>
      <c r="C40" s="40">
        <f t="shared" ref="C40:H40" si="24">C$35*18*C27</f>
        <v>0</v>
      </c>
      <c r="D40" s="40">
        <f t="shared" si="24"/>
        <v>0</v>
      </c>
      <c r="E40" s="40">
        <f t="shared" si="24"/>
        <v>0</v>
      </c>
      <c r="F40" s="40">
        <f t="shared" si="24"/>
        <v>0</v>
      </c>
      <c r="G40" s="40">
        <f>G$35*18*G27</f>
        <v>489888</v>
      </c>
      <c r="H40" s="40">
        <f t="shared" si="24"/>
        <v>163296</v>
      </c>
      <c r="I40" s="31">
        <f t="shared" si="21"/>
        <v>728532</v>
      </c>
    </row>
    <row r="41" spans="1:9" x14ac:dyDescent="0.3">
      <c r="A41" s="98">
        <f>SUM(A36:A40)</f>
        <v>243</v>
      </c>
      <c r="B41" s="42"/>
      <c r="C41" s="43">
        <f>SUM(C36:C40)</f>
        <v>254016</v>
      </c>
      <c r="D41" s="43">
        <f t="shared" ref="D41:H41" si="25">SUM(D36:D40)</f>
        <v>272160</v>
      </c>
      <c r="E41" s="43">
        <f t="shared" si="25"/>
        <v>580608</v>
      </c>
      <c r="F41" s="43">
        <f t="shared" si="25"/>
        <v>616896</v>
      </c>
      <c r="G41" s="43">
        <f t="shared" si="25"/>
        <v>653184</v>
      </c>
      <c r="H41" s="43">
        <f t="shared" si="25"/>
        <v>163296</v>
      </c>
      <c r="I41" s="101">
        <f>SUM(I36:I40)</f>
        <v>2810052</v>
      </c>
    </row>
    <row r="42" spans="1:9" x14ac:dyDescent="0.3">
      <c r="B42" s="39" t="s">
        <v>147</v>
      </c>
      <c r="C42" s="31"/>
      <c r="D42" s="31"/>
      <c r="E42" s="31"/>
      <c r="F42" s="31"/>
      <c r="G42" s="31"/>
      <c r="H42" s="40">
        <f>SUM(C41:H41)</f>
        <v>2540160</v>
      </c>
      <c r="I42" s="107">
        <f>I41-H42</f>
        <v>269892</v>
      </c>
    </row>
    <row r="43" spans="1:9" x14ac:dyDescent="0.3">
      <c r="A43" s="34"/>
      <c r="B43" s="99" t="s">
        <v>212</v>
      </c>
      <c r="C43" s="100">
        <f>C44-C45</f>
        <v>254001</v>
      </c>
      <c r="D43" s="100">
        <f t="shared" ref="D43" si="26">D44-D45</f>
        <v>272144</v>
      </c>
      <c r="E43" s="100">
        <f>E44-E45</f>
        <v>580591</v>
      </c>
      <c r="F43" s="100">
        <f t="shared" ref="F43" si="27">F44-F45</f>
        <v>616878</v>
      </c>
      <c r="G43" s="100">
        <f>G44-G45</f>
        <v>653184</v>
      </c>
      <c r="H43" s="100">
        <f>H44-H45</f>
        <v>163296</v>
      </c>
      <c r="I43" s="40">
        <f>SUM(C43:H43)</f>
        <v>2540094</v>
      </c>
    </row>
    <row r="44" spans="1:9" x14ac:dyDescent="0.3">
      <c r="B44" s="32" t="s">
        <v>211</v>
      </c>
      <c r="C44" s="40">
        <f t="shared" ref="C44:H44" si="28">SUM(C36:C40)</f>
        <v>254016</v>
      </c>
      <c r="D44" s="40">
        <f t="shared" si="28"/>
        <v>272160</v>
      </c>
      <c r="E44" s="40">
        <f t="shared" si="28"/>
        <v>580608</v>
      </c>
      <c r="F44" s="40">
        <f t="shared" si="28"/>
        <v>616896</v>
      </c>
      <c r="G44" s="40">
        <f t="shared" si="28"/>
        <v>653184</v>
      </c>
      <c r="H44" s="40">
        <f t="shared" si="28"/>
        <v>163296</v>
      </c>
      <c r="I44" s="40">
        <f>SUM(C44:H44)</f>
        <v>2540160</v>
      </c>
    </row>
    <row r="45" spans="1:9" x14ac:dyDescent="0.3">
      <c r="B45" s="32" t="s">
        <v>210</v>
      </c>
      <c r="C45" s="40">
        <f>C16</f>
        <v>15</v>
      </c>
      <c r="D45" s="40">
        <f>C17</f>
        <v>16</v>
      </c>
      <c r="E45" s="40">
        <f>C18</f>
        <v>17</v>
      </c>
      <c r="F45" s="40">
        <f>C19</f>
        <v>18</v>
      </c>
      <c r="G45" s="40">
        <f>C20</f>
        <v>0</v>
      </c>
      <c r="H45" s="40">
        <f>C21</f>
        <v>0</v>
      </c>
      <c r="I45" s="40">
        <f>SUM(C45:H45)</f>
        <v>66</v>
      </c>
    </row>
    <row r="47" spans="1:9" x14ac:dyDescent="0.3">
      <c r="A47" s="105" t="s">
        <v>215</v>
      </c>
    </row>
    <row r="48" spans="1:9" s="34" customFormat="1" ht="28.8" x14ac:dyDescent="0.3">
      <c r="A48" s="97" t="s">
        <v>192</v>
      </c>
      <c r="B48" s="96" t="s">
        <v>154</v>
      </c>
      <c r="C48" s="96">
        <f t="shared" ref="C48:H48" si="29">C35</f>
        <v>14</v>
      </c>
      <c r="D48" s="96">
        <f t="shared" si="29"/>
        <v>15</v>
      </c>
      <c r="E48" s="96">
        <f t="shared" si="29"/>
        <v>16</v>
      </c>
      <c r="F48" s="96">
        <f t="shared" si="29"/>
        <v>17</v>
      </c>
      <c r="G48" s="96">
        <f t="shared" si="29"/>
        <v>18</v>
      </c>
      <c r="H48" s="96">
        <f t="shared" si="29"/>
        <v>24</v>
      </c>
      <c r="I48" s="35" t="s">
        <v>197</v>
      </c>
    </row>
    <row r="49" spans="1:27" x14ac:dyDescent="0.3">
      <c r="A49" s="98">
        <f t="shared" ref="A49:A53" si="30">A36</f>
        <v>12</v>
      </c>
      <c r="B49" s="31"/>
      <c r="C49" s="31">
        <f t="shared" ref="C49:H49" si="31">$A$49*M15</f>
        <v>84</v>
      </c>
      <c r="D49" s="31">
        <f t="shared" si="31"/>
        <v>0</v>
      </c>
      <c r="E49" s="31">
        <f t="shared" si="31"/>
        <v>0</v>
      </c>
      <c r="F49" s="31">
        <f t="shared" si="31"/>
        <v>0</v>
      </c>
      <c r="G49" s="31">
        <f t="shared" si="31"/>
        <v>0</v>
      </c>
      <c r="H49" s="31">
        <f t="shared" si="31"/>
        <v>0</v>
      </c>
      <c r="I49" s="31">
        <f>A49*J15</f>
        <v>0</v>
      </c>
      <c r="J49" s="103">
        <f>12*6</f>
        <v>72</v>
      </c>
    </row>
    <row r="50" spans="1:27" x14ac:dyDescent="0.3">
      <c r="A50" s="98">
        <f t="shared" si="30"/>
        <v>42</v>
      </c>
      <c r="B50" s="31"/>
      <c r="C50" s="31">
        <f t="shared" ref="C50:H50" si="32">$A$50*M16</f>
        <v>0</v>
      </c>
      <c r="D50" s="31">
        <f t="shared" si="32"/>
        <v>168</v>
      </c>
      <c r="E50" s="31">
        <f t="shared" si="32"/>
        <v>0</v>
      </c>
      <c r="F50" s="31">
        <f t="shared" si="32"/>
        <v>0</v>
      </c>
      <c r="G50" s="31">
        <f t="shared" si="32"/>
        <v>84</v>
      </c>
      <c r="H50" s="31">
        <f t="shared" si="32"/>
        <v>0</v>
      </c>
      <c r="I50" s="31">
        <f>A50*J16</f>
        <v>1512</v>
      </c>
    </row>
    <row r="51" spans="1:27" x14ac:dyDescent="0.3">
      <c r="A51" s="98">
        <f t="shared" si="30"/>
        <v>42</v>
      </c>
      <c r="B51" s="31"/>
      <c r="C51" s="31">
        <f t="shared" ref="C51:H51" si="33">$A$51*M17</f>
        <v>0</v>
      </c>
      <c r="D51" s="31">
        <f t="shared" si="33"/>
        <v>0</v>
      </c>
      <c r="E51" s="31">
        <f t="shared" si="33"/>
        <v>252</v>
      </c>
      <c r="F51" s="31">
        <f t="shared" si="33"/>
        <v>0</v>
      </c>
      <c r="G51" s="31">
        <f t="shared" si="33"/>
        <v>0</v>
      </c>
      <c r="H51" s="31">
        <f t="shared" si="33"/>
        <v>0</v>
      </c>
      <c r="I51" s="31">
        <f>A51*J17</f>
        <v>1512</v>
      </c>
      <c r="V51" s="34"/>
      <c r="W51" s="34"/>
      <c r="X51" s="34"/>
      <c r="Y51" s="34"/>
      <c r="Z51" s="34"/>
      <c r="AA51" s="34"/>
    </row>
    <row r="52" spans="1:27" x14ac:dyDescent="0.3">
      <c r="A52" s="98">
        <f t="shared" si="30"/>
        <v>84</v>
      </c>
      <c r="B52" s="31"/>
      <c r="C52" s="31">
        <f t="shared" ref="C52:H52" si="34">$A$52*M18</f>
        <v>84</v>
      </c>
      <c r="D52" s="31">
        <f t="shared" si="34"/>
        <v>0</v>
      </c>
      <c r="E52" s="31">
        <f t="shared" si="34"/>
        <v>84</v>
      </c>
      <c r="F52" s="31">
        <f t="shared" si="34"/>
        <v>336</v>
      </c>
      <c r="G52" s="31">
        <f t="shared" si="34"/>
        <v>0</v>
      </c>
      <c r="H52" s="31">
        <f t="shared" si="34"/>
        <v>0</v>
      </c>
      <c r="I52" s="31">
        <f>A52*J18</f>
        <v>0</v>
      </c>
      <c r="V52" s="34"/>
      <c r="W52" s="34"/>
      <c r="X52" s="34"/>
      <c r="Y52" s="34"/>
      <c r="Z52" s="34"/>
      <c r="AA52" s="34"/>
    </row>
    <row r="53" spans="1:27" x14ac:dyDescent="0.3">
      <c r="A53" s="98">
        <f t="shared" si="30"/>
        <v>63</v>
      </c>
      <c r="B53" s="31"/>
      <c r="C53" s="31">
        <f t="shared" ref="C53:H53" si="35">$A$53*M19</f>
        <v>0</v>
      </c>
      <c r="D53" s="31">
        <f t="shared" si="35"/>
        <v>0</v>
      </c>
      <c r="E53" s="31">
        <f t="shared" si="35"/>
        <v>0</v>
      </c>
      <c r="F53" s="31">
        <f t="shared" si="35"/>
        <v>0</v>
      </c>
      <c r="G53" s="31">
        <f t="shared" si="35"/>
        <v>252</v>
      </c>
      <c r="H53" s="31">
        <f t="shared" si="35"/>
        <v>63</v>
      </c>
      <c r="I53" s="31">
        <f>A53*J19</f>
        <v>2268</v>
      </c>
      <c r="V53" s="34"/>
      <c r="W53" s="34"/>
      <c r="X53" s="34"/>
      <c r="Y53" s="34"/>
      <c r="Z53" s="34"/>
      <c r="AA53" s="34"/>
    </row>
    <row r="54" spans="1:27" x14ac:dyDescent="0.3">
      <c r="A54" s="98">
        <f>SUM(A49:A53)</f>
        <v>243</v>
      </c>
      <c r="B54" s="42"/>
      <c r="C54" s="43"/>
      <c r="D54" s="43"/>
      <c r="E54" s="43"/>
      <c r="F54" s="43"/>
      <c r="G54" s="43"/>
      <c r="H54" s="43"/>
      <c r="I54" s="31">
        <f>SUM(I49:I53)</f>
        <v>5292</v>
      </c>
      <c r="V54" s="34"/>
      <c r="W54" s="34"/>
      <c r="X54" s="34"/>
      <c r="Y54" s="34"/>
      <c r="Z54" s="34"/>
      <c r="AA54" s="34"/>
    </row>
    <row r="55" spans="1:27" x14ac:dyDescent="0.3">
      <c r="B55" s="39" t="s">
        <v>147</v>
      </c>
      <c r="C55" s="31"/>
      <c r="D55" s="31"/>
      <c r="E55" s="31"/>
      <c r="F55" s="31"/>
      <c r="G55" s="31"/>
      <c r="H55" s="31"/>
      <c r="I55" s="31"/>
      <c r="V55" s="34"/>
      <c r="W55" s="34"/>
      <c r="X55" s="34"/>
      <c r="Y55" s="34"/>
      <c r="Z55" s="34"/>
      <c r="AA55" s="34"/>
    </row>
    <row r="56" spans="1:27" x14ac:dyDescent="0.3">
      <c r="A56" s="34"/>
      <c r="B56" s="99" t="s">
        <v>195</v>
      </c>
      <c r="C56" s="100">
        <f>C57-C58</f>
        <v>25.142857142857139</v>
      </c>
      <c r="D56" s="100">
        <f t="shared" ref="D56:F56" si="36">D57-D58</f>
        <v>1.3333333333333428</v>
      </c>
      <c r="E56" s="100">
        <f>E57-E58</f>
        <v>2.6666666666666856</v>
      </c>
      <c r="F56" s="100">
        <f t="shared" si="36"/>
        <v>2.6666666666666856</v>
      </c>
      <c r="G56" s="100">
        <f>G57-G58</f>
        <v>-64</v>
      </c>
      <c r="H56" s="100">
        <f>H57-H58</f>
        <v>63</v>
      </c>
      <c r="I56" s="40">
        <f>SUM(C56:H56)</f>
        <v>30.809523809523853</v>
      </c>
      <c r="V56" s="34"/>
      <c r="W56" s="34"/>
      <c r="X56" s="34"/>
      <c r="Y56" s="34"/>
      <c r="Z56" s="34"/>
      <c r="AA56" s="34"/>
    </row>
    <row r="57" spans="1:27" x14ac:dyDescent="0.3">
      <c r="B57" s="32" t="s">
        <v>194</v>
      </c>
      <c r="C57" s="40">
        <f t="shared" ref="C57:H57" si="37">SUM(C49:C53)</f>
        <v>168</v>
      </c>
      <c r="D57" s="40">
        <f t="shared" si="37"/>
        <v>168</v>
      </c>
      <c r="E57" s="40">
        <f t="shared" si="37"/>
        <v>336</v>
      </c>
      <c r="F57" s="40">
        <f t="shared" si="37"/>
        <v>336</v>
      </c>
      <c r="G57" s="40">
        <f t="shared" si="37"/>
        <v>336</v>
      </c>
      <c r="H57" s="40">
        <f t="shared" si="37"/>
        <v>63</v>
      </c>
      <c r="I57" s="40">
        <f>SUM(C57:H57)</f>
        <v>1407</v>
      </c>
      <c r="V57" s="34"/>
      <c r="W57" s="34"/>
      <c r="X57" s="34"/>
      <c r="Y57" s="34"/>
      <c r="Z57" s="34"/>
      <c r="AA57" s="34"/>
    </row>
    <row r="58" spans="1:27" x14ac:dyDescent="0.3">
      <c r="B58" s="32" t="s">
        <v>193</v>
      </c>
      <c r="C58" s="40">
        <f>K4</f>
        <v>142.85714285714286</v>
      </c>
      <c r="D58" s="40">
        <f>K5</f>
        <v>166.66666666666666</v>
      </c>
      <c r="E58" s="40">
        <f>K6</f>
        <v>333.33333333333331</v>
      </c>
      <c r="F58" s="40">
        <f>K7</f>
        <v>333.33333333333331</v>
      </c>
      <c r="G58" s="40">
        <f>K8</f>
        <v>400</v>
      </c>
      <c r="H58" s="40"/>
      <c r="I58" s="40">
        <f>SUM(C58:H58)</f>
        <v>1376.1904761904761</v>
      </c>
      <c r="V58" s="34"/>
      <c r="W58" s="34"/>
      <c r="X58" s="34"/>
      <c r="Y58" s="34"/>
      <c r="Z58" s="34"/>
      <c r="AA58" s="34"/>
    </row>
    <row r="59" spans="1:27" x14ac:dyDescent="0.3">
      <c r="V59" s="34"/>
      <c r="W59" s="34"/>
      <c r="X59" s="34"/>
      <c r="Y59" s="34"/>
      <c r="Z59" s="34"/>
      <c r="AA59" s="34"/>
    </row>
    <row r="60" spans="1:27" ht="28.8" x14ac:dyDescent="0.3">
      <c r="A60" s="29"/>
      <c r="B60" s="29" t="s">
        <v>165</v>
      </c>
      <c r="C60" s="29" t="s">
        <v>166</v>
      </c>
      <c r="D60" s="29" t="s">
        <v>167</v>
      </c>
      <c r="E60" s="29" t="s">
        <v>168</v>
      </c>
      <c r="F60" s="29" t="s">
        <v>169</v>
      </c>
      <c r="G60" s="29" t="s">
        <v>170</v>
      </c>
      <c r="V60" s="34"/>
      <c r="W60" s="34"/>
      <c r="X60" s="34"/>
      <c r="Y60" s="34"/>
      <c r="Z60" s="34"/>
      <c r="AA60" s="34"/>
    </row>
    <row r="61" spans="1:27" x14ac:dyDescent="0.3">
      <c r="A61" s="35" t="s">
        <v>164</v>
      </c>
      <c r="B61" s="35">
        <v>14</v>
      </c>
      <c r="C61" s="35">
        <v>7</v>
      </c>
      <c r="D61" s="35">
        <v>6</v>
      </c>
      <c r="E61" s="35">
        <f>C61*D61</f>
        <v>42</v>
      </c>
      <c r="F61" s="35">
        <v>1000</v>
      </c>
      <c r="G61" s="35">
        <f>F61/E61</f>
        <v>23.80952380952381</v>
      </c>
      <c r="V61" s="34"/>
      <c r="W61" s="34"/>
      <c r="X61" s="34"/>
      <c r="Y61" s="34"/>
      <c r="Z61" s="34"/>
      <c r="AA61" s="34"/>
    </row>
    <row r="62" spans="1:27" x14ac:dyDescent="0.3">
      <c r="V62" s="34"/>
      <c r="W62" s="34"/>
      <c r="X62" s="34"/>
      <c r="Y62" s="34"/>
      <c r="Z62" s="34"/>
      <c r="AA62" s="34"/>
    </row>
    <row r="63" spans="1:27" x14ac:dyDescent="0.3">
      <c r="V63" s="34"/>
      <c r="W63" s="34"/>
      <c r="X63" s="34"/>
      <c r="Y63" s="34"/>
      <c r="Z63" s="34"/>
      <c r="AA63" s="34"/>
    </row>
    <row r="64" spans="1:27" x14ac:dyDescent="0.3">
      <c r="A64" s="205" t="s">
        <v>162</v>
      </c>
      <c r="B64" s="205"/>
      <c r="C64" s="205"/>
      <c r="D64" s="205"/>
      <c r="E64" s="205"/>
      <c r="V64" s="34"/>
      <c r="W64" s="34"/>
      <c r="X64" s="34"/>
      <c r="Y64" s="34"/>
      <c r="Z64" s="34"/>
      <c r="AA64" s="34"/>
    </row>
    <row r="65" spans="1:27" ht="43.2" x14ac:dyDescent="0.3">
      <c r="A65" s="35" t="s">
        <v>148</v>
      </c>
      <c r="B65" s="35" t="s">
        <v>149</v>
      </c>
      <c r="C65" s="35" t="s">
        <v>150</v>
      </c>
      <c r="D65" s="79" t="s">
        <v>151</v>
      </c>
      <c r="E65" s="80" t="s">
        <v>152</v>
      </c>
      <c r="F65" s="30" t="s">
        <v>196</v>
      </c>
      <c r="G65" s="35" t="s">
        <v>197</v>
      </c>
      <c r="J65">
        <f>24*18</f>
        <v>432</v>
      </c>
      <c r="V65" s="34"/>
      <c r="W65" s="34"/>
      <c r="X65" s="34"/>
      <c r="Y65" s="34"/>
      <c r="Z65" s="34"/>
      <c r="AA65" s="34"/>
    </row>
    <row r="66" spans="1:27" x14ac:dyDescent="0.3">
      <c r="A66" s="25">
        <v>98</v>
      </c>
      <c r="B66" s="25">
        <v>118</v>
      </c>
      <c r="C66" s="25">
        <v>0.6</v>
      </c>
      <c r="D66" s="81">
        <f>SUM(A49:A53)</f>
        <v>243</v>
      </c>
      <c r="E66" s="82">
        <f>D66*C66</f>
        <v>145.79999999999998</v>
      </c>
      <c r="F66" s="31">
        <f>A66*B66*D66</f>
        <v>2810052</v>
      </c>
      <c r="G66" s="31">
        <f>$I$54</f>
        <v>5292</v>
      </c>
      <c r="H66">
        <f>F66-G66</f>
        <v>2804760</v>
      </c>
      <c r="J66">
        <f>J65*A53</f>
        <v>27216</v>
      </c>
      <c r="V66" s="34"/>
      <c r="W66" s="34"/>
      <c r="X66" s="34"/>
      <c r="Y66" s="34"/>
      <c r="Z66" s="34"/>
      <c r="AA66" s="34"/>
    </row>
    <row r="67" spans="1:27" x14ac:dyDescent="0.3">
      <c r="H67">
        <f>H66-E10</f>
        <v>446760</v>
      </c>
    </row>
    <row r="69" spans="1:27" ht="43.2" x14ac:dyDescent="0.3">
      <c r="A69" s="35" t="s">
        <v>155</v>
      </c>
      <c r="B69" s="35" t="s">
        <v>157</v>
      </c>
      <c r="C69" s="35" t="s">
        <v>156</v>
      </c>
      <c r="D69" s="67" t="s">
        <v>158</v>
      </c>
    </row>
    <row r="70" spans="1:27" x14ac:dyDescent="0.3">
      <c r="A70" s="69">
        <f t="shared" ref="A70:A75" si="38">$A$66/A4</f>
        <v>7</v>
      </c>
      <c r="B70" s="69">
        <f t="shared" ref="B70:B75" si="39">$A$66/$B$4</f>
        <v>5.4444444444444446</v>
      </c>
      <c r="C70" s="69">
        <f t="shared" ref="C70:C75" si="40">$B$66/A4</f>
        <v>8.4285714285714288</v>
      </c>
      <c r="D70" s="68">
        <f t="shared" ref="D70:D75" si="41">$B$66/$B$4</f>
        <v>6.5555555555555554</v>
      </c>
    </row>
    <row r="71" spans="1:27" x14ac:dyDescent="0.3">
      <c r="A71" s="69">
        <f t="shared" si="38"/>
        <v>6.5333333333333332</v>
      </c>
      <c r="B71" s="69">
        <f t="shared" si="39"/>
        <v>5.4444444444444446</v>
      </c>
      <c r="C71" s="69">
        <f t="shared" si="40"/>
        <v>7.8666666666666663</v>
      </c>
      <c r="D71" s="68">
        <f t="shared" si="41"/>
        <v>6.5555555555555554</v>
      </c>
    </row>
    <row r="72" spans="1:27" x14ac:dyDescent="0.3">
      <c r="A72" s="69">
        <f t="shared" si="38"/>
        <v>6.125</v>
      </c>
      <c r="B72" s="69">
        <f t="shared" si="39"/>
        <v>5.4444444444444446</v>
      </c>
      <c r="C72" s="69">
        <f t="shared" si="40"/>
        <v>7.375</v>
      </c>
      <c r="D72" s="68">
        <f t="shared" si="41"/>
        <v>6.5555555555555554</v>
      </c>
    </row>
    <row r="73" spans="1:27" x14ac:dyDescent="0.3">
      <c r="A73" s="69">
        <f t="shared" si="38"/>
        <v>5.7647058823529411</v>
      </c>
      <c r="B73" s="69">
        <f t="shared" si="39"/>
        <v>5.4444444444444446</v>
      </c>
      <c r="C73" s="69">
        <f t="shared" si="40"/>
        <v>6.9411764705882355</v>
      </c>
      <c r="D73" s="68">
        <f t="shared" si="41"/>
        <v>6.5555555555555554</v>
      </c>
    </row>
    <row r="74" spans="1:27" x14ac:dyDescent="0.3">
      <c r="A74" s="69">
        <f t="shared" si="38"/>
        <v>5.4444444444444446</v>
      </c>
      <c r="B74" s="69">
        <f t="shared" si="39"/>
        <v>5.4444444444444446</v>
      </c>
      <c r="C74" s="69">
        <f t="shared" si="40"/>
        <v>6.5555555555555554</v>
      </c>
      <c r="D74" s="68">
        <f t="shared" si="41"/>
        <v>6.5555555555555554</v>
      </c>
    </row>
    <row r="75" spans="1:27" x14ac:dyDescent="0.3">
      <c r="A75" s="69">
        <f t="shared" si="38"/>
        <v>4.083333333333333</v>
      </c>
      <c r="B75" s="69">
        <f t="shared" si="39"/>
        <v>5.4444444444444446</v>
      </c>
      <c r="C75" s="69">
        <f t="shared" si="40"/>
        <v>4.916666666666667</v>
      </c>
      <c r="D75" s="68">
        <f t="shared" si="41"/>
        <v>6.5555555555555554</v>
      </c>
    </row>
  </sheetData>
  <mergeCells count="6">
    <mergeCell ref="A64:E64"/>
    <mergeCell ref="L13:R13"/>
    <mergeCell ref="A1:B1"/>
    <mergeCell ref="A2:C2"/>
    <mergeCell ref="D2:J2"/>
    <mergeCell ref="A13:I13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FF00"/>
  </sheetPr>
  <dimension ref="A1:W48"/>
  <sheetViews>
    <sheetView tabSelected="1" topLeftCell="A10" workbookViewId="0">
      <selection activeCell="I43" sqref="I43"/>
    </sheetView>
  </sheetViews>
  <sheetFormatPr defaultRowHeight="14.4" x14ac:dyDescent="0.3"/>
  <cols>
    <col min="1" max="1" width="12.6640625" bestFit="1" customWidth="1"/>
    <col min="2" max="2" width="5.6640625" bestFit="1" customWidth="1"/>
    <col min="3" max="3" width="8.5546875" bestFit="1" customWidth="1"/>
    <col min="4" max="4" width="9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8" customWidth="1"/>
    <col min="13" max="13" width="8.33203125" customWidth="1"/>
    <col min="14" max="14" width="7.109375" customWidth="1"/>
    <col min="15" max="15" width="5.33203125" customWidth="1"/>
    <col min="16" max="16" width="7.109375" bestFit="1" customWidth="1"/>
    <col min="18" max="19" width="9.77734375" customWidth="1"/>
    <col min="20" max="20" width="6.109375" bestFit="1" customWidth="1"/>
    <col min="21" max="21" width="6.44140625" bestFit="1" customWidth="1"/>
    <col min="22" max="22" width="13.88671875" bestFit="1" customWidth="1"/>
  </cols>
  <sheetData>
    <row r="1" spans="1:23" s="2" customFormat="1" x14ac:dyDescent="0.3">
      <c r="A1" s="212" t="s">
        <v>108</v>
      </c>
      <c r="B1" s="213"/>
      <c r="C1" s="45"/>
      <c r="D1" s="45" t="s">
        <v>24</v>
      </c>
      <c r="E1" s="45"/>
      <c r="F1" s="45"/>
      <c r="G1" s="45"/>
      <c r="H1" s="45" t="s">
        <v>21</v>
      </c>
      <c r="I1" s="45"/>
      <c r="J1" s="45" t="s">
        <v>125</v>
      </c>
      <c r="K1" s="45"/>
      <c r="L1" s="45" t="s">
        <v>142</v>
      </c>
      <c r="M1" s="46"/>
    </row>
    <row r="2" spans="1:23" s="2" customFormat="1" x14ac:dyDescent="0.3">
      <c r="A2" s="62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60" t="s">
        <v>143</v>
      </c>
    </row>
    <row r="3" spans="1:23" x14ac:dyDescent="0.3">
      <c r="A3" s="47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19.302045801526717</v>
      </c>
      <c r="H3" s="22">
        <f>G3/C3</f>
        <v>1.9302045801526717E-2</v>
      </c>
      <c r="I3" s="22">
        <f>H3+0.003</f>
        <v>2.2302045801526716E-2</v>
      </c>
      <c r="J3" s="24">
        <f>I3+0.008</f>
        <v>3.0302045801526716E-2</v>
      </c>
      <c r="K3" s="22">
        <v>2.7E-2</v>
      </c>
      <c r="L3" s="22">
        <f>K3-J3</f>
        <v>-3.3020458015267165E-3</v>
      </c>
      <c r="M3" s="63">
        <f>L3*C3</f>
        <v>-3.3020458015267167</v>
      </c>
      <c r="N3">
        <f>ROUNDUP(C3/D3, 0)</f>
        <v>143</v>
      </c>
    </row>
    <row r="4" spans="1:23" x14ac:dyDescent="0.3">
      <c r="A4" s="47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20.680763358778623</v>
      </c>
      <c r="H4" s="22">
        <f>G4/C4</f>
        <v>2.0680763358778623E-2</v>
      </c>
      <c r="I4" s="22">
        <f>H4+0.003</f>
        <v>2.3680763358778622E-2</v>
      </c>
      <c r="J4" s="24">
        <f>I4+0.008</f>
        <v>3.1680763358778619E-2</v>
      </c>
      <c r="K4" s="22">
        <v>2.9700000000000001E-2</v>
      </c>
      <c r="L4" s="22">
        <f>K4-J4</f>
        <v>-1.9807633587786179E-3</v>
      </c>
      <c r="M4" s="63">
        <f>L4*C4</f>
        <v>-1.980763358778618</v>
      </c>
      <c r="N4">
        <f t="shared" ref="N4:N7" si="0">ROUNDUP(C4/D4, 0)</f>
        <v>143</v>
      </c>
    </row>
    <row r="5" spans="1:23" ht="15" thickBot="1" x14ac:dyDescent="0.35">
      <c r="A5" s="47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44.118961832061068</v>
      </c>
      <c r="H5" s="22">
        <f>G5/C5</f>
        <v>2.2059480916030536E-2</v>
      </c>
      <c r="I5" s="22">
        <f>H5+0.003</f>
        <v>2.5059480916030535E-2</v>
      </c>
      <c r="J5" s="24">
        <f>I5+0.008</f>
        <v>3.3059480916030531E-2</v>
      </c>
      <c r="K5" s="22">
        <v>2.98E-2</v>
      </c>
      <c r="L5" s="22">
        <f>K5-J5</f>
        <v>-3.2594809160305313E-3</v>
      </c>
      <c r="M5" s="63">
        <f>L5*C5</f>
        <v>-6.5189618320610627</v>
      </c>
      <c r="N5">
        <f t="shared" si="0"/>
        <v>286</v>
      </c>
    </row>
    <row r="6" spans="1:23" x14ac:dyDescent="0.3">
      <c r="A6" s="47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46.876396946564881</v>
      </c>
      <c r="H6" s="22">
        <f>G6/C6</f>
        <v>2.3438198473282441E-2</v>
      </c>
      <c r="I6" s="22">
        <f>H6+0.003</f>
        <v>2.6438198473282441E-2</v>
      </c>
      <c r="J6" s="24">
        <f>I6+0.008</f>
        <v>3.4438198473282444E-2</v>
      </c>
      <c r="K6" s="22">
        <v>3.3399999999999999E-2</v>
      </c>
      <c r="L6" s="22">
        <f>K6-J6</f>
        <v>-1.0381984732824451E-3</v>
      </c>
      <c r="M6" s="63">
        <f>L6*C6</f>
        <v>-2.0763969465648904</v>
      </c>
      <c r="N6">
        <f t="shared" si="0"/>
        <v>286</v>
      </c>
      <c r="P6" s="54"/>
      <c r="Q6" s="55" t="s">
        <v>9</v>
      </c>
      <c r="R6" s="56"/>
      <c r="S6" s="56"/>
      <c r="T6" s="56"/>
      <c r="U6" s="56"/>
      <c r="V6" s="56"/>
      <c r="W6" s="57"/>
    </row>
    <row r="7" spans="1:23" x14ac:dyDescent="0.3">
      <c r="A7" s="4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49.633832061068702</v>
      </c>
      <c r="H7" s="22">
        <f>G7/C7</f>
        <v>2.4816916030534351E-2</v>
      </c>
      <c r="I7" s="22">
        <f>H7+0.003</f>
        <v>2.781691603053435E-2</v>
      </c>
      <c r="J7" s="24">
        <f>I7+0.008</f>
        <v>3.581691603053435E-2</v>
      </c>
      <c r="K7" s="22">
        <v>3.3399999999999999E-2</v>
      </c>
      <c r="L7" s="22">
        <f>K7-J7</f>
        <v>-2.4169160305343509E-3</v>
      </c>
      <c r="M7" s="63">
        <f>L7*C7</f>
        <v>-4.8338320610687022</v>
      </c>
      <c r="N7">
        <f t="shared" si="0"/>
        <v>286</v>
      </c>
      <c r="P7" s="47"/>
      <c r="Q7" s="2" t="s">
        <v>41</v>
      </c>
      <c r="R7" s="19">
        <f>R8-R9</f>
        <v>0.1428571428571388</v>
      </c>
      <c r="S7" s="19">
        <f t="shared" ref="S7:W7" si="1">S8-S9</f>
        <v>2.1428571428571388</v>
      </c>
      <c r="T7" s="19">
        <f t="shared" si="1"/>
        <v>4.2857142857142776</v>
      </c>
      <c r="U7" s="19">
        <f t="shared" si="1"/>
        <v>2.2857142857142776</v>
      </c>
      <c r="V7" s="19">
        <f t="shared" si="1"/>
        <v>1.2857142857142776</v>
      </c>
      <c r="W7" s="58">
        <f t="shared" si="1"/>
        <v>36</v>
      </c>
    </row>
    <row r="8" spans="1:23" ht="15" thickBot="1" x14ac:dyDescent="0.35">
      <c r="A8" s="49"/>
      <c r="B8" s="50"/>
      <c r="C8" s="50"/>
      <c r="D8" s="50"/>
      <c r="E8" s="50">
        <f>SUM(E3:E7)</f>
        <v>2358000</v>
      </c>
      <c r="F8" s="64">
        <f>SUM(F3:F7)</f>
        <v>1</v>
      </c>
      <c r="G8" s="50"/>
      <c r="H8" s="50"/>
      <c r="I8" s="50"/>
      <c r="J8" s="50"/>
      <c r="K8" s="50"/>
      <c r="L8" s="50"/>
      <c r="M8" s="65">
        <f>SUM(M3:M7)</f>
        <v>-18.711999999999989</v>
      </c>
      <c r="P8" s="47"/>
      <c r="Q8" s="2" t="s">
        <v>47</v>
      </c>
      <c r="R8" s="19">
        <f>SUM(R11:R15)</f>
        <v>143</v>
      </c>
      <c r="S8" s="19">
        <f t="shared" ref="S8:W8" si="2">SUM(S11:S15)</f>
        <v>145</v>
      </c>
      <c r="T8" s="19">
        <f t="shared" si="2"/>
        <v>290</v>
      </c>
      <c r="U8" s="19">
        <f t="shared" si="2"/>
        <v>288</v>
      </c>
      <c r="V8" s="19">
        <f t="shared" si="2"/>
        <v>287</v>
      </c>
      <c r="W8" s="58">
        <f t="shared" si="2"/>
        <v>36</v>
      </c>
    </row>
    <row r="9" spans="1:23" ht="15" thickBot="1" x14ac:dyDescent="0.35">
      <c r="P9" s="47"/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58"/>
    </row>
    <row r="10" spans="1:23" s="2" customFormat="1" x14ac:dyDescent="0.3">
      <c r="A10" s="44" t="s">
        <v>109</v>
      </c>
      <c r="B10" s="45"/>
      <c r="C10" s="45"/>
      <c r="D10" s="45"/>
      <c r="E10" s="45"/>
      <c r="F10" s="45"/>
      <c r="G10" s="45"/>
      <c r="H10" s="45"/>
      <c r="I10" s="46"/>
      <c r="J10" s="44">
        <v>14</v>
      </c>
      <c r="K10" s="45">
        <v>15</v>
      </c>
      <c r="L10" s="45">
        <v>16</v>
      </c>
      <c r="M10" s="45">
        <v>17</v>
      </c>
      <c r="N10" s="45">
        <v>18</v>
      </c>
      <c r="O10" s="45">
        <v>24</v>
      </c>
      <c r="P10" s="59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60">
        <v>24</v>
      </c>
    </row>
    <row r="11" spans="1:23" x14ac:dyDescent="0.3">
      <c r="A11" s="47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 s="48">
        <v>17</v>
      </c>
      <c r="J11" s="38">
        <f>COUNTIF($B11:$I11,J$10)</f>
        <v>7</v>
      </c>
      <c r="K11" s="25">
        <f t="shared" ref="K11:O15" si="3">COUNTIF($B11:$I11,K$10)</f>
        <v>0</v>
      </c>
      <c r="L11" s="25">
        <f t="shared" si="3"/>
        <v>0</v>
      </c>
      <c r="M11" s="25">
        <f t="shared" si="3"/>
        <v>1</v>
      </c>
      <c r="N11" s="25">
        <f t="shared" si="3"/>
        <v>0</v>
      </c>
      <c r="O11" s="52">
        <f t="shared" si="3"/>
        <v>0</v>
      </c>
      <c r="P11" s="59">
        <v>14</v>
      </c>
      <c r="R11">
        <f>$P$11*J11</f>
        <v>98</v>
      </c>
      <c r="S11">
        <f t="shared" ref="S11:W11" si="4">$P$11*K11</f>
        <v>0</v>
      </c>
      <c r="T11">
        <f t="shared" si="4"/>
        <v>0</v>
      </c>
      <c r="U11">
        <f>$P$11*M11</f>
        <v>14</v>
      </c>
      <c r="V11">
        <f t="shared" si="4"/>
        <v>0</v>
      </c>
      <c r="W11" s="48">
        <f t="shared" si="4"/>
        <v>0</v>
      </c>
    </row>
    <row r="12" spans="1:23" x14ac:dyDescent="0.3">
      <c r="A12" s="47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I12" s="48"/>
      <c r="J12" s="38">
        <f t="shared" ref="J12:J15" si="5">COUNTIF($B12:$I12,J$10)</f>
        <v>0</v>
      </c>
      <c r="K12" s="25">
        <f t="shared" si="3"/>
        <v>5</v>
      </c>
      <c r="L12" s="25">
        <f t="shared" si="3"/>
        <v>0</v>
      </c>
      <c r="M12" s="25">
        <f t="shared" si="3"/>
        <v>0</v>
      </c>
      <c r="N12" s="25">
        <f t="shared" si="3"/>
        <v>2</v>
      </c>
      <c r="O12" s="52">
        <f t="shared" si="3"/>
        <v>0</v>
      </c>
      <c r="P12" s="59">
        <v>29</v>
      </c>
      <c r="R12">
        <f>$P$12*J12</f>
        <v>0</v>
      </c>
      <c r="S12">
        <f t="shared" ref="S12:W12" si="6">$P$12*K12</f>
        <v>145</v>
      </c>
      <c r="T12">
        <f t="shared" si="6"/>
        <v>0</v>
      </c>
      <c r="U12">
        <f t="shared" si="6"/>
        <v>0</v>
      </c>
      <c r="V12">
        <f t="shared" si="6"/>
        <v>58</v>
      </c>
      <c r="W12" s="48">
        <f t="shared" si="6"/>
        <v>0</v>
      </c>
    </row>
    <row r="13" spans="1:23" x14ac:dyDescent="0.3">
      <c r="A13" s="47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I13" s="48"/>
      <c r="J13" s="38">
        <f t="shared" si="5"/>
        <v>0</v>
      </c>
      <c r="K13" s="25">
        <f t="shared" si="3"/>
        <v>0</v>
      </c>
      <c r="L13" s="25">
        <f t="shared" si="3"/>
        <v>5</v>
      </c>
      <c r="M13" s="25">
        <f t="shared" si="3"/>
        <v>1</v>
      </c>
      <c r="N13" s="25">
        <f t="shared" si="3"/>
        <v>1</v>
      </c>
      <c r="O13" s="52">
        <f t="shared" si="3"/>
        <v>0</v>
      </c>
      <c r="P13" s="59">
        <v>49</v>
      </c>
      <c r="R13">
        <f t="shared" ref="R13:W13" si="7">$P$13*J13</f>
        <v>0</v>
      </c>
      <c r="S13">
        <f t="shared" si="7"/>
        <v>0</v>
      </c>
      <c r="T13">
        <f t="shared" si="7"/>
        <v>245</v>
      </c>
      <c r="U13">
        <f t="shared" si="7"/>
        <v>49</v>
      </c>
      <c r="V13">
        <f t="shared" si="7"/>
        <v>49</v>
      </c>
      <c r="W13" s="48">
        <f t="shared" si="7"/>
        <v>0</v>
      </c>
    </row>
    <row r="14" spans="1:23" x14ac:dyDescent="0.3">
      <c r="A14" s="47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I14" s="48"/>
      <c r="J14" s="38">
        <f t="shared" si="5"/>
        <v>1</v>
      </c>
      <c r="K14" s="25">
        <f t="shared" si="3"/>
        <v>0</v>
      </c>
      <c r="L14" s="25">
        <f t="shared" si="3"/>
        <v>1</v>
      </c>
      <c r="M14" s="25">
        <f t="shared" si="3"/>
        <v>5</v>
      </c>
      <c r="N14" s="25">
        <f t="shared" si="3"/>
        <v>0</v>
      </c>
      <c r="O14" s="52">
        <f t="shared" si="3"/>
        <v>0</v>
      </c>
      <c r="P14" s="59">
        <v>45</v>
      </c>
      <c r="R14">
        <f t="shared" ref="R14:W14" si="8">$P$14*J14</f>
        <v>45</v>
      </c>
      <c r="S14">
        <f t="shared" si="8"/>
        <v>0</v>
      </c>
      <c r="T14">
        <f t="shared" si="8"/>
        <v>45</v>
      </c>
      <c r="U14">
        <f t="shared" si="8"/>
        <v>225</v>
      </c>
      <c r="V14">
        <f t="shared" si="8"/>
        <v>0</v>
      </c>
      <c r="W14" s="48">
        <f t="shared" si="8"/>
        <v>0</v>
      </c>
    </row>
    <row r="15" spans="1:23" ht="15" thickBot="1" x14ac:dyDescent="0.35">
      <c r="A15" s="49">
        <f>SUM(B15:I15)</f>
        <v>114</v>
      </c>
      <c r="B15" s="50">
        <v>18</v>
      </c>
      <c r="C15" s="50">
        <v>18</v>
      </c>
      <c r="D15" s="50">
        <v>18</v>
      </c>
      <c r="E15" s="50">
        <v>18</v>
      </c>
      <c r="F15" s="50">
        <v>18</v>
      </c>
      <c r="G15" s="50">
        <v>24</v>
      </c>
      <c r="H15" s="50"/>
      <c r="I15" s="51"/>
      <c r="J15" s="36">
        <f t="shared" si="5"/>
        <v>0</v>
      </c>
      <c r="K15" s="37">
        <f t="shared" si="3"/>
        <v>0</v>
      </c>
      <c r="L15" s="37">
        <f t="shared" si="3"/>
        <v>0</v>
      </c>
      <c r="M15" s="37">
        <f t="shared" si="3"/>
        <v>0</v>
      </c>
      <c r="N15" s="37">
        <f t="shared" si="3"/>
        <v>5</v>
      </c>
      <c r="O15" s="53">
        <f t="shared" si="3"/>
        <v>1</v>
      </c>
      <c r="P15" s="61">
        <v>36</v>
      </c>
      <c r="Q15" s="50"/>
      <c r="R15" s="50">
        <f t="shared" ref="R15:V15" si="9">$P$15*J15</f>
        <v>0</v>
      </c>
      <c r="S15" s="50">
        <f t="shared" si="9"/>
        <v>0</v>
      </c>
      <c r="T15" s="50">
        <f t="shared" si="9"/>
        <v>0</v>
      </c>
      <c r="U15" s="50">
        <f t="shared" si="9"/>
        <v>0</v>
      </c>
      <c r="V15" s="50">
        <f t="shared" si="9"/>
        <v>180</v>
      </c>
      <c r="W15" s="51">
        <f>$P$15*O15</f>
        <v>36</v>
      </c>
    </row>
    <row r="17" spans="1:22" x14ac:dyDescent="0.3">
      <c r="A17" t="s">
        <v>140</v>
      </c>
      <c r="E17" t="s">
        <v>70</v>
      </c>
      <c r="R17">
        <f>R10</f>
        <v>14</v>
      </c>
      <c r="S17">
        <f t="shared" ref="S17:V17" si="10">S10</f>
        <v>15</v>
      </c>
      <c r="T17">
        <f t="shared" si="10"/>
        <v>16</v>
      </c>
      <c r="U17">
        <f t="shared" si="10"/>
        <v>17</v>
      </c>
      <c r="V17">
        <f t="shared" si="10"/>
        <v>18</v>
      </c>
    </row>
    <row r="18" spans="1:22" x14ac:dyDescent="0.3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1">S11*7</f>
        <v>0</v>
      </c>
      <c r="T18">
        <f t="shared" si="11"/>
        <v>0</v>
      </c>
      <c r="U18">
        <f t="shared" si="11"/>
        <v>98</v>
      </c>
      <c r="V18">
        <f t="shared" si="11"/>
        <v>0</v>
      </c>
    </row>
    <row r="19" spans="1:22" x14ac:dyDescent="0.3">
      <c r="A19">
        <v>115</v>
      </c>
      <c r="B19">
        <v>126</v>
      </c>
      <c r="C19">
        <v>1.044</v>
      </c>
      <c r="D19">
        <f>SUM(P11:P15)</f>
        <v>173</v>
      </c>
      <c r="E19">
        <f>D19*C19</f>
        <v>180.61199999999999</v>
      </c>
      <c r="P19">
        <f t="shared" ref="P19:P22" si="12">P12</f>
        <v>29</v>
      </c>
      <c r="R19">
        <f t="shared" ref="R19:V22" si="13">R12*7</f>
        <v>0</v>
      </c>
      <c r="S19">
        <f t="shared" si="13"/>
        <v>1015</v>
      </c>
      <c r="T19">
        <f t="shared" si="13"/>
        <v>0</v>
      </c>
      <c r="U19">
        <f t="shared" si="13"/>
        <v>0</v>
      </c>
      <c r="V19">
        <f t="shared" si="13"/>
        <v>406</v>
      </c>
    </row>
    <row r="20" spans="1:22" x14ac:dyDescent="0.3">
      <c r="P20">
        <f t="shared" si="12"/>
        <v>49</v>
      </c>
      <c r="R20">
        <f t="shared" si="13"/>
        <v>0</v>
      </c>
      <c r="S20">
        <f t="shared" si="13"/>
        <v>0</v>
      </c>
      <c r="T20">
        <f t="shared" si="13"/>
        <v>1715</v>
      </c>
      <c r="U20">
        <f t="shared" si="13"/>
        <v>343</v>
      </c>
      <c r="V20">
        <f t="shared" si="13"/>
        <v>343</v>
      </c>
    </row>
    <row r="21" spans="1:22" x14ac:dyDescent="0.3">
      <c r="D21" s="20">
        <f>B19/B3</f>
        <v>7</v>
      </c>
      <c r="P21">
        <f t="shared" si="12"/>
        <v>45</v>
      </c>
      <c r="R21">
        <f t="shared" si="13"/>
        <v>315</v>
      </c>
      <c r="S21">
        <f t="shared" si="13"/>
        <v>0</v>
      </c>
      <c r="T21">
        <f t="shared" si="13"/>
        <v>315</v>
      </c>
      <c r="U21">
        <f t="shared" si="13"/>
        <v>1575</v>
      </c>
      <c r="V21">
        <f t="shared" si="13"/>
        <v>0</v>
      </c>
    </row>
    <row r="22" spans="1:22" x14ac:dyDescent="0.3">
      <c r="P22">
        <f t="shared" si="12"/>
        <v>36</v>
      </c>
      <c r="R22">
        <f t="shared" si="13"/>
        <v>0</v>
      </c>
      <c r="S22">
        <f t="shared" si="13"/>
        <v>0</v>
      </c>
      <c r="T22">
        <f t="shared" si="13"/>
        <v>0</v>
      </c>
      <c r="U22">
        <f t="shared" si="13"/>
        <v>0</v>
      </c>
      <c r="V22">
        <f t="shared" si="13"/>
        <v>1260</v>
      </c>
    </row>
    <row r="23" spans="1:22" x14ac:dyDescent="0.3">
      <c r="R23">
        <f>SUM(R18:R22)</f>
        <v>1001</v>
      </c>
      <c r="S23">
        <f t="shared" ref="S23:V23" si="14">SUM(S18:S22)</f>
        <v>1015</v>
      </c>
      <c r="T23">
        <f t="shared" si="14"/>
        <v>2030</v>
      </c>
      <c r="U23">
        <f t="shared" si="14"/>
        <v>2016</v>
      </c>
      <c r="V23">
        <f t="shared" si="14"/>
        <v>2009</v>
      </c>
    </row>
    <row r="28" spans="1:22" ht="15" thickBot="1" x14ac:dyDescent="0.35">
      <c r="B28" s="239">
        <v>0</v>
      </c>
      <c r="C28" s="239">
        <v>1</v>
      </c>
      <c r="D28" s="239">
        <v>2</v>
      </c>
      <c r="E28" s="239">
        <v>3</v>
      </c>
      <c r="F28" s="239">
        <v>4</v>
      </c>
      <c r="G28" s="239">
        <v>5</v>
      </c>
      <c r="H28" s="239">
        <v>6</v>
      </c>
      <c r="I28" s="239">
        <v>7</v>
      </c>
      <c r="J28" s="239">
        <v>8</v>
      </c>
      <c r="K28" s="239">
        <v>9</v>
      </c>
      <c r="L28" s="239">
        <v>10</v>
      </c>
      <c r="M28" s="239">
        <v>11</v>
      </c>
      <c r="N28" s="239">
        <v>12</v>
      </c>
      <c r="O28" s="239">
        <v>13</v>
      </c>
      <c r="P28" s="239">
        <v>14</v>
      </c>
      <c r="Q28" s="239">
        <v>15</v>
      </c>
    </row>
    <row r="29" spans="1:22" x14ac:dyDescent="0.3">
      <c r="A29" s="240">
        <v>140</v>
      </c>
      <c r="B29" s="194">
        <v>1</v>
      </c>
      <c r="C29" s="195">
        <v>0</v>
      </c>
      <c r="D29" s="195">
        <v>0</v>
      </c>
      <c r="E29" s="195">
        <v>0</v>
      </c>
      <c r="F29" s="195">
        <v>0</v>
      </c>
      <c r="G29" s="195">
        <v>8</v>
      </c>
      <c r="H29" s="195">
        <v>0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2</v>
      </c>
      <c r="O29" s="195">
        <v>0</v>
      </c>
      <c r="P29" s="195">
        <v>5</v>
      </c>
      <c r="Q29" s="196">
        <v>0</v>
      </c>
    </row>
    <row r="30" spans="1:22" x14ac:dyDescent="0.3">
      <c r="A30" s="240">
        <v>150</v>
      </c>
      <c r="B30" s="241">
        <v>0</v>
      </c>
      <c r="C30" s="9">
        <v>1</v>
      </c>
      <c r="D30" s="9">
        <v>0</v>
      </c>
      <c r="E30" s="9">
        <v>0</v>
      </c>
      <c r="F30" s="9">
        <v>0</v>
      </c>
      <c r="G30" s="9">
        <v>0</v>
      </c>
      <c r="H30" s="9">
        <v>7</v>
      </c>
      <c r="I30" s="9">
        <v>0</v>
      </c>
      <c r="J30" s="9">
        <v>0</v>
      </c>
      <c r="K30" s="9">
        <v>0</v>
      </c>
      <c r="L30" s="9">
        <v>2</v>
      </c>
      <c r="M30" s="9">
        <v>4</v>
      </c>
      <c r="N30" s="9">
        <v>0</v>
      </c>
      <c r="O30" s="9">
        <v>0</v>
      </c>
      <c r="P30" s="9">
        <v>3</v>
      </c>
      <c r="Q30" s="242">
        <v>3</v>
      </c>
    </row>
    <row r="31" spans="1:22" x14ac:dyDescent="0.3">
      <c r="A31" s="240">
        <v>160</v>
      </c>
      <c r="B31" s="241">
        <v>0</v>
      </c>
      <c r="C31" s="9">
        <v>0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7</v>
      </c>
      <c r="J31" s="9">
        <v>0</v>
      </c>
      <c r="K31" s="9">
        <v>0</v>
      </c>
      <c r="L31" s="9">
        <v>0</v>
      </c>
      <c r="M31" s="9">
        <v>0</v>
      </c>
      <c r="N31" s="9">
        <v>1</v>
      </c>
      <c r="O31" s="9">
        <v>5</v>
      </c>
      <c r="P31" s="9">
        <v>0</v>
      </c>
      <c r="Q31" s="242">
        <v>1</v>
      </c>
    </row>
    <row r="32" spans="1:22" x14ac:dyDescent="0.3">
      <c r="A32" s="240">
        <v>170</v>
      </c>
      <c r="B32" s="241">
        <v>0</v>
      </c>
      <c r="C32" s="9">
        <v>0</v>
      </c>
      <c r="D32" s="9">
        <v>0</v>
      </c>
      <c r="E32" s="9">
        <v>1</v>
      </c>
      <c r="F32" s="9">
        <v>0</v>
      </c>
      <c r="G32" s="9">
        <v>0</v>
      </c>
      <c r="H32" s="9">
        <v>0</v>
      </c>
      <c r="I32" s="9">
        <v>0</v>
      </c>
      <c r="J32" s="9">
        <v>5</v>
      </c>
      <c r="K32" s="9">
        <v>0</v>
      </c>
      <c r="L32" s="9">
        <v>5</v>
      </c>
      <c r="M32" s="9">
        <v>0</v>
      </c>
      <c r="N32" s="9">
        <v>1</v>
      </c>
      <c r="O32" s="9">
        <v>1</v>
      </c>
      <c r="P32" s="9">
        <v>0</v>
      </c>
      <c r="Q32" s="242">
        <v>0</v>
      </c>
    </row>
    <row r="33" spans="1:22" ht="15" thickBot="1" x14ac:dyDescent="0.35">
      <c r="A33" s="240">
        <v>180</v>
      </c>
      <c r="B33" s="197">
        <v>0</v>
      </c>
      <c r="C33" s="243">
        <v>0</v>
      </c>
      <c r="D33" s="243">
        <v>0</v>
      </c>
      <c r="E33" s="243">
        <v>0</v>
      </c>
      <c r="F33" s="243">
        <v>1</v>
      </c>
      <c r="G33" s="243">
        <v>0</v>
      </c>
      <c r="H33" s="243">
        <v>0</v>
      </c>
      <c r="I33" s="243">
        <v>0</v>
      </c>
      <c r="J33" s="243">
        <v>1</v>
      </c>
      <c r="K33" s="243">
        <v>6</v>
      </c>
      <c r="L33" s="243">
        <v>0</v>
      </c>
      <c r="M33" s="243">
        <v>3</v>
      </c>
      <c r="N33" s="243">
        <v>3</v>
      </c>
      <c r="O33" s="243">
        <v>1</v>
      </c>
      <c r="P33" s="243">
        <v>0</v>
      </c>
      <c r="Q33" s="198">
        <v>3</v>
      </c>
    </row>
    <row r="34" spans="1:22" x14ac:dyDescent="0.3">
      <c r="A34" s="244"/>
      <c r="B34" s="54"/>
      <c r="C34" s="56"/>
      <c r="D34" s="56"/>
      <c r="E34" s="56"/>
      <c r="F34" s="56"/>
      <c r="G34" s="56"/>
      <c r="H34" s="56"/>
      <c r="I34" s="195">
        <f>I29*$A29</f>
        <v>0</v>
      </c>
      <c r="J34" s="195"/>
      <c r="K34" s="195"/>
      <c r="L34" s="195">
        <f t="shared" ref="L34:Q38" si="15">L29*$A29</f>
        <v>0</v>
      </c>
      <c r="M34" s="195">
        <f t="shared" si="15"/>
        <v>0</v>
      </c>
      <c r="N34" s="195">
        <f t="shared" si="15"/>
        <v>280</v>
      </c>
      <c r="O34" s="195">
        <f t="shared" si="15"/>
        <v>0</v>
      </c>
      <c r="P34" s="195">
        <f t="shared" si="15"/>
        <v>700</v>
      </c>
      <c r="Q34" s="196">
        <f t="shared" si="15"/>
        <v>0</v>
      </c>
    </row>
    <row r="35" spans="1:22" x14ac:dyDescent="0.3">
      <c r="A35" s="244"/>
      <c r="B35" s="47"/>
      <c r="I35" s="9">
        <f t="shared" ref="I35:I38" si="16">I30*$A30</f>
        <v>0</v>
      </c>
      <c r="J35" s="9"/>
      <c r="K35" s="9"/>
      <c r="L35" s="9">
        <f t="shared" si="15"/>
        <v>300</v>
      </c>
      <c r="M35" s="9">
        <f t="shared" si="15"/>
        <v>600</v>
      </c>
      <c r="N35" s="9">
        <f t="shared" si="15"/>
        <v>0</v>
      </c>
      <c r="O35" s="9">
        <f t="shared" si="15"/>
        <v>0</v>
      </c>
      <c r="P35" s="9">
        <f t="shared" si="15"/>
        <v>450</v>
      </c>
      <c r="Q35" s="242">
        <f t="shared" si="15"/>
        <v>450</v>
      </c>
    </row>
    <row r="36" spans="1:22" x14ac:dyDescent="0.3">
      <c r="A36" s="244"/>
      <c r="B36" s="47"/>
      <c r="I36" s="9">
        <f>I31*$A31</f>
        <v>1120</v>
      </c>
      <c r="J36" s="9"/>
      <c r="K36" s="9"/>
      <c r="L36" s="9">
        <f t="shared" si="15"/>
        <v>0</v>
      </c>
      <c r="M36" s="9">
        <f t="shared" si="15"/>
        <v>0</v>
      </c>
      <c r="N36" s="9">
        <f t="shared" si="15"/>
        <v>160</v>
      </c>
      <c r="O36" s="9">
        <f t="shared" si="15"/>
        <v>800</v>
      </c>
      <c r="P36" s="9">
        <f t="shared" si="15"/>
        <v>0</v>
      </c>
      <c r="Q36" s="242">
        <f t="shared" si="15"/>
        <v>160</v>
      </c>
    </row>
    <row r="37" spans="1:22" x14ac:dyDescent="0.3">
      <c r="A37" s="244"/>
      <c r="B37" s="47"/>
      <c r="I37" s="9">
        <f t="shared" si="16"/>
        <v>0</v>
      </c>
      <c r="J37" s="9"/>
      <c r="K37" s="9"/>
      <c r="L37" s="9">
        <f t="shared" si="15"/>
        <v>850</v>
      </c>
      <c r="M37" s="9">
        <f t="shared" si="15"/>
        <v>0</v>
      </c>
      <c r="N37" s="9">
        <f t="shared" si="15"/>
        <v>170</v>
      </c>
      <c r="O37" s="9">
        <f t="shared" si="15"/>
        <v>170</v>
      </c>
      <c r="P37" s="9">
        <f t="shared" si="15"/>
        <v>0</v>
      </c>
      <c r="Q37" s="242">
        <f t="shared" si="15"/>
        <v>0</v>
      </c>
    </row>
    <row r="38" spans="1:22" x14ac:dyDescent="0.3">
      <c r="A38" s="244"/>
      <c r="B38" s="47"/>
      <c r="I38" s="9">
        <f t="shared" si="16"/>
        <v>0</v>
      </c>
      <c r="J38" s="9"/>
      <c r="K38" s="9"/>
      <c r="L38" s="9">
        <f t="shared" si="15"/>
        <v>0</v>
      </c>
      <c r="M38" s="9">
        <f t="shared" si="15"/>
        <v>540</v>
      </c>
      <c r="N38" s="9">
        <f t="shared" si="15"/>
        <v>540</v>
      </c>
      <c r="O38" s="9">
        <f t="shared" si="15"/>
        <v>180</v>
      </c>
      <c r="P38" s="9">
        <f t="shared" si="15"/>
        <v>0</v>
      </c>
      <c r="Q38" s="242">
        <f t="shared" si="15"/>
        <v>540</v>
      </c>
    </row>
    <row r="39" spans="1:22" ht="15" thickBot="1" x14ac:dyDescent="0.35">
      <c r="A39" s="240">
        <v>1150</v>
      </c>
      <c r="B39" s="245"/>
      <c r="C39" s="246"/>
      <c r="D39" s="246"/>
      <c r="E39" s="246"/>
      <c r="F39" s="246"/>
      <c r="G39" s="246"/>
      <c r="H39" s="246"/>
      <c r="I39" s="247">
        <f>SUM(I34:I38)</f>
        <v>1120</v>
      </c>
      <c r="J39" s="247"/>
      <c r="K39" s="247"/>
      <c r="L39" s="247">
        <f t="shared" ref="L39:Q39" si="17">SUM(L34:L38)</f>
        <v>1150</v>
      </c>
      <c r="M39" s="247">
        <f t="shared" si="17"/>
        <v>1140</v>
      </c>
      <c r="N39" s="247">
        <f t="shared" si="17"/>
        <v>1150</v>
      </c>
      <c r="O39" s="247">
        <f t="shared" si="17"/>
        <v>1150</v>
      </c>
      <c r="P39" s="247">
        <f t="shared" si="17"/>
        <v>1150</v>
      </c>
      <c r="Q39" s="248">
        <f t="shared" si="17"/>
        <v>1150</v>
      </c>
      <c r="V39" t="s">
        <v>285</v>
      </c>
    </row>
    <row r="40" spans="1:22" x14ac:dyDescent="0.3">
      <c r="B40" s="9"/>
      <c r="C40" s="9"/>
      <c r="D40" s="9"/>
      <c r="E40" s="9"/>
      <c r="F40" s="9"/>
      <c r="G40" s="9"/>
      <c r="H40" s="9"/>
      <c r="I40" s="9">
        <f>$A$39-I39</f>
        <v>30</v>
      </c>
      <c r="J40" s="9"/>
      <c r="K40" s="9"/>
      <c r="L40" s="9">
        <f t="shared" ref="L40:Q40" si="18">$A$39-L39</f>
        <v>0</v>
      </c>
      <c r="M40" s="9">
        <f t="shared" si="18"/>
        <v>10</v>
      </c>
      <c r="N40" s="9">
        <f t="shared" si="18"/>
        <v>0</v>
      </c>
      <c r="O40" s="9">
        <f t="shared" si="18"/>
        <v>0</v>
      </c>
      <c r="P40" s="9">
        <f t="shared" si="18"/>
        <v>0</v>
      </c>
      <c r="Q40" s="9">
        <f t="shared" si="18"/>
        <v>0</v>
      </c>
      <c r="V40" s="9">
        <f>SUMPRODUCT(B40:Q40,B42:Q42)</f>
        <v>120</v>
      </c>
    </row>
    <row r="42" spans="1:22" x14ac:dyDescent="0.3">
      <c r="A42" s="249" t="s">
        <v>288</v>
      </c>
      <c r="B42" s="249"/>
      <c r="C42" s="249"/>
      <c r="D42" s="249"/>
      <c r="E42" s="249"/>
      <c r="F42" s="249"/>
      <c r="G42" s="249"/>
      <c r="H42" s="249"/>
      <c r="I42" s="72">
        <v>3</v>
      </c>
      <c r="J42" s="249"/>
      <c r="K42" s="249"/>
      <c r="L42" s="72">
        <v>37</v>
      </c>
      <c r="M42" s="72">
        <v>3</v>
      </c>
      <c r="N42" s="72">
        <v>64</v>
      </c>
      <c r="O42" s="72">
        <v>37</v>
      </c>
      <c r="P42" s="72">
        <v>3</v>
      </c>
      <c r="Q42" s="72">
        <v>16</v>
      </c>
      <c r="R42" s="25" t="s">
        <v>286</v>
      </c>
      <c r="S42" s="250" t="s">
        <v>287</v>
      </c>
      <c r="T42" s="31"/>
    </row>
    <row r="43" spans="1:22" x14ac:dyDescent="0.3">
      <c r="A43" s="250">
        <v>140</v>
      </c>
      <c r="B43" s="25"/>
      <c r="C43" s="25"/>
      <c r="D43" s="25"/>
      <c r="E43" s="25"/>
      <c r="F43" s="25"/>
      <c r="G43" s="25"/>
      <c r="H43" s="25"/>
      <c r="I43" s="25">
        <f>I29*I$42</f>
        <v>0</v>
      </c>
      <c r="J43" s="25"/>
      <c r="K43" s="25"/>
      <c r="L43" s="25">
        <f t="shared" ref="L43:Q47" si="19">L29*L$42</f>
        <v>0</v>
      </c>
      <c r="M43" s="25">
        <f t="shared" si="19"/>
        <v>0</v>
      </c>
      <c r="N43" s="25">
        <f t="shared" si="19"/>
        <v>128</v>
      </c>
      <c r="O43" s="25">
        <f t="shared" si="19"/>
        <v>0</v>
      </c>
      <c r="P43" s="25">
        <f t="shared" si="19"/>
        <v>15</v>
      </c>
      <c r="Q43" s="25">
        <f t="shared" si="19"/>
        <v>0</v>
      </c>
      <c r="R43" s="25">
        <f>SUM(I43:Q43)</f>
        <v>143</v>
      </c>
      <c r="S43" s="250">
        <v>143</v>
      </c>
      <c r="T43" s="31">
        <f>R43-S43</f>
        <v>0</v>
      </c>
    </row>
    <row r="44" spans="1:22" x14ac:dyDescent="0.3">
      <c r="A44" s="250">
        <v>150</v>
      </c>
      <c r="B44" s="25"/>
      <c r="C44" s="25"/>
      <c r="D44" s="25"/>
      <c r="E44" s="25"/>
      <c r="F44" s="25"/>
      <c r="G44" s="25"/>
      <c r="H44" s="25"/>
      <c r="I44" s="25">
        <f t="shared" ref="I44:I47" si="20">I30*I$42</f>
        <v>0</v>
      </c>
      <c r="J44" s="25"/>
      <c r="K44" s="25"/>
      <c r="L44" s="25">
        <f t="shared" si="19"/>
        <v>74</v>
      </c>
      <c r="M44" s="25">
        <f t="shared" si="19"/>
        <v>12</v>
      </c>
      <c r="N44" s="25">
        <f t="shared" si="19"/>
        <v>0</v>
      </c>
      <c r="O44" s="25">
        <f t="shared" si="19"/>
        <v>0</v>
      </c>
      <c r="P44" s="25">
        <f t="shared" si="19"/>
        <v>9</v>
      </c>
      <c r="Q44" s="25">
        <f t="shared" si="19"/>
        <v>48</v>
      </c>
      <c r="R44" s="25">
        <f t="shared" ref="R44:R47" si="21">SUM(I44:Q44)</f>
        <v>143</v>
      </c>
      <c r="S44" s="250">
        <v>143</v>
      </c>
      <c r="T44" s="31">
        <f t="shared" ref="T44:T47" si="22">R44-S44</f>
        <v>0</v>
      </c>
    </row>
    <row r="45" spans="1:22" x14ac:dyDescent="0.3">
      <c r="A45" s="250">
        <v>160</v>
      </c>
      <c r="B45" s="25"/>
      <c r="C45" s="25"/>
      <c r="D45" s="25"/>
      <c r="E45" s="25"/>
      <c r="F45" s="25"/>
      <c r="G45" s="25"/>
      <c r="H45" s="25"/>
      <c r="I45" s="25">
        <f t="shared" si="20"/>
        <v>21</v>
      </c>
      <c r="J45" s="25"/>
      <c r="K45" s="25"/>
      <c r="L45" s="25">
        <f t="shared" si="19"/>
        <v>0</v>
      </c>
      <c r="M45" s="25">
        <f t="shared" si="19"/>
        <v>0</v>
      </c>
      <c r="N45" s="25">
        <f t="shared" si="19"/>
        <v>64</v>
      </c>
      <c r="O45" s="25">
        <f t="shared" si="19"/>
        <v>185</v>
      </c>
      <c r="P45" s="25">
        <f t="shared" si="19"/>
        <v>0</v>
      </c>
      <c r="Q45" s="25">
        <f t="shared" si="19"/>
        <v>16</v>
      </c>
      <c r="R45" s="25">
        <f>SUM(I45:Q45)</f>
        <v>286</v>
      </c>
      <c r="S45" s="250">
        <v>286</v>
      </c>
      <c r="T45" s="31">
        <f t="shared" si="22"/>
        <v>0</v>
      </c>
    </row>
    <row r="46" spans="1:22" x14ac:dyDescent="0.3">
      <c r="A46" s="250">
        <v>170</v>
      </c>
      <c r="B46" s="25"/>
      <c r="C46" s="25"/>
      <c r="D46" s="25"/>
      <c r="E46" s="25"/>
      <c r="F46" s="25"/>
      <c r="G46" s="25"/>
      <c r="H46" s="25"/>
      <c r="I46" s="25">
        <f t="shared" si="20"/>
        <v>0</v>
      </c>
      <c r="J46" s="25"/>
      <c r="K46" s="25"/>
      <c r="L46" s="25">
        <f t="shared" si="19"/>
        <v>185</v>
      </c>
      <c r="M46" s="25">
        <f t="shared" si="19"/>
        <v>0</v>
      </c>
      <c r="N46" s="25">
        <f t="shared" si="19"/>
        <v>64</v>
      </c>
      <c r="O46" s="25">
        <f t="shared" si="19"/>
        <v>37</v>
      </c>
      <c r="P46" s="25">
        <f t="shared" si="19"/>
        <v>0</v>
      </c>
      <c r="Q46" s="25">
        <f t="shared" si="19"/>
        <v>0</v>
      </c>
      <c r="R46" s="25">
        <f t="shared" si="21"/>
        <v>286</v>
      </c>
      <c r="S46" s="250">
        <v>286</v>
      </c>
      <c r="T46" s="31">
        <f t="shared" si="22"/>
        <v>0</v>
      </c>
    </row>
    <row r="47" spans="1:22" x14ac:dyDescent="0.3">
      <c r="A47" s="250">
        <v>180</v>
      </c>
      <c r="B47" s="25"/>
      <c r="C47" s="25"/>
      <c r="D47" s="25"/>
      <c r="E47" s="25"/>
      <c r="F47" s="25"/>
      <c r="G47" s="25"/>
      <c r="H47" s="25"/>
      <c r="I47" s="25">
        <f t="shared" si="20"/>
        <v>0</v>
      </c>
      <c r="J47" s="25"/>
      <c r="K47" s="25"/>
      <c r="L47" s="25">
        <f t="shared" si="19"/>
        <v>0</v>
      </c>
      <c r="M47" s="25">
        <f t="shared" si="19"/>
        <v>9</v>
      </c>
      <c r="N47" s="25">
        <f t="shared" si="19"/>
        <v>192</v>
      </c>
      <c r="O47" s="25">
        <f t="shared" si="19"/>
        <v>37</v>
      </c>
      <c r="P47" s="25">
        <f t="shared" si="19"/>
        <v>0</v>
      </c>
      <c r="Q47" s="25">
        <f t="shared" si="19"/>
        <v>48</v>
      </c>
      <c r="R47" s="25">
        <f t="shared" si="21"/>
        <v>286</v>
      </c>
      <c r="S47" s="250">
        <v>286</v>
      </c>
      <c r="T47" s="31">
        <f t="shared" si="22"/>
        <v>0</v>
      </c>
    </row>
    <row r="48" spans="1:22" x14ac:dyDescent="0.3">
      <c r="A48" s="252" t="s">
        <v>289</v>
      </c>
      <c r="B48" s="251">
        <f>SUM(B42:Q42)</f>
        <v>163</v>
      </c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</row>
  </sheetData>
  <mergeCells count="2">
    <mergeCell ref="A1:B1"/>
    <mergeCell ref="B48:Q48"/>
  </mergeCells>
  <conditionalFormatting sqref="I39:Q39">
    <cfRule type="cellIs" dxfId="2" priority="1" operator="greaterThan">
      <formula>1150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E4CD-ECDC-48B2-A23B-D5280124D350}">
  <sheetPr>
    <tabColor rgb="FFFFFF00"/>
  </sheetPr>
  <dimension ref="A1:T42"/>
  <sheetViews>
    <sheetView zoomScale="115" zoomScaleNormal="115" workbookViewId="0">
      <selection activeCell="B12" sqref="B12"/>
    </sheetView>
  </sheetViews>
  <sheetFormatPr defaultRowHeight="14.4" x14ac:dyDescent="0.3"/>
  <sheetData>
    <row r="1" spans="1:20" x14ac:dyDescent="0.3">
      <c r="A1" s="240">
        <v>140</v>
      </c>
      <c r="B1" s="195">
        <v>0</v>
      </c>
      <c r="S1">
        <v>0</v>
      </c>
      <c r="T1">
        <v>64</v>
      </c>
    </row>
    <row r="2" spans="1:20" x14ac:dyDescent="0.3">
      <c r="A2" s="240">
        <v>150</v>
      </c>
      <c r="B2" s="9">
        <v>0</v>
      </c>
      <c r="S2">
        <v>0</v>
      </c>
      <c r="T2">
        <v>3</v>
      </c>
    </row>
    <row r="3" spans="1:20" x14ac:dyDescent="0.3">
      <c r="A3" s="240">
        <v>160</v>
      </c>
      <c r="B3" s="9">
        <v>7</v>
      </c>
      <c r="S3">
        <v>0</v>
      </c>
      <c r="T3">
        <v>37</v>
      </c>
    </row>
    <row r="4" spans="1:20" x14ac:dyDescent="0.3">
      <c r="A4" s="240">
        <v>170</v>
      </c>
      <c r="B4" s="9">
        <v>0</v>
      </c>
      <c r="S4">
        <v>10</v>
      </c>
      <c r="T4">
        <v>3</v>
      </c>
    </row>
    <row r="5" spans="1:20" ht="15" thickBot="1" x14ac:dyDescent="0.35">
      <c r="A5" s="240">
        <v>180</v>
      </c>
      <c r="B5" s="243">
        <v>0</v>
      </c>
      <c r="S5">
        <v>0</v>
      </c>
      <c r="T5">
        <v>16</v>
      </c>
    </row>
    <row r="6" spans="1:20" ht="15" thickBot="1" x14ac:dyDescent="0.35">
      <c r="B6">
        <f>SUMPRODUCT(A1:A5,B1:B5)</f>
        <v>1120</v>
      </c>
      <c r="S6">
        <v>30</v>
      </c>
      <c r="T6">
        <v>3</v>
      </c>
    </row>
    <row r="7" spans="1:20" x14ac:dyDescent="0.3">
      <c r="A7" s="240">
        <v>140</v>
      </c>
      <c r="B7" s="195">
        <v>0</v>
      </c>
      <c r="S7">
        <v>0</v>
      </c>
      <c r="T7">
        <v>37</v>
      </c>
    </row>
    <row r="8" spans="1:20" x14ac:dyDescent="0.3">
      <c r="A8" s="240">
        <v>150</v>
      </c>
      <c r="B8" s="9">
        <v>2</v>
      </c>
      <c r="T8" s="104">
        <f>SUM(T1:T7)</f>
        <v>163</v>
      </c>
    </row>
    <row r="9" spans="1:20" x14ac:dyDescent="0.3">
      <c r="A9" s="240">
        <v>160</v>
      </c>
      <c r="B9" s="9">
        <v>0</v>
      </c>
      <c r="S9" t="s">
        <v>290</v>
      </c>
      <c r="T9" t="s">
        <v>291</v>
      </c>
    </row>
    <row r="10" spans="1:20" x14ac:dyDescent="0.3">
      <c r="A10" s="240">
        <v>170</v>
      </c>
      <c r="B10" s="9">
        <v>5</v>
      </c>
    </row>
    <row r="11" spans="1:20" ht="15" thickBot="1" x14ac:dyDescent="0.35">
      <c r="A11" s="240">
        <v>180</v>
      </c>
      <c r="B11" s="243">
        <v>0</v>
      </c>
    </row>
    <row r="12" spans="1:20" ht="15" thickBot="1" x14ac:dyDescent="0.35">
      <c r="B12">
        <f>SUMPRODUCT(A7:A11,B7:B11)</f>
        <v>1150</v>
      </c>
    </row>
    <row r="13" spans="1:20" x14ac:dyDescent="0.3">
      <c r="A13" s="240">
        <v>140</v>
      </c>
      <c r="B13" s="195">
        <v>0</v>
      </c>
    </row>
    <row r="14" spans="1:20" x14ac:dyDescent="0.3">
      <c r="A14" s="240">
        <v>150</v>
      </c>
      <c r="B14" s="9">
        <v>4</v>
      </c>
    </row>
    <row r="15" spans="1:20" x14ac:dyDescent="0.3">
      <c r="A15" s="240">
        <v>160</v>
      </c>
      <c r="B15" s="9">
        <v>0</v>
      </c>
    </row>
    <row r="16" spans="1:20" x14ac:dyDescent="0.3">
      <c r="A16" s="240">
        <v>170</v>
      </c>
      <c r="B16" s="9">
        <v>0</v>
      </c>
    </row>
    <row r="17" spans="1:2" ht="15" thickBot="1" x14ac:dyDescent="0.35">
      <c r="A17" s="240">
        <v>180</v>
      </c>
      <c r="B17" s="243">
        <v>3</v>
      </c>
    </row>
    <row r="18" spans="1:2" ht="15" thickBot="1" x14ac:dyDescent="0.35">
      <c r="B18">
        <f>SUMPRODUCT(A13:A17,B13:B17)</f>
        <v>1140</v>
      </c>
    </row>
    <row r="19" spans="1:2" x14ac:dyDescent="0.3">
      <c r="A19" s="240">
        <v>140</v>
      </c>
      <c r="B19" s="195">
        <v>2</v>
      </c>
    </row>
    <row r="20" spans="1:2" x14ac:dyDescent="0.3">
      <c r="A20" s="240">
        <v>150</v>
      </c>
      <c r="B20" s="9">
        <v>0</v>
      </c>
    </row>
    <row r="21" spans="1:2" x14ac:dyDescent="0.3">
      <c r="A21" s="240">
        <v>160</v>
      </c>
      <c r="B21" s="9">
        <v>1</v>
      </c>
    </row>
    <row r="22" spans="1:2" x14ac:dyDescent="0.3">
      <c r="A22" s="240">
        <v>170</v>
      </c>
      <c r="B22" s="9">
        <v>1</v>
      </c>
    </row>
    <row r="23" spans="1:2" ht="15" thickBot="1" x14ac:dyDescent="0.35">
      <c r="A23" s="240">
        <v>180</v>
      </c>
      <c r="B23" s="243">
        <v>3</v>
      </c>
    </row>
    <row r="24" spans="1:2" ht="15" thickBot="1" x14ac:dyDescent="0.35">
      <c r="B24">
        <f>SUMPRODUCT(A19:A23,B19:B23)</f>
        <v>1150</v>
      </c>
    </row>
    <row r="25" spans="1:2" x14ac:dyDescent="0.3">
      <c r="A25" s="240">
        <v>140</v>
      </c>
      <c r="B25" s="195">
        <v>0</v>
      </c>
    </row>
    <row r="26" spans="1:2" x14ac:dyDescent="0.3">
      <c r="A26" s="240">
        <v>150</v>
      </c>
      <c r="B26" s="9">
        <v>0</v>
      </c>
    </row>
    <row r="27" spans="1:2" x14ac:dyDescent="0.3">
      <c r="A27" s="240">
        <v>160</v>
      </c>
      <c r="B27" s="9">
        <v>5</v>
      </c>
    </row>
    <row r="28" spans="1:2" x14ac:dyDescent="0.3">
      <c r="A28" s="240">
        <v>170</v>
      </c>
      <c r="B28" s="9">
        <v>1</v>
      </c>
    </row>
    <row r="29" spans="1:2" ht="15" thickBot="1" x14ac:dyDescent="0.35">
      <c r="A29" s="240">
        <v>180</v>
      </c>
      <c r="B29" s="243">
        <v>1</v>
      </c>
    </row>
    <row r="30" spans="1:2" ht="15" thickBot="1" x14ac:dyDescent="0.35">
      <c r="B30">
        <f>SUMPRODUCT(A25:A29,B25:B29)</f>
        <v>1150</v>
      </c>
    </row>
    <row r="31" spans="1:2" x14ac:dyDescent="0.3">
      <c r="A31" s="240">
        <v>140</v>
      </c>
      <c r="B31" s="195">
        <v>5</v>
      </c>
    </row>
    <row r="32" spans="1:2" x14ac:dyDescent="0.3">
      <c r="A32" s="240">
        <v>150</v>
      </c>
      <c r="B32" s="9">
        <v>3</v>
      </c>
    </row>
    <row r="33" spans="1:2" x14ac:dyDescent="0.3">
      <c r="A33" s="240">
        <v>160</v>
      </c>
      <c r="B33" s="9">
        <v>0</v>
      </c>
    </row>
    <row r="34" spans="1:2" x14ac:dyDescent="0.3">
      <c r="A34" s="240">
        <v>170</v>
      </c>
      <c r="B34" s="9">
        <v>0</v>
      </c>
    </row>
    <row r="35" spans="1:2" ht="15" thickBot="1" x14ac:dyDescent="0.35">
      <c r="A35" s="240">
        <v>180</v>
      </c>
      <c r="B35" s="243">
        <v>0</v>
      </c>
    </row>
    <row r="36" spans="1:2" ht="15" thickBot="1" x14ac:dyDescent="0.35">
      <c r="B36">
        <f>SUMPRODUCT(A31:A35,B31:B35)</f>
        <v>1150</v>
      </c>
    </row>
    <row r="37" spans="1:2" x14ac:dyDescent="0.3">
      <c r="A37" s="240">
        <v>140</v>
      </c>
      <c r="B37" s="196">
        <v>0</v>
      </c>
    </row>
    <row r="38" spans="1:2" x14ac:dyDescent="0.3">
      <c r="A38" s="240">
        <v>150</v>
      </c>
      <c r="B38" s="242">
        <v>3</v>
      </c>
    </row>
    <row r="39" spans="1:2" x14ac:dyDescent="0.3">
      <c r="A39" s="240">
        <v>160</v>
      </c>
      <c r="B39" s="242">
        <v>1</v>
      </c>
    </row>
    <row r="40" spans="1:2" x14ac:dyDescent="0.3">
      <c r="A40" s="240">
        <v>170</v>
      </c>
      <c r="B40" s="242">
        <v>0</v>
      </c>
    </row>
    <row r="41" spans="1:2" ht="15" thickBot="1" x14ac:dyDescent="0.35">
      <c r="A41" s="240">
        <v>180</v>
      </c>
      <c r="B41" s="198">
        <v>3</v>
      </c>
    </row>
    <row r="42" spans="1:2" x14ac:dyDescent="0.3">
      <c r="B42">
        <f>SUMPRODUCT(A37:A41,B37:B41)</f>
        <v>1150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23"/>
  <sheetViews>
    <sheetView workbookViewId="0">
      <selection activeCell="F23" sqref="F23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8" customWidth="1"/>
    <col min="13" max="13" width="8.33203125" customWidth="1"/>
    <col min="14" max="14" width="6.5546875" customWidth="1"/>
    <col min="15" max="15" width="5.33203125" customWidth="1"/>
    <col min="16" max="16" width="7.109375" bestFit="1" customWidth="1"/>
    <col min="18" max="20" width="6.109375" bestFit="1" customWidth="1"/>
    <col min="21" max="21" width="6.44140625" bestFit="1" customWidth="1"/>
    <col min="22" max="22" width="6.109375" bestFit="1" customWidth="1"/>
  </cols>
  <sheetData>
    <row r="1" spans="1:23" s="2" customFormat="1" x14ac:dyDescent="0.3">
      <c r="A1" s="204" t="s">
        <v>108</v>
      </c>
      <c r="B1" s="204"/>
      <c r="D1" s="2" t="s">
        <v>24</v>
      </c>
      <c r="H1" s="2" t="s">
        <v>21</v>
      </c>
      <c r="J1" s="2" t="s">
        <v>125</v>
      </c>
      <c r="L1" s="2" t="s">
        <v>142</v>
      </c>
    </row>
    <row r="2" spans="1:23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3" x14ac:dyDescent="0.3">
      <c r="A3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21.049213740458018</v>
      </c>
      <c r="H3" s="22">
        <f>G3/C3</f>
        <v>2.1049213740458018E-2</v>
      </c>
      <c r="I3" s="22">
        <f>H3+0.003</f>
        <v>2.4049213740458018E-2</v>
      </c>
      <c r="J3" s="24">
        <f>I3+0.008</f>
        <v>3.2049213740458021E-2</v>
      </c>
      <c r="K3" s="22">
        <v>2.7E-2</v>
      </c>
      <c r="L3" s="22">
        <f>K3-J3</f>
        <v>-5.0492137404580216E-3</v>
      </c>
      <c r="M3" s="20">
        <f>L3*C3</f>
        <v>-5.049213740458022</v>
      </c>
    </row>
    <row r="4" spans="1:23" x14ac:dyDescent="0.3">
      <c r="A4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22.552729007633591</v>
      </c>
      <c r="H4" s="22">
        <f>G4/C4</f>
        <v>2.2552729007633592E-2</v>
      </c>
      <c r="I4" s="22">
        <f>H4+0.003</f>
        <v>2.5552729007633591E-2</v>
      </c>
      <c r="J4" s="24">
        <f>I4+0.008</f>
        <v>3.3552729007633592E-2</v>
      </c>
      <c r="K4" s="22">
        <v>2.9700000000000001E-2</v>
      </c>
      <c r="L4" s="22">
        <f>K4-J4</f>
        <v>-3.8527290076335909E-3</v>
      </c>
      <c r="M4" s="20">
        <f>L4*C4</f>
        <v>-3.8527290076335907</v>
      </c>
    </row>
    <row r="5" spans="1:23" x14ac:dyDescent="0.3">
      <c r="A5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48.112488549618327</v>
      </c>
      <c r="H5" s="22">
        <f>G5/C5</f>
        <v>2.4056244274809162E-2</v>
      </c>
      <c r="I5" s="22">
        <f>H5+0.003</f>
        <v>2.7056244274809162E-2</v>
      </c>
      <c r="J5" s="24">
        <f>I5+0.008</f>
        <v>3.5056244274809162E-2</v>
      </c>
      <c r="K5" s="22">
        <v>2.98E-2</v>
      </c>
      <c r="L5" s="22">
        <f>K5-J5</f>
        <v>-5.2562442748091617E-3</v>
      </c>
      <c r="M5" s="20">
        <f>L5*C5</f>
        <v>-10.512488549618324</v>
      </c>
    </row>
    <row r="6" spans="1:23" x14ac:dyDescent="0.3">
      <c r="A6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51.119519083969472</v>
      </c>
      <c r="H6" s="22">
        <f>G6/C6</f>
        <v>2.5559759541984736E-2</v>
      </c>
      <c r="I6" s="22">
        <f>H6+0.003</f>
        <v>2.8559759541984735E-2</v>
      </c>
      <c r="J6" s="24">
        <f>I6+0.008</f>
        <v>3.6559759541984732E-2</v>
      </c>
      <c r="K6" s="22">
        <v>3.3399999999999999E-2</v>
      </c>
      <c r="L6" s="22">
        <f>K6-J6</f>
        <v>-3.159759541984733E-3</v>
      </c>
      <c r="M6" s="20">
        <f>L6*C6</f>
        <v>-6.3195190839694657</v>
      </c>
      <c r="Q6" s="18" t="s">
        <v>9</v>
      </c>
    </row>
    <row r="7" spans="1:23" x14ac:dyDescent="0.3">
      <c r="A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54.126549618320617</v>
      </c>
      <c r="H7" s="22">
        <f>G7/C7</f>
        <v>2.706327480916031E-2</v>
      </c>
      <c r="I7" s="22">
        <f>H7+0.003</f>
        <v>3.0063274809160309E-2</v>
      </c>
      <c r="J7" s="24">
        <f>I7+0.008</f>
        <v>3.8063274809160309E-2</v>
      </c>
      <c r="K7" s="22">
        <v>3.3399999999999999E-2</v>
      </c>
      <c r="L7" s="22">
        <f>K7-J7</f>
        <v>-4.6632748091603102E-3</v>
      </c>
      <c r="M7" s="20">
        <f>L7*C7</f>
        <v>-9.3265496183206196</v>
      </c>
      <c r="Q7" s="2" t="s">
        <v>41</v>
      </c>
      <c r="R7" s="19">
        <f t="shared" ref="R7:W7" si="0">R8-R9</f>
        <v>0.1428571428571388</v>
      </c>
      <c r="S7" s="19">
        <f t="shared" si="0"/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19">
        <f t="shared" si="0"/>
        <v>36</v>
      </c>
    </row>
    <row r="8" spans="1:23" x14ac:dyDescent="0.3">
      <c r="E8">
        <f>SUM(E3:E7)</f>
        <v>2358000</v>
      </c>
      <c r="F8" s="21">
        <f>SUM(F3:F7)</f>
        <v>1</v>
      </c>
      <c r="M8" s="23">
        <f>SUM(M3:M7)</f>
        <v>-35.060500000000026</v>
      </c>
      <c r="Q8" s="2" t="s">
        <v>47</v>
      </c>
      <c r="R8" s="19">
        <f t="shared" ref="R8:W8" si="1">SUM(R11:R15)</f>
        <v>143</v>
      </c>
      <c r="S8" s="19">
        <f t="shared" si="1"/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19">
        <f t="shared" si="1"/>
        <v>36</v>
      </c>
    </row>
    <row r="9" spans="1:23" x14ac:dyDescent="0.3"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19"/>
    </row>
    <row r="10" spans="1:23" s="2" customFormat="1" x14ac:dyDescent="0.3">
      <c r="A10" s="2" t="s">
        <v>109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3">
      <c r="A11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17</v>
      </c>
      <c r="J11" s="25">
        <f>COUNTIF($B11:$I11,J$10)</f>
        <v>7</v>
      </c>
      <c r="K11" s="25">
        <f t="shared" ref="K11:O15" si="2">COUNTIF($B11:$I11,K$10)</f>
        <v>0</v>
      </c>
      <c r="L11" s="25">
        <f t="shared" si="2"/>
        <v>0</v>
      </c>
      <c r="M11" s="25">
        <f t="shared" si="2"/>
        <v>1</v>
      </c>
      <c r="N11" s="25">
        <f t="shared" si="2"/>
        <v>0</v>
      </c>
      <c r="O11" s="25">
        <f t="shared" si="2"/>
        <v>0</v>
      </c>
      <c r="P11" s="2">
        <v>14</v>
      </c>
      <c r="R11">
        <f t="shared" ref="R11:W11" si="3">$P$11*J11</f>
        <v>98</v>
      </c>
      <c r="S11">
        <f t="shared" si="3"/>
        <v>0</v>
      </c>
      <c r="T11">
        <f t="shared" si="3"/>
        <v>0</v>
      </c>
      <c r="U11">
        <f t="shared" si="3"/>
        <v>14</v>
      </c>
      <c r="V11">
        <f t="shared" si="3"/>
        <v>0</v>
      </c>
      <c r="W11">
        <f t="shared" si="3"/>
        <v>0</v>
      </c>
    </row>
    <row r="12" spans="1:23" x14ac:dyDescent="0.3">
      <c r="A12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J12" s="25">
        <f t="shared" ref="J12:J15" si="4">COUNTIF($B12:$I12,J$10)</f>
        <v>0</v>
      </c>
      <c r="K12" s="25">
        <f t="shared" si="2"/>
        <v>5</v>
      </c>
      <c r="L12" s="25">
        <f t="shared" si="2"/>
        <v>0</v>
      </c>
      <c r="M12" s="25">
        <f t="shared" si="2"/>
        <v>0</v>
      </c>
      <c r="N12" s="25">
        <f t="shared" si="2"/>
        <v>2</v>
      </c>
      <c r="O12" s="25">
        <f t="shared" si="2"/>
        <v>0</v>
      </c>
      <c r="P12" s="2">
        <v>29</v>
      </c>
      <c r="R12">
        <f t="shared" ref="R12:W12" si="5">$P$12*J12</f>
        <v>0</v>
      </c>
      <c r="S12">
        <f t="shared" si="5"/>
        <v>145</v>
      </c>
      <c r="T12">
        <f t="shared" si="5"/>
        <v>0</v>
      </c>
      <c r="U12">
        <f t="shared" si="5"/>
        <v>0</v>
      </c>
      <c r="V12">
        <f t="shared" si="5"/>
        <v>58</v>
      </c>
      <c r="W12">
        <f t="shared" si="5"/>
        <v>0</v>
      </c>
    </row>
    <row r="13" spans="1:23" x14ac:dyDescent="0.3">
      <c r="A13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J13" s="25">
        <f t="shared" si="4"/>
        <v>0</v>
      </c>
      <c r="K13" s="25">
        <f t="shared" si="2"/>
        <v>0</v>
      </c>
      <c r="L13" s="25">
        <f t="shared" si="2"/>
        <v>5</v>
      </c>
      <c r="M13" s="25">
        <f t="shared" si="2"/>
        <v>1</v>
      </c>
      <c r="N13" s="25">
        <f t="shared" si="2"/>
        <v>1</v>
      </c>
      <c r="O13" s="25">
        <f t="shared" si="2"/>
        <v>0</v>
      </c>
      <c r="P13" s="2">
        <v>49</v>
      </c>
      <c r="R13">
        <f t="shared" ref="R13:W13" si="6">$P$13*J13</f>
        <v>0</v>
      </c>
      <c r="S13">
        <f t="shared" si="6"/>
        <v>0</v>
      </c>
      <c r="T13">
        <f t="shared" si="6"/>
        <v>245</v>
      </c>
      <c r="U13">
        <f t="shared" si="6"/>
        <v>49</v>
      </c>
      <c r="V13">
        <f t="shared" si="6"/>
        <v>49</v>
      </c>
      <c r="W13">
        <f t="shared" si="6"/>
        <v>0</v>
      </c>
    </row>
    <row r="14" spans="1:23" x14ac:dyDescent="0.3">
      <c r="A14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J14" s="25">
        <f t="shared" si="4"/>
        <v>1</v>
      </c>
      <c r="K14" s="25">
        <f t="shared" si="2"/>
        <v>0</v>
      </c>
      <c r="L14" s="25">
        <f t="shared" si="2"/>
        <v>1</v>
      </c>
      <c r="M14" s="25">
        <f t="shared" si="2"/>
        <v>5</v>
      </c>
      <c r="N14" s="25">
        <f t="shared" si="2"/>
        <v>0</v>
      </c>
      <c r="O14" s="25">
        <f t="shared" si="2"/>
        <v>0</v>
      </c>
      <c r="P14" s="2">
        <v>45</v>
      </c>
      <c r="R14">
        <f t="shared" ref="R14:W14" si="7">$P$14*J14</f>
        <v>45</v>
      </c>
      <c r="S14">
        <f t="shared" si="7"/>
        <v>0</v>
      </c>
      <c r="T14">
        <f t="shared" si="7"/>
        <v>45</v>
      </c>
      <c r="U14">
        <f t="shared" si="7"/>
        <v>225</v>
      </c>
      <c r="V14">
        <f t="shared" si="7"/>
        <v>0</v>
      </c>
      <c r="W14">
        <f t="shared" si="7"/>
        <v>0</v>
      </c>
    </row>
    <row r="15" spans="1:23" x14ac:dyDescent="0.3">
      <c r="A15">
        <f>SUM(B15:I15)</f>
        <v>114</v>
      </c>
      <c r="B15">
        <v>18</v>
      </c>
      <c r="C15">
        <v>18</v>
      </c>
      <c r="D15">
        <v>18</v>
      </c>
      <c r="E15">
        <v>18</v>
      </c>
      <c r="F15">
        <v>18</v>
      </c>
      <c r="G15">
        <v>24</v>
      </c>
      <c r="J15" s="25">
        <f t="shared" si="4"/>
        <v>0</v>
      </c>
      <c r="K15" s="25">
        <f t="shared" si="2"/>
        <v>0</v>
      </c>
      <c r="L15" s="25">
        <f t="shared" si="2"/>
        <v>0</v>
      </c>
      <c r="M15" s="25">
        <f t="shared" si="2"/>
        <v>0</v>
      </c>
      <c r="N15" s="25">
        <f t="shared" si="2"/>
        <v>5</v>
      </c>
      <c r="O15" s="25">
        <f t="shared" si="2"/>
        <v>1</v>
      </c>
      <c r="P15" s="2">
        <v>36</v>
      </c>
      <c r="R15">
        <f t="shared" ref="R15:W15" si="8">$P$15*J15</f>
        <v>0</v>
      </c>
      <c r="S15">
        <f t="shared" si="8"/>
        <v>0</v>
      </c>
      <c r="T15">
        <f t="shared" si="8"/>
        <v>0</v>
      </c>
      <c r="U15">
        <f t="shared" si="8"/>
        <v>0</v>
      </c>
      <c r="V15">
        <f t="shared" si="8"/>
        <v>180</v>
      </c>
      <c r="W15">
        <f t="shared" si="8"/>
        <v>36</v>
      </c>
    </row>
    <row r="17" spans="1:22" x14ac:dyDescent="0.3">
      <c r="A17" t="s">
        <v>140</v>
      </c>
      <c r="E17" t="s">
        <v>70</v>
      </c>
      <c r="R17">
        <f>R10</f>
        <v>14</v>
      </c>
      <c r="S17">
        <f t="shared" ref="S17:V17" si="9">S10</f>
        <v>15</v>
      </c>
      <c r="T17">
        <f t="shared" si="9"/>
        <v>16</v>
      </c>
      <c r="U17">
        <f t="shared" si="9"/>
        <v>17</v>
      </c>
      <c r="V17">
        <f t="shared" si="9"/>
        <v>18</v>
      </c>
    </row>
    <row r="18" spans="1:22" x14ac:dyDescent="0.3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0">S11*7</f>
        <v>0</v>
      </c>
      <c r="T18">
        <f t="shared" si="10"/>
        <v>0</v>
      </c>
      <c r="U18">
        <f t="shared" si="10"/>
        <v>98</v>
      </c>
      <c r="V18">
        <f t="shared" si="10"/>
        <v>0</v>
      </c>
    </row>
    <row r="19" spans="1:22" x14ac:dyDescent="0.3">
      <c r="A19">
        <v>115</v>
      </c>
      <c r="B19">
        <v>126</v>
      </c>
      <c r="C19">
        <v>1.1385000000000001</v>
      </c>
      <c r="D19">
        <f>SUM(P11:P15)</f>
        <v>173</v>
      </c>
      <c r="E19">
        <f>D19*C19</f>
        <v>196.96050000000002</v>
      </c>
      <c r="P19">
        <f t="shared" ref="P19:P22" si="11">P12</f>
        <v>29</v>
      </c>
      <c r="R19">
        <f t="shared" ref="R19:V22" si="12">R12*7</f>
        <v>0</v>
      </c>
      <c r="S19">
        <f t="shared" si="12"/>
        <v>1015</v>
      </c>
      <c r="T19">
        <f t="shared" si="12"/>
        <v>0</v>
      </c>
      <c r="U19">
        <f t="shared" si="12"/>
        <v>0</v>
      </c>
      <c r="V19">
        <f t="shared" si="12"/>
        <v>406</v>
      </c>
    </row>
    <row r="20" spans="1:22" x14ac:dyDescent="0.3">
      <c r="P20">
        <f t="shared" si="11"/>
        <v>49</v>
      </c>
      <c r="R20">
        <f t="shared" si="12"/>
        <v>0</v>
      </c>
      <c r="S20">
        <f t="shared" si="12"/>
        <v>0</v>
      </c>
      <c r="T20">
        <f t="shared" si="12"/>
        <v>1715</v>
      </c>
      <c r="U20">
        <f t="shared" si="12"/>
        <v>343</v>
      </c>
      <c r="V20">
        <f t="shared" si="12"/>
        <v>343</v>
      </c>
    </row>
    <row r="21" spans="1:22" x14ac:dyDescent="0.3">
      <c r="E21">
        <v>196.96050000000002</v>
      </c>
      <c r="P21">
        <f t="shared" si="11"/>
        <v>45</v>
      </c>
      <c r="R21">
        <f t="shared" si="12"/>
        <v>315</v>
      </c>
      <c r="S21">
        <f t="shared" si="12"/>
        <v>0</v>
      </c>
      <c r="T21">
        <f t="shared" si="12"/>
        <v>315</v>
      </c>
      <c r="U21">
        <f t="shared" si="12"/>
        <v>1575</v>
      </c>
      <c r="V21">
        <f t="shared" si="12"/>
        <v>0</v>
      </c>
    </row>
    <row r="22" spans="1:22" x14ac:dyDescent="0.3">
      <c r="P22">
        <f t="shared" si="11"/>
        <v>36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1260</v>
      </c>
    </row>
    <row r="23" spans="1:22" x14ac:dyDescent="0.3">
      <c r="R23">
        <f>SUM(R18:R22)</f>
        <v>1001</v>
      </c>
      <c r="S23">
        <f t="shared" ref="S23:V23" si="13">SUM(S18:S22)</f>
        <v>1015</v>
      </c>
      <c r="T23">
        <f t="shared" si="13"/>
        <v>2030</v>
      </c>
      <c r="U23">
        <f t="shared" si="13"/>
        <v>2016</v>
      </c>
      <c r="V23">
        <f t="shared" si="13"/>
        <v>2009</v>
      </c>
    </row>
  </sheetData>
  <mergeCells count="1">
    <mergeCell ref="A1:B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22"/>
  <sheetViews>
    <sheetView zoomScale="130" zoomScaleNormal="130" workbookViewId="0">
      <selection activeCell="M13" sqref="M13"/>
    </sheetView>
  </sheetViews>
  <sheetFormatPr defaultRowHeight="14.4" x14ac:dyDescent="0.3"/>
  <cols>
    <col min="1" max="1" width="8.109375" bestFit="1" customWidth="1"/>
    <col min="2" max="2" width="5.5546875" bestFit="1" customWidth="1"/>
    <col min="3" max="3" width="8.33203125" bestFit="1" customWidth="1"/>
    <col min="4" max="4" width="5.6640625" customWidth="1"/>
    <col min="5" max="5" width="9" bestFit="1" customWidth="1"/>
    <col min="6" max="6" width="5.33203125" bestFit="1" customWidth="1"/>
    <col min="7" max="7" width="5" bestFit="1" customWidth="1"/>
    <col min="9" max="9" width="6.44140625" bestFit="1" customWidth="1"/>
    <col min="10" max="10" width="7.44140625" bestFit="1" customWidth="1"/>
    <col min="11" max="11" width="6.5546875" bestFit="1" customWidth="1"/>
    <col min="14" max="14" width="8.88671875" style="2"/>
  </cols>
  <sheetData>
    <row r="1" spans="1:19" x14ac:dyDescent="0.3">
      <c r="A1" s="202" t="s">
        <v>94</v>
      </c>
      <c r="B1" s="202"/>
      <c r="D1" t="s">
        <v>24</v>
      </c>
      <c r="G1" t="s">
        <v>141</v>
      </c>
      <c r="I1" t="s">
        <v>81</v>
      </c>
      <c r="K1" t="s">
        <v>70</v>
      </c>
    </row>
    <row r="2" spans="1:19" x14ac:dyDescent="0.3">
      <c r="A2" t="s">
        <v>1</v>
      </c>
      <c r="B2" t="s">
        <v>2</v>
      </c>
      <c r="C2" t="s">
        <v>3</v>
      </c>
      <c r="E2" t="s">
        <v>16</v>
      </c>
      <c r="F2" t="s">
        <v>17</v>
      </c>
      <c r="H2" t="s">
        <v>21</v>
      </c>
      <c r="J2" s="2" t="s">
        <v>144</v>
      </c>
      <c r="L2" t="s">
        <v>30</v>
      </c>
      <c r="M2" s="14">
        <v>0.5</v>
      </c>
    </row>
    <row r="3" spans="1:19" x14ac:dyDescent="0.3">
      <c r="A3">
        <v>15</v>
      </c>
      <c r="B3">
        <v>18</v>
      </c>
      <c r="C3">
        <v>10000</v>
      </c>
      <c r="D3">
        <v>6</v>
      </c>
      <c r="E3">
        <f>C3*B3*A3</f>
        <v>2700000</v>
      </c>
      <c r="F3">
        <f>E3/$E$5</f>
        <v>0.4838709677419355</v>
      </c>
      <c r="G3">
        <f>$E$9*F3</f>
        <v>177.67741935483872</v>
      </c>
      <c r="H3">
        <f>G3/C3</f>
        <v>1.7767741935483871E-2</v>
      </c>
      <c r="I3" s="22">
        <f>0.003+H3</f>
        <v>2.076774193548387E-2</v>
      </c>
      <c r="J3" s="24">
        <f>I3+0.01</f>
        <v>3.0767741935483872E-2</v>
      </c>
      <c r="K3">
        <f>J3*C3</f>
        <v>307.67741935483872</v>
      </c>
    </row>
    <row r="4" spans="1:19" x14ac:dyDescent="0.3">
      <c r="A4">
        <v>16</v>
      </c>
      <c r="B4">
        <v>18</v>
      </c>
      <c r="C4">
        <v>10000</v>
      </c>
      <c r="D4">
        <v>6</v>
      </c>
      <c r="E4">
        <f>C4*B4*A4</f>
        <v>2880000</v>
      </c>
      <c r="F4">
        <f>E4/$E$5</f>
        <v>0.5161290322580645</v>
      </c>
      <c r="G4">
        <f>$E$9*F4</f>
        <v>189.52258064516127</v>
      </c>
      <c r="H4">
        <f>G4/C4</f>
        <v>1.8952258064516128E-2</v>
      </c>
      <c r="I4" s="22">
        <f>0.003+H4</f>
        <v>2.1952258064516127E-2</v>
      </c>
      <c r="J4" s="24">
        <f>I4+0.01</f>
        <v>3.1952258064516126E-2</v>
      </c>
      <c r="K4">
        <f>J4*C4</f>
        <v>319.52258064516127</v>
      </c>
    </row>
    <row r="5" spans="1:19" x14ac:dyDescent="0.3">
      <c r="C5">
        <f>SUM(C3:C4)</f>
        <v>20000</v>
      </c>
      <c r="E5">
        <f>SUM(E3:E4)</f>
        <v>5580000</v>
      </c>
      <c r="F5">
        <f>SUM(F3:F4)</f>
        <v>1</v>
      </c>
      <c r="G5">
        <f>SUM(G3:G4)</f>
        <v>367.2</v>
      </c>
      <c r="I5">
        <f>C5*0.003</f>
        <v>60</v>
      </c>
      <c r="K5">
        <f>SUM(K3:K4)</f>
        <v>627.20000000000005</v>
      </c>
      <c r="L5">
        <f>K5-I5-G5</f>
        <v>200.00000000000006</v>
      </c>
      <c r="M5">
        <f>L5/2</f>
        <v>100.00000000000003</v>
      </c>
    </row>
    <row r="7" spans="1:19" x14ac:dyDescent="0.3">
      <c r="A7" t="s">
        <v>37</v>
      </c>
      <c r="N7" s="2" t="s">
        <v>9</v>
      </c>
    </row>
    <row r="8" spans="1:19" x14ac:dyDescent="0.3">
      <c r="A8" t="s">
        <v>1</v>
      </c>
      <c r="B8" t="s">
        <v>2</v>
      </c>
      <c r="C8" t="s">
        <v>15</v>
      </c>
      <c r="D8" t="s">
        <v>3</v>
      </c>
      <c r="E8" t="s">
        <v>70</v>
      </c>
      <c r="N8" s="2" t="s">
        <v>41</v>
      </c>
      <c r="Q8">
        <f>Q9</f>
        <v>334</v>
      </c>
    </row>
    <row r="9" spans="1:19" x14ac:dyDescent="0.3">
      <c r="A9">
        <v>98</v>
      </c>
      <c r="B9">
        <v>118</v>
      </c>
      <c r="C9">
        <v>0.6</v>
      </c>
      <c r="D9">
        <f>M14</f>
        <v>612</v>
      </c>
      <c r="E9">
        <f>D9*C9</f>
        <v>367.2</v>
      </c>
      <c r="N9" s="2" t="s">
        <v>47</v>
      </c>
      <c r="O9">
        <f>SUM(O12:O13)</f>
        <v>1670</v>
      </c>
      <c r="P9">
        <f>SUM(P12:P13)</f>
        <v>1668</v>
      </c>
      <c r="Q9">
        <f>SUM(Q12:Q13)</f>
        <v>334</v>
      </c>
    </row>
    <row r="10" spans="1:19" x14ac:dyDescent="0.3">
      <c r="N10" s="2" t="s">
        <v>139</v>
      </c>
      <c r="O10">
        <f>C3/D3</f>
        <v>1666.6666666666667</v>
      </c>
      <c r="P10">
        <f>C4/D4</f>
        <v>1666.6666666666667</v>
      </c>
    </row>
    <row r="11" spans="1:19" s="2" customFormat="1" x14ac:dyDescent="0.3">
      <c r="A11" s="2" t="s">
        <v>96</v>
      </c>
      <c r="I11" s="2">
        <v>15</v>
      </c>
      <c r="J11" s="2">
        <v>16</v>
      </c>
      <c r="K11" s="2">
        <v>22</v>
      </c>
      <c r="M11" s="2" t="s">
        <v>7</v>
      </c>
      <c r="O11" s="2">
        <v>15</v>
      </c>
      <c r="P11" s="2">
        <v>16</v>
      </c>
      <c r="Q11" s="2">
        <v>22</v>
      </c>
    </row>
    <row r="12" spans="1:19" x14ac:dyDescent="0.3">
      <c r="A12">
        <f>SUM(B12:H12)</f>
        <v>97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22</v>
      </c>
      <c r="I12">
        <v>5</v>
      </c>
      <c r="K12">
        <v>1</v>
      </c>
      <c r="M12" s="2">
        <v>334</v>
      </c>
      <c r="O12">
        <f>$M$12*I12</f>
        <v>1670</v>
      </c>
      <c r="P12">
        <f>$M$12*J12</f>
        <v>0</v>
      </c>
      <c r="Q12">
        <f>$M$12*K12</f>
        <v>334</v>
      </c>
    </row>
    <row r="13" spans="1:19" x14ac:dyDescent="0.3">
      <c r="A13">
        <f>SUM(B13:H13)</f>
        <v>96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J13">
        <v>6</v>
      </c>
      <c r="M13" s="2">
        <v>278</v>
      </c>
      <c r="O13">
        <f>$M$13*I13</f>
        <v>0</v>
      </c>
      <c r="P13">
        <f>$M$13*J13</f>
        <v>1668</v>
      </c>
      <c r="Q13">
        <f>$M$13*K13</f>
        <v>0</v>
      </c>
    </row>
    <row r="14" spans="1:19" x14ac:dyDescent="0.3">
      <c r="M14">
        <f>SUM(M12:M13)</f>
        <v>612</v>
      </c>
    </row>
    <row r="16" spans="1:19" x14ac:dyDescent="0.3">
      <c r="N16"/>
      <c r="O16">
        <f>O9</f>
        <v>1670</v>
      </c>
      <c r="P16">
        <f t="shared" ref="P16:S16" si="0">P9</f>
        <v>1668</v>
      </c>
      <c r="Q16">
        <f t="shared" si="0"/>
        <v>334</v>
      </c>
      <c r="R16">
        <f t="shared" si="0"/>
        <v>0</v>
      </c>
      <c r="S16">
        <f t="shared" si="0"/>
        <v>0</v>
      </c>
    </row>
    <row r="17" spans="13:19" x14ac:dyDescent="0.3">
      <c r="M17">
        <f>M10</f>
        <v>0</v>
      </c>
      <c r="N17"/>
      <c r="O17">
        <f>O10*7</f>
        <v>11666.666666666668</v>
      </c>
      <c r="P17">
        <f t="shared" ref="P17:S17" si="1">P10*7</f>
        <v>11666.666666666668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3:19" x14ac:dyDescent="0.3">
      <c r="M18" t="str">
        <f t="shared" ref="M18:M21" si="2">M11</f>
        <v>Planchas</v>
      </c>
      <c r="N18"/>
      <c r="O18">
        <f t="shared" ref="O18:S21" si="3">O11*7</f>
        <v>105</v>
      </c>
      <c r="P18">
        <f t="shared" si="3"/>
        <v>112</v>
      </c>
      <c r="Q18">
        <f t="shared" si="3"/>
        <v>154</v>
      </c>
      <c r="R18">
        <f t="shared" si="3"/>
        <v>0</v>
      </c>
      <c r="S18">
        <f t="shared" si="3"/>
        <v>0</v>
      </c>
    </row>
    <row r="19" spans="13:19" x14ac:dyDescent="0.3">
      <c r="M19">
        <f t="shared" si="2"/>
        <v>334</v>
      </c>
      <c r="N19"/>
      <c r="O19">
        <f>O12*6</f>
        <v>10020</v>
      </c>
      <c r="P19">
        <f t="shared" si="3"/>
        <v>0</v>
      </c>
      <c r="Q19">
        <f t="shared" si="3"/>
        <v>2338</v>
      </c>
      <c r="R19">
        <f t="shared" si="3"/>
        <v>0</v>
      </c>
      <c r="S19">
        <f t="shared" si="3"/>
        <v>0</v>
      </c>
    </row>
    <row r="20" spans="13:19" x14ac:dyDescent="0.3">
      <c r="M20">
        <f t="shared" si="2"/>
        <v>278</v>
      </c>
      <c r="N20"/>
      <c r="O20">
        <f t="shared" si="3"/>
        <v>0</v>
      </c>
      <c r="P20">
        <f t="shared" si="3"/>
        <v>11676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3:19" x14ac:dyDescent="0.3">
      <c r="M21">
        <f t="shared" si="2"/>
        <v>612</v>
      </c>
      <c r="N21"/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3:19" x14ac:dyDescent="0.3">
      <c r="N22"/>
      <c r="O22">
        <f>SUM(O17:O21)</f>
        <v>21791.666666666668</v>
      </c>
      <c r="P22">
        <f t="shared" ref="P22:S22" si="4">SUM(P17:P21)</f>
        <v>23454.666666666668</v>
      </c>
      <c r="Q22">
        <f t="shared" si="4"/>
        <v>2492</v>
      </c>
      <c r="R22">
        <f t="shared" si="4"/>
        <v>0</v>
      </c>
      <c r="S22">
        <f t="shared" si="4"/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1745-EF3F-46AD-B2C8-7A5F495F93E4}">
  <dimension ref="B1:AB26"/>
  <sheetViews>
    <sheetView workbookViewId="0">
      <selection activeCell="F27" sqref="F27"/>
    </sheetView>
  </sheetViews>
  <sheetFormatPr defaultRowHeight="14.4" x14ac:dyDescent="0.3"/>
  <cols>
    <col min="2" max="4" width="12.33203125" customWidth="1"/>
    <col min="5" max="5" width="11.109375" customWidth="1"/>
    <col min="12" max="22" width="0" hidden="1" customWidth="1"/>
    <col min="23" max="24" width="11.5546875" customWidth="1"/>
  </cols>
  <sheetData>
    <row r="1" spans="2:26" ht="15" thickBot="1" x14ac:dyDescent="0.35"/>
    <row r="2" spans="2:26" x14ac:dyDescent="0.3">
      <c r="B2" s="118" t="s">
        <v>217</v>
      </c>
      <c r="C2" s="119">
        <v>1600</v>
      </c>
      <c r="D2" t="s">
        <v>219</v>
      </c>
    </row>
    <row r="3" spans="2:26" ht="15" thickBot="1" x14ac:dyDescent="0.35">
      <c r="B3" s="36" t="s">
        <v>218</v>
      </c>
      <c r="C3" s="120">
        <f>SUM(D12:K12)</f>
        <v>99</v>
      </c>
      <c r="D3" t="s">
        <v>220</v>
      </c>
    </row>
    <row r="4" spans="2:26" ht="15" thickBot="1" x14ac:dyDescent="0.35">
      <c r="B4" s="9"/>
      <c r="C4" s="9"/>
      <c r="W4">
        <f>SUM(W7:W9)</f>
        <v>312</v>
      </c>
      <c r="X4">
        <f>SUM(X7:X9)</f>
        <v>313</v>
      </c>
    </row>
    <row r="5" spans="2:26" x14ac:dyDescent="0.3">
      <c r="B5" s="220" t="s">
        <v>223</v>
      </c>
      <c r="C5" s="218" t="s">
        <v>224</v>
      </c>
      <c r="D5" s="228" t="s">
        <v>230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30"/>
      <c r="W5" s="216" t="s">
        <v>262</v>
      </c>
      <c r="X5" s="216" t="s">
        <v>222</v>
      </c>
    </row>
    <row r="6" spans="2:26" ht="15" thickBot="1" x14ac:dyDescent="0.35">
      <c r="B6" s="221"/>
      <c r="C6" s="219"/>
      <c r="D6" s="125">
        <v>1</v>
      </c>
      <c r="E6" s="126">
        <v>2</v>
      </c>
      <c r="F6" s="126">
        <v>3</v>
      </c>
      <c r="G6" s="126">
        <v>4</v>
      </c>
      <c r="H6" s="126">
        <v>5</v>
      </c>
      <c r="I6" s="126">
        <v>6</v>
      </c>
      <c r="J6" s="126">
        <v>7</v>
      </c>
      <c r="K6" s="126">
        <v>8</v>
      </c>
      <c r="L6" s="126">
        <v>9</v>
      </c>
      <c r="M6" s="126">
        <v>10</v>
      </c>
      <c r="N6" s="126">
        <v>11</v>
      </c>
      <c r="O6" s="126">
        <v>12</v>
      </c>
      <c r="P6" s="126">
        <v>13</v>
      </c>
      <c r="Q6" s="126">
        <v>14</v>
      </c>
      <c r="R6" s="126">
        <v>15</v>
      </c>
      <c r="S6" s="126">
        <v>16</v>
      </c>
      <c r="T6" s="126">
        <v>17</v>
      </c>
      <c r="U6" s="126">
        <v>18</v>
      </c>
      <c r="V6" s="126">
        <v>19</v>
      </c>
      <c r="W6" s="217"/>
      <c r="X6" s="217"/>
    </row>
    <row r="7" spans="2:26" x14ac:dyDescent="0.3">
      <c r="B7" s="118" t="s">
        <v>225</v>
      </c>
      <c r="C7" s="119">
        <v>600</v>
      </c>
      <c r="D7" s="155">
        <v>2</v>
      </c>
      <c r="E7" s="158">
        <v>1</v>
      </c>
      <c r="F7" s="158">
        <v>1</v>
      </c>
      <c r="G7" s="158">
        <v>1</v>
      </c>
      <c r="H7" s="158">
        <v>0</v>
      </c>
      <c r="I7" s="158">
        <v>0</v>
      </c>
      <c r="J7" s="158">
        <v>0</v>
      </c>
      <c r="K7" s="158">
        <v>0</v>
      </c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4"/>
      <c r="W7" s="127">
        <v>104</v>
      </c>
      <c r="X7" s="145">
        <f>SUMPRODUCT(D7:V7,$D$12:$V$12)</f>
        <v>104</v>
      </c>
      <c r="Y7" s="19"/>
      <c r="Z7" s="19"/>
    </row>
    <row r="8" spans="2:26" x14ac:dyDescent="0.3">
      <c r="B8" s="38" t="s">
        <v>226</v>
      </c>
      <c r="C8" s="121">
        <v>450</v>
      </c>
      <c r="D8" s="156">
        <v>0</v>
      </c>
      <c r="E8" s="84">
        <v>2</v>
      </c>
      <c r="F8" s="84">
        <v>1</v>
      </c>
      <c r="G8" s="84">
        <v>0</v>
      </c>
      <c r="H8" s="84">
        <v>3</v>
      </c>
      <c r="I8" s="84">
        <v>2</v>
      </c>
      <c r="J8" s="84">
        <v>1</v>
      </c>
      <c r="K8" s="84">
        <v>0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52"/>
      <c r="W8" s="129">
        <v>156</v>
      </c>
      <c r="X8" s="146">
        <f>SUMPRODUCT(D8:V8,$D$12:$V$12)</f>
        <v>156</v>
      </c>
      <c r="Y8" s="19"/>
      <c r="Z8" s="19"/>
    </row>
    <row r="9" spans="2:26" ht="15" thickBot="1" x14ac:dyDescent="0.35">
      <c r="B9" s="36" t="s">
        <v>227</v>
      </c>
      <c r="C9" s="120">
        <v>340</v>
      </c>
      <c r="D9" s="157">
        <v>1</v>
      </c>
      <c r="E9" s="159">
        <v>0</v>
      </c>
      <c r="F9" s="159">
        <v>1</v>
      </c>
      <c r="G9" s="159">
        <v>2</v>
      </c>
      <c r="H9" s="159">
        <v>0</v>
      </c>
      <c r="I9" s="159">
        <v>2</v>
      </c>
      <c r="J9" s="159">
        <v>3</v>
      </c>
      <c r="K9" s="159">
        <v>4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53"/>
      <c r="W9" s="131">
        <v>52</v>
      </c>
      <c r="X9" s="147">
        <f>SUMPRODUCT(D9:V9,$D$12:$V$12)</f>
        <v>53</v>
      </c>
      <c r="Y9" s="19"/>
      <c r="Z9" s="19"/>
    </row>
    <row r="10" spans="2:26" ht="15" thickBot="1" x14ac:dyDescent="0.35">
      <c r="B10" s="222" t="s">
        <v>228</v>
      </c>
      <c r="C10" s="223"/>
      <c r="D10" s="132">
        <f t="shared" ref="D10:V10" si="0">$C$2-(SUMPRODUCT($C$7:$C$9,D7:D9))</f>
        <v>60</v>
      </c>
      <c r="E10" s="132">
        <f t="shared" si="0"/>
        <v>100</v>
      </c>
      <c r="F10" s="132">
        <f t="shared" si="0"/>
        <v>210</v>
      </c>
      <c r="G10" s="132">
        <f t="shared" si="0"/>
        <v>320</v>
      </c>
      <c r="H10" s="132">
        <f t="shared" si="0"/>
        <v>250</v>
      </c>
      <c r="I10" s="132">
        <f t="shared" si="0"/>
        <v>20</v>
      </c>
      <c r="J10" s="132">
        <f t="shared" si="0"/>
        <v>130</v>
      </c>
      <c r="K10" s="132">
        <f t="shared" si="0"/>
        <v>240</v>
      </c>
      <c r="L10" s="132">
        <f t="shared" si="0"/>
        <v>1600</v>
      </c>
      <c r="M10" s="132">
        <f t="shared" si="0"/>
        <v>1600</v>
      </c>
      <c r="N10" s="132">
        <f t="shared" si="0"/>
        <v>1600</v>
      </c>
      <c r="O10" s="132">
        <f t="shared" si="0"/>
        <v>1600</v>
      </c>
      <c r="P10" s="132">
        <f t="shared" si="0"/>
        <v>1600</v>
      </c>
      <c r="Q10" s="132">
        <f t="shared" si="0"/>
        <v>1600</v>
      </c>
      <c r="R10" s="132">
        <f t="shared" si="0"/>
        <v>1600</v>
      </c>
      <c r="S10" s="132">
        <f t="shared" si="0"/>
        <v>1600</v>
      </c>
      <c r="T10" s="132">
        <f t="shared" si="0"/>
        <v>1600</v>
      </c>
      <c r="U10" s="132">
        <f t="shared" si="0"/>
        <v>1600</v>
      </c>
      <c r="V10" s="132">
        <f t="shared" si="0"/>
        <v>1600</v>
      </c>
      <c r="W10" s="133"/>
      <c r="X10" s="9"/>
      <c r="Y10" s="19"/>
    </row>
    <row r="11" spans="2:26" x14ac:dyDescent="0.3">
      <c r="B11" s="224" t="s">
        <v>229</v>
      </c>
      <c r="C11" s="225"/>
      <c r="D11" s="122" t="s">
        <v>231</v>
      </c>
      <c r="E11" s="123" t="s">
        <v>232</v>
      </c>
      <c r="F11" s="123" t="s">
        <v>233</v>
      </c>
      <c r="G11" s="123" t="s">
        <v>234</v>
      </c>
      <c r="H11" s="123" t="s">
        <v>235</v>
      </c>
      <c r="I11" s="123" t="s">
        <v>236</v>
      </c>
      <c r="J11" s="123" t="s">
        <v>237</v>
      </c>
      <c r="K11" s="123" t="s">
        <v>238</v>
      </c>
      <c r="L11" s="123" t="s">
        <v>239</v>
      </c>
      <c r="M11" s="123" t="s">
        <v>240</v>
      </c>
      <c r="N11" s="123" t="s">
        <v>241</v>
      </c>
      <c r="O11" s="123" t="s">
        <v>242</v>
      </c>
      <c r="P11" s="123" t="s">
        <v>243</v>
      </c>
      <c r="Q11" s="123" t="s">
        <v>244</v>
      </c>
      <c r="R11" s="123" t="s">
        <v>245</v>
      </c>
      <c r="S11" s="123" t="s">
        <v>246</v>
      </c>
      <c r="T11" s="123" t="s">
        <v>247</v>
      </c>
      <c r="U11" s="123" t="s">
        <v>248</v>
      </c>
      <c r="V11" s="124" t="s">
        <v>249</v>
      </c>
      <c r="W11" s="127"/>
      <c r="X11" s="9"/>
    </row>
    <row r="12" spans="2:26" ht="15" thickBot="1" x14ac:dyDescent="0.35">
      <c r="B12" s="226"/>
      <c r="C12" s="227"/>
      <c r="D12" s="134">
        <v>21</v>
      </c>
      <c r="E12" s="135">
        <v>62</v>
      </c>
      <c r="F12" s="135"/>
      <c r="G12" s="135"/>
      <c r="H12" s="135"/>
      <c r="I12" s="135">
        <v>16</v>
      </c>
      <c r="J12" s="135">
        <v>0</v>
      </c>
      <c r="K12" s="135">
        <v>0</v>
      </c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6"/>
      <c r="W12" s="131"/>
      <c r="X12" s="9"/>
    </row>
    <row r="14" spans="2:26" ht="15" thickBot="1" x14ac:dyDescent="0.35">
      <c r="B14" t="s">
        <v>250</v>
      </c>
    </row>
    <row r="15" spans="2:26" ht="15" thickBot="1" x14ac:dyDescent="0.35">
      <c r="B15" s="118" t="s">
        <v>251</v>
      </c>
      <c r="C15" s="137">
        <f>SUMPRODUCT(D10:V10*D12:V12)</f>
        <v>7780</v>
      </c>
      <c r="D15" t="s">
        <v>255</v>
      </c>
      <c r="G15" t="s">
        <v>256</v>
      </c>
    </row>
    <row r="16" spans="2:26" ht="15" thickBot="1" x14ac:dyDescent="0.35">
      <c r="B16" s="36" t="s">
        <v>258</v>
      </c>
      <c r="C16" s="138">
        <f>C15/(C2*C3)</f>
        <v>4.9116161616161613E-2</v>
      </c>
      <c r="D16" t="s">
        <v>257</v>
      </c>
      <c r="K16" s="149">
        <v>1600</v>
      </c>
      <c r="W16" s="150">
        <v>600</v>
      </c>
      <c r="X16" s="112">
        <f>$K$16-W16</f>
        <v>1000</v>
      </c>
      <c r="Y16" s="109" t="s">
        <v>267</v>
      </c>
      <c r="Z16" s="148">
        <v>600</v>
      </c>
    </row>
    <row r="17" spans="2:28" x14ac:dyDescent="0.3">
      <c r="W17" s="151">
        <v>600</v>
      </c>
      <c r="X17" s="31">
        <f>X16-W17</f>
        <v>400</v>
      </c>
      <c r="Y17" s="114" t="s">
        <v>267</v>
      </c>
      <c r="Z17" s="148">
        <v>600</v>
      </c>
      <c r="AA17" s="148">
        <v>600</v>
      </c>
    </row>
    <row r="18" spans="2:28" ht="15" thickBot="1" x14ac:dyDescent="0.35">
      <c r="B18" t="s">
        <v>253</v>
      </c>
      <c r="W18" s="153">
        <v>600</v>
      </c>
      <c r="X18" s="116">
        <f t="shared" ref="X18:X26" si="1">X17-W18</f>
        <v>-200</v>
      </c>
      <c r="Y18" s="117" t="s">
        <v>266</v>
      </c>
    </row>
    <row r="19" spans="2:28" x14ac:dyDescent="0.3">
      <c r="B19" s="118">
        <f>W7</f>
        <v>104</v>
      </c>
      <c r="C19" s="123" t="s">
        <v>254</v>
      </c>
      <c r="D19" s="119">
        <f>X7</f>
        <v>104</v>
      </c>
      <c r="E19" t="s">
        <v>259</v>
      </c>
      <c r="K19" s="149">
        <v>1600</v>
      </c>
      <c r="W19" s="150">
        <v>600</v>
      </c>
      <c r="X19" s="112">
        <f>$K$16-W19</f>
        <v>1000</v>
      </c>
      <c r="Y19" s="109" t="s">
        <v>267</v>
      </c>
      <c r="Z19" s="148">
        <v>600</v>
      </c>
    </row>
    <row r="20" spans="2:28" x14ac:dyDescent="0.3">
      <c r="B20" s="38">
        <f>W8</f>
        <v>156</v>
      </c>
      <c r="C20" s="25" t="s">
        <v>254</v>
      </c>
      <c r="D20" s="121">
        <f>X8</f>
        <v>156</v>
      </c>
      <c r="E20" t="s">
        <v>259</v>
      </c>
      <c r="W20" s="151">
        <v>450</v>
      </c>
      <c r="X20" s="31">
        <f>X19-W20</f>
        <v>550</v>
      </c>
      <c r="Y20" s="114" t="s">
        <v>267</v>
      </c>
      <c r="Z20" s="148">
        <v>600</v>
      </c>
      <c r="AA20" s="148">
        <v>450</v>
      </c>
    </row>
    <row r="21" spans="2:28" ht="15" thickBot="1" x14ac:dyDescent="0.35">
      <c r="B21" s="36">
        <f>W9</f>
        <v>52</v>
      </c>
      <c r="C21" s="37" t="s">
        <v>254</v>
      </c>
      <c r="D21" s="120">
        <f>X9</f>
        <v>53</v>
      </c>
      <c r="E21" t="s">
        <v>260</v>
      </c>
      <c r="W21" s="151">
        <v>450</v>
      </c>
      <c r="X21" s="31">
        <f>X20-W21</f>
        <v>100</v>
      </c>
      <c r="Y21" s="114" t="s">
        <v>267</v>
      </c>
      <c r="Z21" s="148">
        <v>600</v>
      </c>
      <c r="AA21" s="148">
        <v>450</v>
      </c>
      <c r="AB21" s="148">
        <v>450</v>
      </c>
    </row>
    <row r="22" spans="2:28" ht="15" thickBot="1" x14ac:dyDescent="0.35">
      <c r="W22" s="152">
        <v>450</v>
      </c>
      <c r="X22" s="115">
        <f t="shared" si="1"/>
        <v>-350</v>
      </c>
      <c r="Y22" s="111" t="s">
        <v>266</v>
      </c>
    </row>
    <row r="23" spans="2:28" ht="15" thickBot="1" x14ac:dyDescent="0.35">
      <c r="W23" s="104">
        <v>600</v>
      </c>
      <c r="X23">
        <f t="shared" si="1"/>
        <v>-950</v>
      </c>
    </row>
    <row r="24" spans="2:28" ht="28.8" x14ac:dyDescent="0.3">
      <c r="B24" s="139" t="s">
        <v>263</v>
      </c>
      <c r="C24" s="140" t="s">
        <v>264</v>
      </c>
      <c r="D24" s="141" t="s">
        <v>265</v>
      </c>
      <c r="W24" s="104">
        <v>600</v>
      </c>
      <c r="X24">
        <f t="shared" si="1"/>
        <v>-1550</v>
      </c>
    </row>
    <row r="25" spans="2:28" x14ac:dyDescent="0.3">
      <c r="B25" s="142">
        <f>SUMPRODUCT(C7:C9,W7:W9)</f>
        <v>150280</v>
      </c>
      <c r="C25" s="25">
        <f>C3*C2</f>
        <v>158400</v>
      </c>
      <c r="D25" s="214">
        <f>C26-B26</f>
        <v>5.1262626262626299</v>
      </c>
      <c r="W25" s="104">
        <v>600</v>
      </c>
      <c r="X25">
        <f t="shared" si="1"/>
        <v>-2150</v>
      </c>
    </row>
    <row r="26" spans="2:28" ht="15" thickBot="1" x14ac:dyDescent="0.35">
      <c r="B26" s="143">
        <f>B25*C26/C25</f>
        <v>94.87373737373737</v>
      </c>
      <c r="C26" s="144">
        <v>100</v>
      </c>
      <c r="D26" s="215"/>
      <c r="W26" s="104">
        <v>600</v>
      </c>
      <c r="X26">
        <f t="shared" si="1"/>
        <v>-2750</v>
      </c>
    </row>
  </sheetData>
  <mergeCells count="8">
    <mergeCell ref="D25:D26"/>
    <mergeCell ref="W5:W6"/>
    <mergeCell ref="X5:X6"/>
    <mergeCell ref="C5:C6"/>
    <mergeCell ref="B5:B6"/>
    <mergeCell ref="B10:C10"/>
    <mergeCell ref="B11:C12"/>
    <mergeCell ref="D5:V5"/>
  </mergeCells>
  <pageMargins left="0.7" right="0.7" top="0.75" bottom="0.75" header="0.3" footer="0.3"/>
  <pageSetup paperSize="142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93B5-6A68-4EF2-B59B-E439F24A5676}">
  <dimension ref="B1:Z26"/>
  <sheetViews>
    <sheetView workbookViewId="0">
      <selection activeCell="I30" sqref="I30"/>
    </sheetView>
  </sheetViews>
  <sheetFormatPr defaultRowHeight="14.4" x14ac:dyDescent="0.3"/>
  <cols>
    <col min="12" max="22" width="0" hidden="1" customWidth="1"/>
    <col min="23" max="24" width="11.5546875" customWidth="1"/>
  </cols>
  <sheetData>
    <row r="1" spans="2:26" ht="15" thickBot="1" x14ac:dyDescent="0.35"/>
    <row r="2" spans="2:26" x14ac:dyDescent="0.3">
      <c r="B2" s="118" t="s">
        <v>217</v>
      </c>
      <c r="C2" s="119">
        <v>1600</v>
      </c>
      <c r="D2" t="s">
        <v>219</v>
      </c>
    </row>
    <row r="3" spans="2:26" ht="15" thickBot="1" x14ac:dyDescent="0.35">
      <c r="B3" s="36" t="s">
        <v>218</v>
      </c>
      <c r="C3" s="120">
        <v>99</v>
      </c>
      <c r="D3" t="s">
        <v>220</v>
      </c>
    </row>
    <row r="4" spans="2:26" ht="15" thickBot="1" x14ac:dyDescent="0.35">
      <c r="B4" s="9"/>
      <c r="C4" s="9"/>
      <c r="W4">
        <f>SUM(W7:W9)</f>
        <v>6</v>
      </c>
      <c r="X4">
        <f>SUM(X7:X9)</f>
        <v>312</v>
      </c>
    </row>
    <row r="5" spans="2:26" x14ac:dyDescent="0.3">
      <c r="B5" s="220" t="s">
        <v>223</v>
      </c>
      <c r="C5" s="218" t="s">
        <v>224</v>
      </c>
      <c r="D5" s="228" t="s">
        <v>230</v>
      </c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30"/>
      <c r="W5" s="216" t="s">
        <v>221</v>
      </c>
      <c r="X5" s="216" t="s">
        <v>222</v>
      </c>
    </row>
    <row r="6" spans="2:26" ht="15" thickBot="1" x14ac:dyDescent="0.35">
      <c r="B6" s="221"/>
      <c r="C6" s="219"/>
      <c r="D6" s="125">
        <v>1</v>
      </c>
      <c r="E6" s="126">
        <v>2</v>
      </c>
      <c r="F6" s="126">
        <v>3</v>
      </c>
      <c r="G6" s="126">
        <v>4</v>
      </c>
      <c r="H6" s="126">
        <v>5</v>
      </c>
      <c r="I6" s="126">
        <v>6</v>
      </c>
      <c r="J6" s="126">
        <v>7</v>
      </c>
      <c r="K6" s="126">
        <v>8</v>
      </c>
      <c r="L6" s="126">
        <v>9</v>
      </c>
      <c r="M6" s="126">
        <v>10</v>
      </c>
      <c r="N6" s="126">
        <v>11</v>
      </c>
      <c r="O6" s="126">
        <v>12</v>
      </c>
      <c r="P6" s="126">
        <v>13</v>
      </c>
      <c r="Q6" s="126">
        <v>14</v>
      </c>
      <c r="R6" s="126">
        <v>15</v>
      </c>
      <c r="S6" s="126">
        <v>16</v>
      </c>
      <c r="T6" s="126">
        <v>17</v>
      </c>
      <c r="U6" s="126">
        <v>18</v>
      </c>
      <c r="V6" s="126">
        <v>19</v>
      </c>
      <c r="W6" s="217"/>
      <c r="X6" s="217"/>
    </row>
    <row r="7" spans="2:26" x14ac:dyDescent="0.3">
      <c r="B7" s="118" t="s">
        <v>225</v>
      </c>
      <c r="C7" s="119">
        <v>600</v>
      </c>
      <c r="D7" s="122">
        <v>2</v>
      </c>
      <c r="E7" s="123">
        <v>1</v>
      </c>
      <c r="F7" s="123">
        <v>1</v>
      </c>
      <c r="G7" s="123">
        <v>1</v>
      </c>
      <c r="H7" s="123">
        <v>0</v>
      </c>
      <c r="I7" s="123">
        <v>0</v>
      </c>
      <c r="J7" s="123">
        <v>0</v>
      </c>
      <c r="K7" s="123">
        <v>0</v>
      </c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4"/>
      <c r="W7" s="127">
        <v>2</v>
      </c>
      <c r="X7" s="127">
        <f>SUMPRODUCT(D7:V7,$D$12:$V$12)</f>
        <v>104</v>
      </c>
      <c r="Y7" s="19">
        <f>W7*100/$W$4</f>
        <v>33.333333333333336</v>
      </c>
      <c r="Z7" s="19">
        <f>X7*100/$X$4</f>
        <v>33.333333333333336</v>
      </c>
    </row>
    <row r="8" spans="2:26" x14ac:dyDescent="0.3">
      <c r="B8" s="38" t="s">
        <v>226</v>
      </c>
      <c r="C8" s="121">
        <v>450</v>
      </c>
      <c r="D8" s="128">
        <v>0</v>
      </c>
      <c r="E8" s="25">
        <v>2</v>
      </c>
      <c r="F8" s="25">
        <v>1</v>
      </c>
      <c r="G8" s="25">
        <v>0</v>
      </c>
      <c r="H8" s="25">
        <v>3</v>
      </c>
      <c r="I8" s="25">
        <v>2</v>
      </c>
      <c r="J8" s="25">
        <v>1</v>
      </c>
      <c r="K8" s="25">
        <v>0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52"/>
      <c r="W8" s="129">
        <v>3</v>
      </c>
      <c r="X8" s="129">
        <f t="shared" ref="X8" si="0">SUMPRODUCT(D8:V8,$D$12:$V$12)</f>
        <v>156</v>
      </c>
      <c r="Y8" s="19">
        <f t="shared" ref="Y8:Y9" si="1">W8*100/$W$4</f>
        <v>50</v>
      </c>
      <c r="Z8" s="19">
        <f>X8*100/$X$4</f>
        <v>50</v>
      </c>
    </row>
    <row r="9" spans="2:26" ht="15" thickBot="1" x14ac:dyDescent="0.35">
      <c r="B9" s="36" t="s">
        <v>227</v>
      </c>
      <c r="C9" s="120">
        <v>340</v>
      </c>
      <c r="D9" s="130">
        <v>1</v>
      </c>
      <c r="E9" s="37">
        <v>0</v>
      </c>
      <c r="F9" s="37">
        <v>1</v>
      </c>
      <c r="G9" s="37">
        <v>2</v>
      </c>
      <c r="H9" s="37">
        <v>0</v>
      </c>
      <c r="I9" s="37">
        <v>2</v>
      </c>
      <c r="J9" s="37">
        <v>3</v>
      </c>
      <c r="K9" s="37">
        <v>4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53"/>
      <c r="W9" s="131">
        <v>1</v>
      </c>
      <c r="X9" s="131">
        <f>SUMPRODUCT(D9:V9,$D$12:$V$12)</f>
        <v>52</v>
      </c>
      <c r="Y9" s="19">
        <f t="shared" si="1"/>
        <v>16.666666666666668</v>
      </c>
      <c r="Z9" s="19">
        <f t="shared" ref="Z9" si="2">X9*100/$X$4</f>
        <v>16.666666666666668</v>
      </c>
    </row>
    <row r="10" spans="2:26" ht="15" thickBot="1" x14ac:dyDescent="0.35">
      <c r="B10" s="222" t="s">
        <v>228</v>
      </c>
      <c r="C10" s="223"/>
      <c r="D10" s="132">
        <f t="shared" ref="D10:V10" si="3">$C$2-(SUMPRODUCT($C$7:$C$9,D7:D9))</f>
        <v>60</v>
      </c>
      <c r="E10" s="132">
        <f t="shared" si="3"/>
        <v>100</v>
      </c>
      <c r="F10" s="132">
        <f t="shared" si="3"/>
        <v>210</v>
      </c>
      <c r="G10" s="132">
        <f t="shared" si="3"/>
        <v>320</v>
      </c>
      <c r="H10" s="132">
        <f t="shared" si="3"/>
        <v>250</v>
      </c>
      <c r="I10" s="132">
        <f t="shared" si="3"/>
        <v>20</v>
      </c>
      <c r="J10" s="132">
        <f t="shared" si="3"/>
        <v>130</v>
      </c>
      <c r="K10" s="132">
        <f t="shared" si="3"/>
        <v>240</v>
      </c>
      <c r="L10" s="132">
        <f t="shared" si="3"/>
        <v>1600</v>
      </c>
      <c r="M10" s="132">
        <f t="shared" si="3"/>
        <v>1600</v>
      </c>
      <c r="N10" s="132">
        <f t="shared" si="3"/>
        <v>1600</v>
      </c>
      <c r="O10" s="132">
        <f t="shared" si="3"/>
        <v>1600</v>
      </c>
      <c r="P10" s="132">
        <f t="shared" si="3"/>
        <v>1600</v>
      </c>
      <c r="Q10" s="132">
        <f t="shared" si="3"/>
        <v>1600</v>
      </c>
      <c r="R10" s="132">
        <f t="shared" si="3"/>
        <v>1600</v>
      </c>
      <c r="S10" s="132">
        <f t="shared" si="3"/>
        <v>1600</v>
      </c>
      <c r="T10" s="132">
        <f t="shared" si="3"/>
        <v>1600</v>
      </c>
      <c r="U10" s="132">
        <f t="shared" si="3"/>
        <v>1600</v>
      </c>
      <c r="V10" s="132">
        <f t="shared" si="3"/>
        <v>1600</v>
      </c>
      <c r="W10" s="133"/>
      <c r="X10" s="9"/>
      <c r="Y10" s="19">
        <f>SUM(Y7:Y9)</f>
        <v>100.00000000000001</v>
      </c>
      <c r="Z10" s="19">
        <f>SUM(Z7:Z9)</f>
        <v>100.00000000000001</v>
      </c>
    </row>
    <row r="11" spans="2:26" x14ac:dyDescent="0.3">
      <c r="B11" s="224" t="s">
        <v>229</v>
      </c>
      <c r="C11" s="225"/>
      <c r="D11" s="122" t="s">
        <v>231</v>
      </c>
      <c r="E11" s="123" t="s">
        <v>232</v>
      </c>
      <c r="F11" s="123" t="s">
        <v>233</v>
      </c>
      <c r="G11" s="123" t="s">
        <v>234</v>
      </c>
      <c r="H11" s="123" t="s">
        <v>235</v>
      </c>
      <c r="I11" s="123" t="s">
        <v>236</v>
      </c>
      <c r="J11" s="123" t="s">
        <v>237</v>
      </c>
      <c r="K11" s="123" t="s">
        <v>238</v>
      </c>
      <c r="L11" s="123" t="s">
        <v>239</v>
      </c>
      <c r="M11" s="123" t="s">
        <v>240</v>
      </c>
      <c r="N11" s="123" t="s">
        <v>241</v>
      </c>
      <c r="O11" s="123" t="s">
        <v>242</v>
      </c>
      <c r="P11" s="123" t="s">
        <v>243</v>
      </c>
      <c r="Q11" s="123" t="s">
        <v>244</v>
      </c>
      <c r="R11" s="123" t="s">
        <v>245</v>
      </c>
      <c r="S11" s="123" t="s">
        <v>246</v>
      </c>
      <c r="T11" s="123" t="s">
        <v>247</v>
      </c>
      <c r="U11" s="123" t="s">
        <v>248</v>
      </c>
      <c r="V11" s="124" t="s">
        <v>249</v>
      </c>
      <c r="W11" s="127"/>
      <c r="X11" s="9"/>
    </row>
    <row r="12" spans="2:26" ht="15" thickBot="1" x14ac:dyDescent="0.35">
      <c r="B12" s="226"/>
      <c r="C12" s="227"/>
      <c r="D12" s="134">
        <v>20</v>
      </c>
      <c r="E12" s="135">
        <v>64</v>
      </c>
      <c r="F12" s="135">
        <v>0</v>
      </c>
      <c r="G12" s="135">
        <v>0</v>
      </c>
      <c r="H12" s="135">
        <v>0</v>
      </c>
      <c r="I12" s="135">
        <v>13</v>
      </c>
      <c r="J12" s="135">
        <v>2</v>
      </c>
      <c r="K12" s="135">
        <v>0</v>
      </c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6"/>
      <c r="W12" s="131"/>
      <c r="X12" s="9"/>
    </row>
    <row r="14" spans="2:26" x14ac:dyDescent="0.3">
      <c r="B14" t="s">
        <v>250</v>
      </c>
    </row>
    <row r="15" spans="2:26" x14ac:dyDescent="0.3">
      <c r="B15" s="31" t="s">
        <v>251</v>
      </c>
      <c r="C15" s="84">
        <f>SUMPRODUCT(D10:V10*D12:V12)</f>
        <v>8120</v>
      </c>
      <c r="D15" t="s">
        <v>255</v>
      </c>
      <c r="G15" t="s">
        <v>256</v>
      </c>
    </row>
    <row r="16" spans="2:26" x14ac:dyDescent="0.3">
      <c r="B16" s="31" t="s">
        <v>258</v>
      </c>
      <c r="C16" s="85">
        <f>C15/(C2*C3)</f>
        <v>5.126262626262626E-2</v>
      </c>
      <c r="D16" t="s">
        <v>257</v>
      </c>
    </row>
    <row r="17" spans="2:26" x14ac:dyDescent="0.3">
      <c r="B17" s="31" t="s">
        <v>252</v>
      </c>
      <c r="C17" s="25">
        <f>X9</f>
        <v>52</v>
      </c>
    </row>
    <row r="18" spans="2:26" x14ac:dyDescent="0.3">
      <c r="W18">
        <v>156</v>
      </c>
      <c r="X18">
        <v>156</v>
      </c>
    </row>
    <row r="19" spans="2:26" ht="15" thickBot="1" x14ac:dyDescent="0.35">
      <c r="B19" t="s">
        <v>253</v>
      </c>
    </row>
    <row r="20" spans="2:26" x14ac:dyDescent="0.3">
      <c r="B20" s="108">
        <f>SUM(D12:V12)</f>
        <v>99</v>
      </c>
      <c r="C20" s="123" t="s">
        <v>254</v>
      </c>
      <c r="D20" s="109">
        <f>C3</f>
        <v>99</v>
      </c>
      <c r="E20" t="s">
        <v>261</v>
      </c>
    </row>
    <row r="21" spans="2:26" x14ac:dyDescent="0.3">
      <c r="B21" s="113">
        <f>W8*X7</f>
        <v>312</v>
      </c>
      <c r="C21" s="25" t="s">
        <v>254</v>
      </c>
      <c r="D21" s="114">
        <f>W7*X8</f>
        <v>312</v>
      </c>
      <c r="E21" t="s">
        <v>259</v>
      </c>
      <c r="W21">
        <v>3</v>
      </c>
      <c r="X21">
        <v>3</v>
      </c>
      <c r="Z21">
        <f>3*3*3</f>
        <v>27</v>
      </c>
    </row>
    <row r="22" spans="2:26" ht="15" thickBot="1" x14ac:dyDescent="0.35">
      <c r="B22" s="110">
        <f>W9*X8</f>
        <v>156</v>
      </c>
      <c r="C22" s="37" t="s">
        <v>254</v>
      </c>
      <c r="D22" s="111">
        <f>W8*X9</f>
        <v>156</v>
      </c>
      <c r="E22" t="s">
        <v>260</v>
      </c>
      <c r="W22">
        <v>2</v>
      </c>
      <c r="X22">
        <v>2</v>
      </c>
    </row>
    <row r="23" spans="2:26" x14ac:dyDescent="0.3">
      <c r="W23">
        <v>1</v>
      </c>
      <c r="X23">
        <v>1</v>
      </c>
    </row>
    <row r="24" spans="2:26" x14ac:dyDescent="0.3">
      <c r="F24">
        <v>1600</v>
      </c>
    </row>
    <row r="25" spans="2:26" x14ac:dyDescent="0.3">
      <c r="F25">
        <f>F24/C9</f>
        <v>4.7058823529411766</v>
      </c>
    </row>
    <row r="26" spans="2:26" x14ac:dyDescent="0.3">
      <c r="F26">
        <v>4</v>
      </c>
    </row>
  </sheetData>
  <mergeCells count="7">
    <mergeCell ref="X5:X6"/>
    <mergeCell ref="B10:C10"/>
    <mergeCell ref="B11:C12"/>
    <mergeCell ref="B5:B6"/>
    <mergeCell ref="C5:C6"/>
    <mergeCell ref="D5:V5"/>
    <mergeCell ref="W5:W6"/>
  </mergeCells>
  <pageMargins left="0.7" right="0.7" top="0.75" bottom="0.75" header="0.3" footer="0.3"/>
  <pageSetup paperSize="142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C1EF-CFEC-4198-BCE4-7698765ADCFD}">
  <dimension ref="A1:FY60"/>
  <sheetViews>
    <sheetView zoomScale="85" zoomScaleNormal="85" workbookViewId="0">
      <selection activeCell="E55" sqref="E55"/>
    </sheetView>
  </sheetViews>
  <sheetFormatPr defaultColWidth="9.109375" defaultRowHeight="14.4" x14ac:dyDescent="0.3"/>
  <cols>
    <col min="1" max="1" width="9.109375" style="160"/>
    <col min="2" max="2" width="3.44140625" style="160" customWidth="1"/>
    <col min="3" max="4" width="9.109375" style="160"/>
    <col min="5" max="5" width="88.21875" style="160" customWidth="1"/>
    <col min="6" max="16384" width="9.109375" style="160"/>
  </cols>
  <sheetData>
    <row r="1" spans="1:181" ht="15" thickBot="1" x14ac:dyDescent="0.35"/>
    <row r="2" spans="1:181" x14ac:dyDescent="0.3">
      <c r="A2" s="160">
        <f>COUNTA(C2:FY2)</f>
        <v>3</v>
      </c>
      <c r="C2" s="161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3">
        <v>640</v>
      </c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4"/>
      <c r="BK2" s="161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3">
        <v>450</v>
      </c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62"/>
      <c r="DQ2" s="164"/>
      <c r="DS2" s="161"/>
      <c r="DT2" s="162"/>
      <c r="DU2" s="162"/>
      <c r="DV2" s="162"/>
      <c r="DW2" s="162"/>
      <c r="DX2" s="162"/>
      <c r="DY2" s="162"/>
      <c r="DZ2" s="162"/>
      <c r="EA2" s="162"/>
      <c r="EB2" s="162"/>
      <c r="EC2" s="162"/>
      <c r="ED2" s="162"/>
      <c r="EE2" s="162"/>
      <c r="EF2" s="162"/>
      <c r="EG2" s="162"/>
      <c r="EH2" s="162"/>
      <c r="EI2" s="162"/>
      <c r="EJ2" s="162"/>
      <c r="EK2" s="162"/>
      <c r="EL2" s="162"/>
      <c r="EM2" s="162"/>
      <c r="EN2" s="162"/>
      <c r="EO2" s="162"/>
      <c r="EP2" s="162"/>
      <c r="EQ2" s="162"/>
      <c r="ER2" s="162"/>
      <c r="ES2" s="162"/>
      <c r="ET2" s="162"/>
      <c r="EU2" s="162"/>
      <c r="EV2" s="163">
        <v>340</v>
      </c>
      <c r="EW2" s="162"/>
      <c r="EX2" s="162"/>
      <c r="EY2" s="162"/>
      <c r="EZ2" s="162"/>
      <c r="FA2" s="162"/>
      <c r="FB2" s="162"/>
      <c r="FC2" s="162"/>
      <c r="FD2" s="162"/>
      <c r="FE2" s="162"/>
      <c r="FF2" s="162"/>
      <c r="FG2" s="162"/>
      <c r="FH2" s="162"/>
      <c r="FI2" s="162"/>
      <c r="FJ2" s="162"/>
      <c r="FK2" s="162"/>
      <c r="FL2" s="162"/>
      <c r="FM2" s="162"/>
      <c r="FN2" s="162"/>
      <c r="FO2" s="162"/>
      <c r="FP2" s="162"/>
      <c r="FQ2" s="162"/>
      <c r="FR2" s="162"/>
      <c r="FS2" s="162"/>
      <c r="FT2" s="162"/>
      <c r="FU2" s="162"/>
      <c r="FV2" s="162"/>
      <c r="FW2" s="162"/>
      <c r="FX2" s="162"/>
      <c r="FY2" s="164"/>
    </row>
    <row r="3" spans="1:181" s="165" customFormat="1" x14ac:dyDescent="0.3">
      <c r="A3" s="160">
        <f t="shared" ref="A3:A11" si="0">COUNTA(C3:FY3)</f>
        <v>0</v>
      </c>
      <c r="C3" s="166"/>
      <c r="BI3" s="167"/>
      <c r="BK3" s="166"/>
      <c r="DQ3" s="167"/>
      <c r="DS3" s="166"/>
      <c r="FY3" s="167"/>
    </row>
    <row r="4" spans="1:181" s="165" customFormat="1" x14ac:dyDescent="0.3">
      <c r="A4" s="160">
        <f t="shared" si="0"/>
        <v>0</v>
      </c>
      <c r="C4" s="166"/>
      <c r="BI4" s="167"/>
      <c r="BK4" s="166"/>
      <c r="DQ4" s="167"/>
      <c r="DS4" s="166"/>
      <c r="FY4" s="167"/>
    </row>
    <row r="5" spans="1:181" s="165" customFormat="1" x14ac:dyDescent="0.3">
      <c r="A5" s="160">
        <f t="shared" si="0"/>
        <v>0</v>
      </c>
      <c r="C5" s="166"/>
      <c r="BI5" s="167"/>
      <c r="BK5" s="166"/>
      <c r="DQ5" s="167"/>
      <c r="DS5" s="166"/>
      <c r="FY5" s="167"/>
    </row>
    <row r="6" spans="1:181" s="165" customFormat="1" ht="15" thickBot="1" x14ac:dyDescent="0.35">
      <c r="A6" s="160">
        <f t="shared" si="0"/>
        <v>0</v>
      </c>
      <c r="C6" s="166"/>
      <c r="BI6" s="167"/>
      <c r="BK6" s="166"/>
      <c r="DQ6" s="167"/>
      <c r="DS6" s="166"/>
      <c r="FY6" s="167"/>
    </row>
    <row r="7" spans="1:181" s="165" customFormat="1" x14ac:dyDescent="0.3">
      <c r="A7" s="160">
        <f t="shared" si="0"/>
        <v>9</v>
      </c>
      <c r="C7" s="168"/>
      <c r="D7" s="169"/>
      <c r="E7" s="169"/>
      <c r="F7" s="169"/>
      <c r="G7" s="169"/>
      <c r="H7" s="169"/>
      <c r="I7" s="169"/>
      <c r="J7" s="169"/>
      <c r="K7" s="169"/>
      <c r="L7" s="163">
        <v>640</v>
      </c>
      <c r="M7" s="169"/>
      <c r="N7" s="169"/>
      <c r="O7" s="169"/>
      <c r="P7" s="169"/>
      <c r="Q7" s="169"/>
      <c r="R7" s="169"/>
      <c r="S7" s="169"/>
      <c r="T7" s="169"/>
      <c r="U7" s="170"/>
      <c r="W7" s="168"/>
      <c r="X7" s="169"/>
      <c r="Y7" s="169"/>
      <c r="Z7" s="169"/>
      <c r="AA7" s="169"/>
      <c r="AB7" s="169"/>
      <c r="AC7" s="169"/>
      <c r="AD7" s="169"/>
      <c r="AE7" s="169"/>
      <c r="AF7" s="163">
        <v>450</v>
      </c>
      <c r="AG7" s="169"/>
      <c r="AH7" s="169"/>
      <c r="AI7" s="169"/>
      <c r="AJ7" s="169"/>
      <c r="AK7" s="169"/>
      <c r="AL7" s="169"/>
      <c r="AM7" s="169"/>
      <c r="AN7" s="169"/>
      <c r="AO7" s="170"/>
      <c r="AQ7" s="168"/>
      <c r="AR7" s="169"/>
      <c r="AS7" s="169"/>
      <c r="AT7" s="169"/>
      <c r="AU7" s="169"/>
      <c r="AV7" s="169"/>
      <c r="AW7" s="169"/>
      <c r="AX7" s="169"/>
      <c r="AY7" s="169"/>
      <c r="AZ7" s="163">
        <v>340</v>
      </c>
      <c r="BA7" s="169"/>
      <c r="BB7" s="169"/>
      <c r="BC7" s="169"/>
      <c r="BD7" s="169"/>
      <c r="BE7" s="169"/>
      <c r="BF7" s="169"/>
      <c r="BG7" s="169"/>
      <c r="BH7" s="169"/>
      <c r="BI7" s="170"/>
      <c r="BK7" s="168"/>
      <c r="BL7" s="169"/>
      <c r="BM7" s="169"/>
      <c r="BN7" s="169"/>
      <c r="BO7" s="169"/>
      <c r="BP7" s="169"/>
      <c r="BQ7" s="169"/>
      <c r="BR7" s="169"/>
      <c r="BS7" s="169"/>
      <c r="BT7" s="163">
        <v>640</v>
      </c>
      <c r="BU7" s="169"/>
      <c r="BV7" s="169"/>
      <c r="BW7" s="169"/>
      <c r="BX7" s="169"/>
      <c r="BY7" s="169"/>
      <c r="BZ7" s="169"/>
      <c r="CA7" s="169"/>
      <c r="CB7" s="169"/>
      <c r="CC7" s="170"/>
      <c r="CE7" s="168"/>
      <c r="CF7" s="169"/>
      <c r="CG7" s="169"/>
      <c r="CH7" s="169"/>
      <c r="CI7" s="169"/>
      <c r="CJ7" s="169"/>
      <c r="CK7" s="169"/>
      <c r="CL7" s="169"/>
      <c r="CM7" s="169"/>
      <c r="CN7" s="163">
        <v>450</v>
      </c>
      <c r="CO7" s="169"/>
      <c r="CP7" s="169"/>
      <c r="CQ7" s="169"/>
      <c r="CR7" s="169"/>
      <c r="CS7" s="169"/>
      <c r="CT7" s="169"/>
      <c r="CU7" s="169"/>
      <c r="CV7" s="169"/>
      <c r="CW7" s="170"/>
      <c r="CY7" s="168"/>
      <c r="CZ7" s="169"/>
      <c r="DA7" s="169"/>
      <c r="DB7" s="169"/>
      <c r="DC7" s="169"/>
      <c r="DD7" s="169"/>
      <c r="DE7" s="169"/>
      <c r="DF7" s="169"/>
      <c r="DG7" s="169"/>
      <c r="DH7" s="163">
        <v>340</v>
      </c>
      <c r="DI7" s="169"/>
      <c r="DJ7" s="169"/>
      <c r="DK7" s="169"/>
      <c r="DL7" s="169"/>
      <c r="DM7" s="169"/>
      <c r="DN7" s="169"/>
      <c r="DO7" s="169"/>
      <c r="DP7" s="169"/>
      <c r="DQ7" s="170"/>
      <c r="DS7" s="168"/>
      <c r="DT7" s="169"/>
      <c r="DU7" s="169"/>
      <c r="DV7" s="169"/>
      <c r="DW7" s="169"/>
      <c r="DX7" s="169"/>
      <c r="DY7" s="169"/>
      <c r="DZ7" s="169"/>
      <c r="EA7" s="169"/>
      <c r="EB7" s="163">
        <v>640</v>
      </c>
      <c r="EC7" s="169"/>
      <c r="ED7" s="169"/>
      <c r="EE7" s="169"/>
      <c r="EF7" s="169"/>
      <c r="EG7" s="169"/>
      <c r="EH7" s="169"/>
      <c r="EI7" s="169"/>
      <c r="EJ7" s="169"/>
      <c r="EK7" s="170"/>
      <c r="EM7" s="168"/>
      <c r="EN7" s="169"/>
      <c r="EO7" s="169"/>
      <c r="EP7" s="169"/>
      <c r="EQ7" s="169"/>
      <c r="ER7" s="169"/>
      <c r="ES7" s="169"/>
      <c r="ET7" s="169"/>
      <c r="EU7" s="169"/>
      <c r="EV7" s="163">
        <v>450</v>
      </c>
      <c r="EW7" s="169"/>
      <c r="EX7" s="169"/>
      <c r="EY7" s="169"/>
      <c r="EZ7" s="169"/>
      <c r="FA7" s="169"/>
      <c r="FB7" s="169"/>
      <c r="FC7" s="169"/>
      <c r="FD7" s="169"/>
      <c r="FE7" s="170"/>
      <c r="FG7" s="168"/>
      <c r="FH7" s="169"/>
      <c r="FI7" s="169"/>
      <c r="FJ7" s="169"/>
      <c r="FK7" s="169"/>
      <c r="FL7" s="169"/>
      <c r="FM7" s="169"/>
      <c r="FN7" s="169"/>
      <c r="FO7" s="169"/>
      <c r="FP7" s="163">
        <v>340</v>
      </c>
      <c r="FQ7" s="169"/>
      <c r="FR7" s="169"/>
      <c r="FS7" s="169"/>
      <c r="FT7" s="169"/>
      <c r="FU7" s="169"/>
      <c r="FV7" s="169"/>
      <c r="FW7" s="169"/>
      <c r="FX7" s="169"/>
      <c r="FY7" s="170"/>
    </row>
    <row r="8" spans="1:181" s="165" customFormat="1" ht="15" thickBot="1" x14ac:dyDescent="0.35">
      <c r="A8" s="160">
        <f t="shared" si="0"/>
        <v>0</v>
      </c>
      <c r="C8" s="166"/>
      <c r="U8" s="167"/>
      <c r="W8" s="166"/>
      <c r="AO8" s="167"/>
      <c r="AQ8" s="166"/>
      <c r="BI8" s="167"/>
      <c r="BK8" s="166"/>
      <c r="CC8" s="167"/>
      <c r="CE8" s="166"/>
      <c r="CW8" s="167"/>
      <c r="CY8" s="166"/>
      <c r="DQ8" s="167"/>
      <c r="DS8" s="166"/>
      <c r="EK8" s="167"/>
      <c r="EM8" s="166"/>
      <c r="FE8" s="167"/>
      <c r="FG8" s="166"/>
      <c r="FY8" s="167"/>
    </row>
    <row r="9" spans="1:181" s="165" customFormat="1" x14ac:dyDescent="0.3">
      <c r="A9" s="160">
        <f t="shared" si="0"/>
        <v>27</v>
      </c>
      <c r="C9" s="168"/>
      <c r="D9" s="169"/>
      <c r="E9" s="163">
        <v>640</v>
      </c>
      <c r="F9" s="169"/>
      <c r="G9" s="170"/>
      <c r="J9" s="168"/>
      <c r="K9" s="169"/>
      <c r="L9" s="163">
        <v>450</v>
      </c>
      <c r="M9" s="169"/>
      <c r="N9" s="170"/>
      <c r="Q9" s="168"/>
      <c r="R9" s="169"/>
      <c r="S9" s="163">
        <v>340</v>
      </c>
      <c r="T9" s="169"/>
      <c r="U9" s="170"/>
      <c r="W9" s="168"/>
      <c r="X9" s="169"/>
      <c r="Y9" s="163">
        <v>640</v>
      </c>
      <c r="Z9" s="169"/>
      <c r="AA9" s="170"/>
      <c r="AD9" s="168"/>
      <c r="AE9" s="169"/>
      <c r="AF9" s="163">
        <v>450</v>
      </c>
      <c r="AG9" s="169"/>
      <c r="AH9" s="170"/>
      <c r="AK9" s="168"/>
      <c r="AL9" s="169"/>
      <c r="AM9" s="163">
        <v>340</v>
      </c>
      <c r="AN9" s="169"/>
      <c r="AO9" s="170"/>
      <c r="AQ9" s="168"/>
      <c r="AR9" s="169"/>
      <c r="AS9" s="163">
        <v>640</v>
      </c>
      <c r="AT9" s="169"/>
      <c r="AU9" s="170"/>
      <c r="AX9" s="168"/>
      <c r="AY9" s="169"/>
      <c r="AZ9" s="163">
        <v>450</v>
      </c>
      <c r="BA9" s="169"/>
      <c r="BB9" s="170"/>
      <c r="BE9" s="168"/>
      <c r="BF9" s="169"/>
      <c r="BG9" s="163">
        <v>340</v>
      </c>
      <c r="BH9" s="169"/>
      <c r="BI9" s="170"/>
      <c r="BK9" s="168"/>
      <c r="BL9" s="169"/>
      <c r="BM9" s="163">
        <v>640</v>
      </c>
      <c r="BN9" s="169"/>
      <c r="BO9" s="170"/>
      <c r="BR9" s="168"/>
      <c r="BS9" s="169"/>
      <c r="BT9" s="163">
        <v>450</v>
      </c>
      <c r="BU9" s="169"/>
      <c r="BV9" s="170"/>
      <c r="BY9" s="168"/>
      <c r="BZ9" s="169"/>
      <c r="CA9" s="163">
        <v>340</v>
      </c>
      <c r="CB9" s="169"/>
      <c r="CC9" s="170"/>
      <c r="CE9" s="168"/>
      <c r="CF9" s="169"/>
      <c r="CG9" s="163">
        <v>640</v>
      </c>
      <c r="CH9" s="169"/>
      <c r="CI9" s="170"/>
      <c r="CL9" s="168"/>
      <c r="CM9" s="169"/>
      <c r="CN9" s="163">
        <v>450</v>
      </c>
      <c r="CO9" s="169"/>
      <c r="CP9" s="170"/>
      <c r="CS9" s="168"/>
      <c r="CT9" s="169"/>
      <c r="CU9" s="163">
        <v>340</v>
      </c>
      <c r="CV9" s="169"/>
      <c r="CW9" s="170"/>
      <c r="CY9" s="168"/>
      <c r="CZ9" s="169"/>
      <c r="DA9" s="163">
        <v>640</v>
      </c>
      <c r="DB9" s="169"/>
      <c r="DC9" s="170"/>
      <c r="DF9" s="168"/>
      <c r="DG9" s="169"/>
      <c r="DH9" s="163">
        <v>450</v>
      </c>
      <c r="DI9" s="169"/>
      <c r="DJ9" s="170"/>
      <c r="DM9" s="168"/>
      <c r="DN9" s="169"/>
      <c r="DO9" s="163">
        <v>340</v>
      </c>
      <c r="DP9" s="169"/>
      <c r="DQ9" s="170"/>
      <c r="DS9" s="168"/>
      <c r="DT9" s="169"/>
      <c r="DU9" s="163">
        <v>640</v>
      </c>
      <c r="DV9" s="169"/>
      <c r="DW9" s="170"/>
      <c r="DZ9" s="168"/>
      <c r="EA9" s="169"/>
      <c r="EB9" s="163">
        <v>450</v>
      </c>
      <c r="EC9" s="169"/>
      <c r="ED9" s="170"/>
      <c r="EG9" s="168"/>
      <c r="EH9" s="169"/>
      <c r="EI9" s="163">
        <v>340</v>
      </c>
      <c r="EJ9" s="169"/>
      <c r="EK9" s="170"/>
      <c r="EM9" s="168"/>
      <c r="EN9" s="169"/>
      <c r="EO9" s="163">
        <v>640</v>
      </c>
      <c r="EP9" s="169"/>
      <c r="EQ9" s="170"/>
      <c r="ET9" s="168"/>
      <c r="EU9" s="169"/>
      <c r="EV9" s="163">
        <v>450</v>
      </c>
      <c r="EW9" s="169"/>
      <c r="EX9" s="170"/>
      <c r="FA9" s="168"/>
      <c r="FB9" s="169"/>
      <c r="FC9" s="163">
        <v>340</v>
      </c>
      <c r="FD9" s="169"/>
      <c r="FE9" s="170"/>
      <c r="FG9" s="168"/>
      <c r="FH9" s="169"/>
      <c r="FI9" s="163">
        <v>640</v>
      </c>
      <c r="FJ9" s="169"/>
      <c r="FK9" s="170"/>
      <c r="FN9" s="168"/>
      <c r="FO9" s="169"/>
      <c r="FP9" s="163">
        <v>450</v>
      </c>
      <c r="FQ9" s="169"/>
      <c r="FR9" s="170"/>
      <c r="FU9" s="168"/>
      <c r="FV9" s="169"/>
      <c r="FW9" s="163">
        <v>340</v>
      </c>
      <c r="FX9" s="169"/>
      <c r="FY9" s="170"/>
    </row>
    <row r="10" spans="1:181" s="165" customFormat="1" x14ac:dyDescent="0.3">
      <c r="A10" s="160">
        <f t="shared" si="0"/>
        <v>0</v>
      </c>
      <c r="C10" s="166"/>
      <c r="G10" s="167"/>
      <c r="J10" s="166"/>
      <c r="N10" s="167"/>
      <c r="Q10" s="166"/>
      <c r="U10" s="167"/>
      <c r="W10" s="166"/>
      <c r="AA10" s="167"/>
      <c r="AD10" s="166"/>
      <c r="AH10" s="167"/>
      <c r="AK10" s="166"/>
      <c r="AO10" s="167"/>
      <c r="AQ10" s="166"/>
      <c r="AU10" s="167"/>
      <c r="AX10" s="166"/>
      <c r="BB10" s="167"/>
      <c r="BE10" s="166"/>
      <c r="BI10" s="167"/>
      <c r="BK10" s="166"/>
      <c r="BO10" s="167"/>
      <c r="BR10" s="166"/>
      <c r="BV10" s="167"/>
      <c r="BY10" s="166"/>
      <c r="CC10" s="167"/>
      <c r="CE10" s="166"/>
      <c r="CI10" s="167"/>
      <c r="CL10" s="166"/>
      <c r="CP10" s="167"/>
      <c r="CS10" s="166"/>
      <c r="CW10" s="167"/>
      <c r="CY10" s="166"/>
      <c r="DC10" s="167"/>
      <c r="DF10" s="166"/>
      <c r="DJ10" s="167"/>
      <c r="DM10" s="166"/>
      <c r="DQ10" s="167"/>
      <c r="DS10" s="166"/>
      <c r="DW10" s="167"/>
      <c r="DZ10" s="166"/>
      <c r="ED10" s="167"/>
      <c r="EG10" s="166"/>
      <c r="EK10" s="167"/>
      <c r="EM10" s="166"/>
      <c r="EQ10" s="167"/>
      <c r="ET10" s="166"/>
      <c r="EX10" s="167"/>
      <c r="FA10" s="166"/>
      <c r="FE10" s="167"/>
      <c r="FG10" s="166"/>
      <c r="FK10" s="167"/>
      <c r="FN10" s="166"/>
      <c r="FR10" s="167"/>
      <c r="FU10" s="166"/>
      <c r="FY10" s="167"/>
    </row>
    <row r="11" spans="1:181" s="165" customFormat="1" ht="15" thickBot="1" x14ac:dyDescent="0.35">
      <c r="A11" s="160">
        <f t="shared" si="0"/>
        <v>81</v>
      </c>
      <c r="C11" s="171">
        <v>640</v>
      </c>
      <c r="D11" s="172"/>
      <c r="E11" s="173">
        <v>450</v>
      </c>
      <c r="F11" s="172"/>
      <c r="G11" s="174">
        <v>340</v>
      </c>
      <c r="H11" s="172"/>
      <c r="I11" s="172"/>
      <c r="J11" s="171">
        <v>640</v>
      </c>
      <c r="K11" s="172"/>
      <c r="L11" s="173">
        <v>450</v>
      </c>
      <c r="M11" s="172"/>
      <c r="N11" s="174">
        <v>340</v>
      </c>
      <c r="O11" s="172"/>
      <c r="P11" s="172"/>
      <c r="Q11" s="171">
        <v>640</v>
      </c>
      <c r="R11" s="172"/>
      <c r="S11" s="173">
        <v>450</v>
      </c>
      <c r="T11" s="172"/>
      <c r="U11" s="174">
        <v>340</v>
      </c>
      <c r="V11" s="172"/>
      <c r="W11" s="171">
        <v>640</v>
      </c>
      <c r="X11" s="172"/>
      <c r="Y11" s="173">
        <v>450</v>
      </c>
      <c r="Z11" s="172"/>
      <c r="AA11" s="174">
        <v>340</v>
      </c>
      <c r="AB11" s="172"/>
      <c r="AC11" s="172"/>
      <c r="AD11" s="171">
        <v>640</v>
      </c>
      <c r="AE11" s="172"/>
      <c r="AF11" s="173">
        <v>450</v>
      </c>
      <c r="AG11" s="172"/>
      <c r="AH11" s="174">
        <v>340</v>
      </c>
      <c r="AI11" s="172"/>
      <c r="AJ11" s="172"/>
      <c r="AK11" s="171">
        <v>640</v>
      </c>
      <c r="AL11" s="172"/>
      <c r="AM11" s="173">
        <v>450</v>
      </c>
      <c r="AN11" s="172"/>
      <c r="AO11" s="174">
        <v>340</v>
      </c>
      <c r="AP11" s="172"/>
      <c r="AQ11" s="171">
        <v>640</v>
      </c>
      <c r="AR11" s="172"/>
      <c r="AS11" s="173">
        <v>450</v>
      </c>
      <c r="AT11" s="172"/>
      <c r="AU11" s="174">
        <v>340</v>
      </c>
      <c r="AV11" s="172"/>
      <c r="AW11" s="172"/>
      <c r="AX11" s="171">
        <v>640</v>
      </c>
      <c r="AY11" s="172"/>
      <c r="AZ11" s="173">
        <v>450</v>
      </c>
      <c r="BA11" s="172"/>
      <c r="BB11" s="174">
        <v>340</v>
      </c>
      <c r="BC11" s="172"/>
      <c r="BD11" s="172"/>
      <c r="BE11" s="171">
        <v>640</v>
      </c>
      <c r="BF11" s="172"/>
      <c r="BG11" s="173">
        <v>450</v>
      </c>
      <c r="BH11" s="172"/>
      <c r="BI11" s="174">
        <v>340</v>
      </c>
      <c r="BK11" s="171">
        <v>640</v>
      </c>
      <c r="BL11" s="172"/>
      <c r="BM11" s="173">
        <v>450</v>
      </c>
      <c r="BN11" s="172"/>
      <c r="BO11" s="174">
        <v>340</v>
      </c>
      <c r="BP11" s="172"/>
      <c r="BQ11" s="172"/>
      <c r="BR11" s="171">
        <v>640</v>
      </c>
      <c r="BS11" s="172"/>
      <c r="BT11" s="173">
        <v>450</v>
      </c>
      <c r="BU11" s="172"/>
      <c r="BV11" s="174">
        <v>340</v>
      </c>
      <c r="BW11" s="172"/>
      <c r="BX11" s="172"/>
      <c r="BY11" s="171">
        <v>640</v>
      </c>
      <c r="BZ11" s="172"/>
      <c r="CA11" s="173">
        <v>450</v>
      </c>
      <c r="CB11" s="172"/>
      <c r="CC11" s="174">
        <v>340</v>
      </c>
      <c r="CD11" s="172"/>
      <c r="CE11" s="171">
        <v>640</v>
      </c>
      <c r="CF11" s="172"/>
      <c r="CG11" s="173">
        <v>450</v>
      </c>
      <c r="CH11" s="172"/>
      <c r="CI11" s="174">
        <v>340</v>
      </c>
      <c r="CJ11" s="172"/>
      <c r="CK11" s="172"/>
      <c r="CL11" s="171">
        <v>640</v>
      </c>
      <c r="CM11" s="172"/>
      <c r="CN11" s="173">
        <v>450</v>
      </c>
      <c r="CO11" s="172"/>
      <c r="CP11" s="174">
        <v>340</v>
      </c>
      <c r="CQ11" s="172"/>
      <c r="CR11" s="172"/>
      <c r="CS11" s="171">
        <v>640</v>
      </c>
      <c r="CT11" s="172"/>
      <c r="CU11" s="173">
        <v>450</v>
      </c>
      <c r="CV11" s="172"/>
      <c r="CW11" s="174">
        <v>340</v>
      </c>
      <c r="CX11" s="172"/>
      <c r="CY11" s="171">
        <v>640</v>
      </c>
      <c r="CZ11" s="172"/>
      <c r="DA11" s="173">
        <v>450</v>
      </c>
      <c r="DB11" s="172"/>
      <c r="DC11" s="174">
        <v>340</v>
      </c>
      <c r="DD11" s="172"/>
      <c r="DE11" s="172"/>
      <c r="DF11" s="171">
        <v>640</v>
      </c>
      <c r="DG11" s="172"/>
      <c r="DH11" s="173">
        <v>450</v>
      </c>
      <c r="DI11" s="172"/>
      <c r="DJ11" s="174">
        <v>340</v>
      </c>
      <c r="DK11" s="172"/>
      <c r="DL11" s="172"/>
      <c r="DM11" s="171">
        <v>640</v>
      </c>
      <c r="DN11" s="172"/>
      <c r="DO11" s="173">
        <v>450</v>
      </c>
      <c r="DP11" s="172"/>
      <c r="DQ11" s="174">
        <v>340</v>
      </c>
      <c r="DS11" s="171">
        <v>640</v>
      </c>
      <c r="DT11" s="172"/>
      <c r="DU11" s="173">
        <v>450</v>
      </c>
      <c r="DV11" s="172"/>
      <c r="DW11" s="174">
        <v>340</v>
      </c>
      <c r="DX11" s="172"/>
      <c r="DY11" s="172"/>
      <c r="DZ11" s="171">
        <v>640</v>
      </c>
      <c r="EA11" s="172"/>
      <c r="EB11" s="173">
        <v>450</v>
      </c>
      <c r="EC11" s="172"/>
      <c r="ED11" s="174">
        <v>340</v>
      </c>
      <c r="EE11" s="172"/>
      <c r="EF11" s="172"/>
      <c r="EG11" s="171">
        <v>640</v>
      </c>
      <c r="EH11" s="172"/>
      <c r="EI11" s="173">
        <v>450</v>
      </c>
      <c r="EJ11" s="172"/>
      <c r="EK11" s="174">
        <v>340</v>
      </c>
      <c r="EL11" s="172"/>
      <c r="EM11" s="171">
        <v>640</v>
      </c>
      <c r="EN11" s="172"/>
      <c r="EO11" s="173">
        <v>450</v>
      </c>
      <c r="EP11" s="172"/>
      <c r="EQ11" s="174">
        <v>340</v>
      </c>
      <c r="ER11" s="172"/>
      <c r="ES11" s="172"/>
      <c r="ET11" s="171">
        <v>640</v>
      </c>
      <c r="EU11" s="172"/>
      <c r="EV11" s="173">
        <v>450</v>
      </c>
      <c r="EW11" s="172"/>
      <c r="EX11" s="174">
        <v>340</v>
      </c>
      <c r="EY11" s="172"/>
      <c r="EZ11" s="172"/>
      <c r="FA11" s="171">
        <v>640</v>
      </c>
      <c r="FB11" s="172"/>
      <c r="FC11" s="173">
        <v>450</v>
      </c>
      <c r="FD11" s="172"/>
      <c r="FE11" s="174">
        <v>340</v>
      </c>
      <c r="FF11" s="172"/>
      <c r="FG11" s="171">
        <v>640</v>
      </c>
      <c r="FH11" s="172"/>
      <c r="FI11" s="173">
        <v>450</v>
      </c>
      <c r="FJ11" s="172"/>
      <c r="FK11" s="174">
        <v>340</v>
      </c>
      <c r="FL11" s="172"/>
      <c r="FM11" s="172"/>
      <c r="FN11" s="171">
        <v>640</v>
      </c>
      <c r="FO11" s="172"/>
      <c r="FP11" s="173">
        <v>450</v>
      </c>
      <c r="FQ11" s="172"/>
      <c r="FR11" s="174">
        <v>340</v>
      </c>
      <c r="FS11" s="172"/>
      <c r="FT11" s="172"/>
      <c r="FU11" s="171">
        <v>640</v>
      </c>
      <c r="FV11" s="172"/>
      <c r="FW11" s="173">
        <v>450</v>
      </c>
      <c r="FX11" s="172"/>
      <c r="FY11" s="174">
        <v>340</v>
      </c>
    </row>
    <row r="16" spans="1:181" x14ac:dyDescent="0.3">
      <c r="A16" s="160">
        <v>3</v>
      </c>
      <c r="B16" s="160">
        <v>3</v>
      </c>
      <c r="C16" s="160">
        <v>4</v>
      </c>
    </row>
    <row r="17" spans="1:181" x14ac:dyDescent="0.3">
      <c r="A17" s="160">
        <v>3</v>
      </c>
      <c r="B17" s="160">
        <f>B16*A17</f>
        <v>9</v>
      </c>
      <c r="C17" s="160">
        <f>C16*4</f>
        <v>16</v>
      </c>
    </row>
    <row r="18" spans="1:181" x14ac:dyDescent="0.3">
      <c r="A18" s="160">
        <v>3</v>
      </c>
      <c r="B18" s="160">
        <f>B17*A18</f>
        <v>27</v>
      </c>
      <c r="C18" s="160">
        <f>C17*4</f>
        <v>64</v>
      </c>
    </row>
    <row r="19" spans="1:181" x14ac:dyDescent="0.3">
      <c r="A19" s="160">
        <v>3</v>
      </c>
      <c r="B19" s="160">
        <f>B18*A19</f>
        <v>81</v>
      </c>
      <c r="C19" s="160">
        <f>C18*4</f>
        <v>256</v>
      </c>
    </row>
    <row r="20" spans="1:181" x14ac:dyDescent="0.3">
      <c r="C20" s="160">
        <f>SUM(C16:C19)</f>
        <v>340</v>
      </c>
    </row>
    <row r="22" spans="1:181" ht="15" thickBot="1" x14ac:dyDescent="0.35"/>
    <row r="23" spans="1:181" x14ac:dyDescent="0.3">
      <c r="A23" s="160">
        <f>COUNTA(C23:FY23)</f>
        <v>81</v>
      </c>
      <c r="C23" s="175">
        <v>640</v>
      </c>
      <c r="D23" s="162"/>
      <c r="E23" s="163">
        <v>640</v>
      </c>
      <c r="F23" s="162"/>
      <c r="G23" s="163">
        <v>640</v>
      </c>
      <c r="H23" s="162"/>
      <c r="I23" s="162"/>
      <c r="J23" s="163">
        <v>640</v>
      </c>
      <c r="K23" s="162"/>
      <c r="L23" s="163">
        <v>640</v>
      </c>
      <c r="M23" s="162"/>
      <c r="N23" s="163">
        <v>640</v>
      </c>
      <c r="O23" s="162"/>
      <c r="P23" s="162"/>
      <c r="Q23" s="163">
        <v>640</v>
      </c>
      <c r="R23" s="162"/>
      <c r="S23" s="163">
        <v>640</v>
      </c>
      <c r="T23" s="162"/>
      <c r="U23" s="163">
        <v>640</v>
      </c>
      <c r="V23" s="162"/>
      <c r="W23" s="163">
        <v>640</v>
      </c>
      <c r="X23" s="162"/>
      <c r="Y23" s="163">
        <v>640</v>
      </c>
      <c r="Z23" s="162"/>
      <c r="AA23" s="163">
        <v>640</v>
      </c>
      <c r="AB23" s="162"/>
      <c r="AC23" s="162"/>
      <c r="AD23" s="163">
        <v>640</v>
      </c>
      <c r="AE23" s="162"/>
      <c r="AF23" s="163">
        <v>640</v>
      </c>
      <c r="AG23" s="162"/>
      <c r="AH23" s="163">
        <v>640</v>
      </c>
      <c r="AI23" s="162"/>
      <c r="AJ23" s="162"/>
      <c r="AK23" s="163">
        <v>640</v>
      </c>
      <c r="AL23" s="162"/>
      <c r="AM23" s="163">
        <v>640</v>
      </c>
      <c r="AN23" s="162"/>
      <c r="AO23" s="163">
        <v>640</v>
      </c>
      <c r="AP23" s="162"/>
      <c r="AQ23" s="163">
        <v>640</v>
      </c>
      <c r="AR23" s="162"/>
      <c r="AS23" s="163">
        <v>640</v>
      </c>
      <c r="AT23" s="162"/>
      <c r="AU23" s="163">
        <v>640</v>
      </c>
      <c r="AV23" s="162"/>
      <c r="AW23" s="162"/>
      <c r="AX23" s="163">
        <v>640</v>
      </c>
      <c r="AY23" s="162"/>
      <c r="AZ23" s="163">
        <v>640</v>
      </c>
      <c r="BA23" s="162"/>
      <c r="BB23" s="163">
        <v>640</v>
      </c>
      <c r="BC23" s="162"/>
      <c r="BD23" s="162"/>
      <c r="BE23" s="163">
        <v>640</v>
      </c>
      <c r="BF23" s="162"/>
      <c r="BG23" s="163">
        <v>640</v>
      </c>
      <c r="BH23" s="162"/>
      <c r="BI23" s="176">
        <v>640</v>
      </c>
      <c r="BK23" s="161">
        <v>450</v>
      </c>
      <c r="BL23" s="162"/>
      <c r="BM23" s="162">
        <v>450</v>
      </c>
      <c r="BN23" s="162"/>
      <c r="BO23" s="162">
        <v>450</v>
      </c>
      <c r="BP23" s="162"/>
      <c r="BQ23" s="162"/>
      <c r="BR23" s="161">
        <v>450</v>
      </c>
      <c r="BS23" s="162"/>
      <c r="BT23" s="162">
        <v>450</v>
      </c>
      <c r="BU23" s="162"/>
      <c r="BV23" s="162">
        <v>450</v>
      </c>
      <c r="BW23" s="162"/>
      <c r="BX23" s="162"/>
      <c r="BY23" s="161">
        <v>450</v>
      </c>
      <c r="BZ23" s="162"/>
      <c r="CA23" s="162">
        <v>450</v>
      </c>
      <c r="CB23" s="162"/>
      <c r="CC23" s="162">
        <v>450</v>
      </c>
      <c r="CD23" s="162"/>
      <c r="CE23" s="161">
        <v>450</v>
      </c>
      <c r="CF23" s="162"/>
      <c r="CG23" s="162">
        <v>450</v>
      </c>
      <c r="CH23" s="162"/>
      <c r="CI23" s="162">
        <v>450</v>
      </c>
      <c r="CJ23" s="162"/>
      <c r="CK23" s="162"/>
      <c r="CL23" s="161">
        <v>450</v>
      </c>
      <c r="CM23" s="162"/>
      <c r="CN23" s="162">
        <v>450</v>
      </c>
      <c r="CO23" s="162"/>
      <c r="CP23" s="162">
        <v>450</v>
      </c>
      <c r="CQ23" s="162"/>
      <c r="CR23" s="162"/>
      <c r="CS23" s="161">
        <v>450</v>
      </c>
      <c r="CT23" s="162"/>
      <c r="CU23" s="162">
        <v>450</v>
      </c>
      <c r="CV23" s="162"/>
      <c r="CW23" s="162">
        <v>450</v>
      </c>
      <c r="CX23" s="162"/>
      <c r="CY23" s="161">
        <v>450</v>
      </c>
      <c r="CZ23" s="162"/>
      <c r="DA23" s="162">
        <v>450</v>
      </c>
      <c r="DB23" s="162"/>
      <c r="DC23" s="162">
        <v>450</v>
      </c>
      <c r="DD23" s="162"/>
      <c r="DE23" s="162"/>
      <c r="DF23" s="161">
        <v>450</v>
      </c>
      <c r="DG23" s="162"/>
      <c r="DH23" s="162">
        <v>450</v>
      </c>
      <c r="DI23" s="162"/>
      <c r="DJ23" s="162">
        <v>450</v>
      </c>
      <c r="DK23" s="162"/>
      <c r="DL23" s="162"/>
      <c r="DM23" s="161">
        <v>450</v>
      </c>
      <c r="DN23" s="162"/>
      <c r="DO23" s="162">
        <v>450</v>
      </c>
      <c r="DP23" s="162"/>
      <c r="DQ23" s="162">
        <v>450</v>
      </c>
      <c r="DS23" s="161">
        <v>340</v>
      </c>
      <c r="DT23" s="162"/>
      <c r="DU23" s="162">
        <v>340</v>
      </c>
      <c r="DV23" s="162"/>
      <c r="DW23" s="162">
        <v>340</v>
      </c>
      <c r="DX23" s="162"/>
      <c r="DY23" s="162"/>
      <c r="DZ23" s="161">
        <v>340</v>
      </c>
      <c r="EA23" s="162"/>
      <c r="EB23" s="162">
        <v>340</v>
      </c>
      <c r="EC23" s="162"/>
      <c r="ED23" s="162">
        <v>340</v>
      </c>
      <c r="EE23" s="162"/>
      <c r="EF23" s="162"/>
      <c r="EG23" s="161">
        <v>340</v>
      </c>
      <c r="EH23" s="162"/>
      <c r="EI23" s="162">
        <v>340</v>
      </c>
      <c r="EJ23" s="162"/>
      <c r="EK23" s="162">
        <v>340</v>
      </c>
      <c r="EL23" s="162"/>
      <c r="EM23" s="161">
        <v>340</v>
      </c>
      <c r="EN23" s="162"/>
      <c r="EO23" s="162">
        <v>340</v>
      </c>
      <c r="EP23" s="162"/>
      <c r="EQ23" s="162">
        <v>340</v>
      </c>
      <c r="ER23" s="162"/>
      <c r="ES23" s="162"/>
      <c r="ET23" s="161">
        <v>340</v>
      </c>
      <c r="EU23" s="162"/>
      <c r="EV23" s="162">
        <v>340</v>
      </c>
      <c r="EW23" s="162"/>
      <c r="EX23" s="162">
        <v>340</v>
      </c>
      <c r="EY23" s="162"/>
      <c r="EZ23" s="162"/>
      <c r="FA23" s="161">
        <v>340</v>
      </c>
      <c r="FB23" s="162"/>
      <c r="FC23" s="162">
        <v>340</v>
      </c>
      <c r="FD23" s="162"/>
      <c r="FE23" s="162">
        <v>340</v>
      </c>
      <c r="FF23" s="162"/>
      <c r="FG23" s="161">
        <v>340</v>
      </c>
      <c r="FH23" s="162"/>
      <c r="FI23" s="162">
        <v>340</v>
      </c>
      <c r="FJ23" s="162"/>
      <c r="FK23" s="162">
        <v>340</v>
      </c>
      <c r="FL23" s="162"/>
      <c r="FM23" s="162"/>
      <c r="FN23" s="161">
        <v>340</v>
      </c>
      <c r="FO23" s="162"/>
      <c r="FP23" s="162">
        <v>340</v>
      </c>
      <c r="FQ23" s="162"/>
      <c r="FR23" s="162">
        <v>340</v>
      </c>
      <c r="FS23" s="162"/>
      <c r="FT23" s="162"/>
      <c r="FU23" s="161">
        <v>340</v>
      </c>
      <c r="FV23" s="162"/>
      <c r="FW23" s="162">
        <v>340</v>
      </c>
      <c r="FX23" s="162"/>
      <c r="FY23" s="162">
        <v>340</v>
      </c>
    </row>
    <row r="24" spans="1:181" s="165" customFormat="1" x14ac:dyDescent="0.3">
      <c r="A24" s="160">
        <f t="shared" ref="A24:A32" si="1">COUNTA(C24:FY24)</f>
        <v>0</v>
      </c>
      <c r="C24" s="166"/>
      <c r="BI24" s="167"/>
      <c r="BK24" s="166"/>
      <c r="DQ24" s="167"/>
      <c r="DS24" s="166"/>
      <c r="FY24" s="167"/>
    </row>
    <row r="25" spans="1:181" s="165" customFormat="1" x14ac:dyDescent="0.3">
      <c r="A25" s="160">
        <f t="shared" si="1"/>
        <v>0</v>
      </c>
      <c r="C25" s="166"/>
      <c r="BI25" s="167"/>
      <c r="BK25" s="166"/>
      <c r="DQ25" s="167"/>
      <c r="DS25" s="166"/>
      <c r="FY25" s="167"/>
    </row>
    <row r="26" spans="1:181" s="165" customFormat="1" x14ac:dyDescent="0.3">
      <c r="A26" s="160">
        <f t="shared" si="1"/>
        <v>0</v>
      </c>
      <c r="C26" s="166"/>
      <c r="BI26" s="167"/>
      <c r="BK26" s="166"/>
      <c r="DQ26" s="167"/>
      <c r="DS26" s="166"/>
      <c r="FY26" s="167"/>
    </row>
    <row r="27" spans="1:181" s="165" customFormat="1" ht="15" thickBot="1" x14ac:dyDescent="0.35">
      <c r="A27" s="160">
        <f t="shared" si="1"/>
        <v>0</v>
      </c>
      <c r="C27" s="166"/>
      <c r="BI27" s="167"/>
      <c r="BK27" s="166"/>
      <c r="DQ27" s="167"/>
      <c r="DS27" s="166"/>
      <c r="FY27" s="167"/>
    </row>
    <row r="28" spans="1:181" s="165" customFormat="1" x14ac:dyDescent="0.3">
      <c r="A28" s="160">
        <f t="shared" si="1"/>
        <v>81</v>
      </c>
      <c r="C28" s="175">
        <v>640</v>
      </c>
      <c r="D28" s="169"/>
      <c r="E28" s="163">
        <v>640</v>
      </c>
      <c r="F28" s="169"/>
      <c r="G28" s="163">
        <v>640</v>
      </c>
      <c r="H28" s="169"/>
      <c r="I28" s="169"/>
      <c r="J28" s="163">
        <v>640</v>
      </c>
      <c r="K28" s="169"/>
      <c r="L28" s="163">
        <v>640</v>
      </c>
      <c r="M28" s="169"/>
      <c r="N28" s="163">
        <v>640</v>
      </c>
      <c r="O28" s="169"/>
      <c r="P28" s="169"/>
      <c r="Q28" s="163">
        <v>640</v>
      </c>
      <c r="R28" s="169"/>
      <c r="S28" s="163">
        <v>640</v>
      </c>
      <c r="T28" s="169"/>
      <c r="U28" s="176">
        <v>640</v>
      </c>
      <c r="W28" s="168">
        <v>450</v>
      </c>
      <c r="X28" s="169"/>
      <c r="Y28" s="169">
        <v>450</v>
      </c>
      <c r="Z28" s="169"/>
      <c r="AA28" s="169">
        <v>450</v>
      </c>
      <c r="AB28" s="169"/>
      <c r="AC28" s="169"/>
      <c r="AD28" s="169">
        <v>450</v>
      </c>
      <c r="AE28" s="169"/>
      <c r="AF28" s="163">
        <v>450</v>
      </c>
      <c r="AG28" s="169"/>
      <c r="AH28" s="169">
        <v>450</v>
      </c>
      <c r="AI28" s="169"/>
      <c r="AJ28" s="169"/>
      <c r="AK28" s="169">
        <v>450</v>
      </c>
      <c r="AL28" s="169"/>
      <c r="AM28" s="169">
        <v>450</v>
      </c>
      <c r="AN28" s="169"/>
      <c r="AO28" s="170">
        <v>450</v>
      </c>
      <c r="AQ28" s="168">
        <v>340</v>
      </c>
      <c r="AR28" s="169"/>
      <c r="AS28" s="169">
        <v>340</v>
      </c>
      <c r="AT28" s="169"/>
      <c r="AU28" s="169">
        <v>340</v>
      </c>
      <c r="AV28" s="169"/>
      <c r="AW28" s="169"/>
      <c r="AX28" s="169">
        <v>340</v>
      </c>
      <c r="AY28" s="169"/>
      <c r="AZ28" s="163">
        <v>340</v>
      </c>
      <c r="BA28" s="169"/>
      <c r="BB28" s="169">
        <v>340</v>
      </c>
      <c r="BC28" s="169"/>
      <c r="BD28" s="169"/>
      <c r="BE28" s="169">
        <v>340</v>
      </c>
      <c r="BF28" s="169"/>
      <c r="BG28" s="169">
        <v>340</v>
      </c>
      <c r="BH28" s="169"/>
      <c r="BI28" s="170">
        <v>340</v>
      </c>
      <c r="BK28" s="175">
        <v>640</v>
      </c>
      <c r="BL28" s="169"/>
      <c r="BM28" s="163">
        <v>640</v>
      </c>
      <c r="BN28" s="169"/>
      <c r="BO28" s="163">
        <v>640</v>
      </c>
      <c r="BP28" s="169"/>
      <c r="BQ28" s="169"/>
      <c r="BR28" s="163">
        <v>640</v>
      </c>
      <c r="BS28" s="169"/>
      <c r="BT28" s="163">
        <v>640</v>
      </c>
      <c r="BU28" s="169"/>
      <c r="BV28" s="163">
        <v>640</v>
      </c>
      <c r="BW28" s="169"/>
      <c r="BX28" s="169"/>
      <c r="BY28" s="163">
        <v>640</v>
      </c>
      <c r="BZ28" s="169"/>
      <c r="CA28" s="163">
        <v>640</v>
      </c>
      <c r="CB28" s="169"/>
      <c r="CC28" s="176">
        <v>640</v>
      </c>
      <c r="CE28" s="168">
        <v>450</v>
      </c>
      <c r="CF28" s="169"/>
      <c r="CG28" s="169">
        <v>450</v>
      </c>
      <c r="CH28" s="169"/>
      <c r="CI28" s="169">
        <v>450</v>
      </c>
      <c r="CJ28" s="169"/>
      <c r="CK28" s="169"/>
      <c r="CL28" s="169">
        <v>450</v>
      </c>
      <c r="CM28" s="169"/>
      <c r="CN28" s="163">
        <v>450</v>
      </c>
      <c r="CO28" s="169"/>
      <c r="CP28" s="169">
        <v>450</v>
      </c>
      <c r="CQ28" s="169"/>
      <c r="CR28" s="169"/>
      <c r="CS28" s="169">
        <v>450</v>
      </c>
      <c r="CT28" s="169"/>
      <c r="CU28" s="169">
        <v>450</v>
      </c>
      <c r="CV28" s="169"/>
      <c r="CW28" s="170">
        <v>450</v>
      </c>
      <c r="CY28" s="168">
        <v>340</v>
      </c>
      <c r="CZ28" s="169"/>
      <c r="DA28" s="169">
        <v>340</v>
      </c>
      <c r="DB28" s="169"/>
      <c r="DC28" s="169">
        <v>340</v>
      </c>
      <c r="DD28" s="169"/>
      <c r="DE28" s="169"/>
      <c r="DF28" s="169">
        <v>340</v>
      </c>
      <c r="DG28" s="169"/>
      <c r="DH28" s="163">
        <v>340</v>
      </c>
      <c r="DI28" s="169"/>
      <c r="DJ28" s="169">
        <v>340</v>
      </c>
      <c r="DK28" s="169"/>
      <c r="DL28" s="169"/>
      <c r="DM28" s="169">
        <v>340</v>
      </c>
      <c r="DN28" s="169"/>
      <c r="DO28" s="169">
        <v>340</v>
      </c>
      <c r="DP28" s="169"/>
      <c r="DQ28" s="170">
        <v>340</v>
      </c>
      <c r="DS28" s="175">
        <v>640</v>
      </c>
      <c r="DT28" s="169"/>
      <c r="DU28" s="163">
        <v>640</v>
      </c>
      <c r="DV28" s="169"/>
      <c r="DW28" s="163">
        <v>640</v>
      </c>
      <c r="DX28" s="169"/>
      <c r="DY28" s="169"/>
      <c r="DZ28" s="163">
        <v>640</v>
      </c>
      <c r="EA28" s="169"/>
      <c r="EB28" s="163">
        <v>640</v>
      </c>
      <c r="EC28" s="169"/>
      <c r="ED28" s="163">
        <v>640</v>
      </c>
      <c r="EE28" s="169"/>
      <c r="EF28" s="169"/>
      <c r="EG28" s="163">
        <v>640</v>
      </c>
      <c r="EH28" s="169"/>
      <c r="EI28" s="163">
        <v>640</v>
      </c>
      <c r="EJ28" s="169"/>
      <c r="EK28" s="176">
        <v>640</v>
      </c>
      <c r="EM28" s="168">
        <v>450</v>
      </c>
      <c r="EN28" s="169"/>
      <c r="EO28" s="169">
        <v>450</v>
      </c>
      <c r="EP28" s="169"/>
      <c r="EQ28" s="169">
        <v>450</v>
      </c>
      <c r="ER28" s="169"/>
      <c r="ES28" s="169"/>
      <c r="ET28" s="169">
        <v>450</v>
      </c>
      <c r="EU28" s="169"/>
      <c r="EV28" s="163">
        <v>450</v>
      </c>
      <c r="EW28" s="169"/>
      <c r="EX28" s="169">
        <v>450</v>
      </c>
      <c r="EY28" s="169"/>
      <c r="EZ28" s="169"/>
      <c r="FA28" s="169">
        <v>450</v>
      </c>
      <c r="FB28" s="169"/>
      <c r="FC28" s="169">
        <v>450</v>
      </c>
      <c r="FD28" s="169"/>
      <c r="FE28" s="170">
        <v>450</v>
      </c>
      <c r="FG28" s="168">
        <v>340</v>
      </c>
      <c r="FH28" s="169"/>
      <c r="FI28" s="169">
        <v>340</v>
      </c>
      <c r="FJ28" s="169"/>
      <c r="FK28" s="169">
        <v>340</v>
      </c>
      <c r="FL28" s="169"/>
      <c r="FM28" s="169"/>
      <c r="FN28" s="169">
        <v>340</v>
      </c>
      <c r="FO28" s="169"/>
      <c r="FP28" s="163">
        <v>340</v>
      </c>
      <c r="FQ28" s="169"/>
      <c r="FR28" s="169">
        <v>340</v>
      </c>
      <c r="FS28" s="169"/>
      <c r="FT28" s="169"/>
      <c r="FU28" s="169">
        <v>340</v>
      </c>
      <c r="FV28" s="169"/>
      <c r="FW28" s="169">
        <v>340</v>
      </c>
      <c r="FX28" s="169"/>
      <c r="FY28" s="170">
        <v>340</v>
      </c>
    </row>
    <row r="29" spans="1:181" s="165" customFormat="1" ht="15" thickBot="1" x14ac:dyDescent="0.35">
      <c r="A29" s="160">
        <f t="shared" si="1"/>
        <v>0</v>
      </c>
      <c r="C29" s="166"/>
      <c r="U29" s="167"/>
      <c r="W29" s="166"/>
      <c r="AO29" s="167"/>
      <c r="AQ29" s="166"/>
      <c r="BI29" s="167"/>
      <c r="BK29" s="166"/>
      <c r="CC29" s="167"/>
      <c r="CE29" s="166"/>
      <c r="CW29" s="167"/>
      <c r="CY29" s="166"/>
      <c r="DQ29" s="167"/>
      <c r="DS29" s="166"/>
      <c r="EK29" s="167"/>
      <c r="EM29" s="166"/>
      <c r="FE29" s="167"/>
      <c r="FG29" s="166"/>
      <c r="FY29" s="167"/>
    </row>
    <row r="30" spans="1:181" s="165" customFormat="1" x14ac:dyDescent="0.3">
      <c r="A30" s="160">
        <f t="shared" si="1"/>
        <v>81</v>
      </c>
      <c r="C30" s="177">
        <v>640</v>
      </c>
      <c r="D30" s="169"/>
      <c r="E30" s="177">
        <v>640</v>
      </c>
      <c r="F30" s="169"/>
      <c r="G30" s="177">
        <v>640</v>
      </c>
      <c r="J30" s="177">
        <v>450</v>
      </c>
      <c r="K30" s="169"/>
      <c r="L30" s="177">
        <v>450</v>
      </c>
      <c r="M30" s="169"/>
      <c r="N30" s="177">
        <v>450</v>
      </c>
      <c r="Q30" s="177">
        <v>340</v>
      </c>
      <c r="R30" s="169"/>
      <c r="S30" s="177">
        <v>340</v>
      </c>
      <c r="T30" s="169"/>
      <c r="U30" s="177">
        <v>340</v>
      </c>
      <c r="W30" s="177">
        <v>640</v>
      </c>
      <c r="X30" s="169"/>
      <c r="Y30" s="177">
        <v>640</v>
      </c>
      <c r="Z30" s="169"/>
      <c r="AA30" s="177">
        <v>640</v>
      </c>
      <c r="AD30" s="177">
        <v>450</v>
      </c>
      <c r="AE30" s="169"/>
      <c r="AF30" s="177">
        <v>450</v>
      </c>
      <c r="AG30" s="169"/>
      <c r="AH30" s="177">
        <v>450</v>
      </c>
      <c r="AK30" s="177">
        <v>340</v>
      </c>
      <c r="AL30" s="169"/>
      <c r="AM30" s="177">
        <v>340</v>
      </c>
      <c r="AN30" s="169"/>
      <c r="AO30" s="177">
        <v>340</v>
      </c>
      <c r="AQ30" s="177">
        <v>640</v>
      </c>
      <c r="AR30" s="169"/>
      <c r="AS30" s="177">
        <v>640</v>
      </c>
      <c r="AT30" s="169"/>
      <c r="AU30" s="177">
        <v>640</v>
      </c>
      <c r="AX30" s="177">
        <v>450</v>
      </c>
      <c r="AY30" s="169"/>
      <c r="AZ30" s="177">
        <v>450</v>
      </c>
      <c r="BA30" s="169"/>
      <c r="BB30" s="177">
        <v>450</v>
      </c>
      <c r="BE30" s="177">
        <v>340</v>
      </c>
      <c r="BF30" s="169"/>
      <c r="BG30" s="177">
        <v>340</v>
      </c>
      <c r="BH30" s="169"/>
      <c r="BI30" s="177">
        <v>340</v>
      </c>
      <c r="BK30" s="177">
        <v>640</v>
      </c>
      <c r="BL30" s="169"/>
      <c r="BM30" s="177">
        <v>640</v>
      </c>
      <c r="BN30" s="169"/>
      <c r="BO30" s="177">
        <v>640</v>
      </c>
      <c r="BR30" s="177">
        <v>450</v>
      </c>
      <c r="BS30" s="169"/>
      <c r="BT30" s="177">
        <v>450</v>
      </c>
      <c r="BU30" s="169"/>
      <c r="BV30" s="177">
        <v>450</v>
      </c>
      <c r="BY30" s="177">
        <v>340</v>
      </c>
      <c r="BZ30" s="169"/>
      <c r="CA30" s="177">
        <v>340</v>
      </c>
      <c r="CB30" s="169"/>
      <c r="CC30" s="177">
        <v>340</v>
      </c>
      <c r="CE30" s="177">
        <v>640</v>
      </c>
      <c r="CF30" s="169"/>
      <c r="CG30" s="177">
        <v>640</v>
      </c>
      <c r="CH30" s="169"/>
      <c r="CI30" s="177">
        <v>640</v>
      </c>
      <c r="CL30" s="177">
        <v>450</v>
      </c>
      <c r="CM30" s="169"/>
      <c r="CN30" s="177">
        <v>450</v>
      </c>
      <c r="CO30" s="169"/>
      <c r="CP30" s="177">
        <v>450</v>
      </c>
      <c r="CS30" s="177">
        <v>340</v>
      </c>
      <c r="CT30" s="169"/>
      <c r="CU30" s="177">
        <v>340</v>
      </c>
      <c r="CV30" s="169"/>
      <c r="CW30" s="177">
        <v>340</v>
      </c>
      <c r="CY30" s="177">
        <v>640</v>
      </c>
      <c r="CZ30" s="169"/>
      <c r="DA30" s="177">
        <v>640</v>
      </c>
      <c r="DB30" s="169"/>
      <c r="DC30" s="177">
        <v>640</v>
      </c>
      <c r="DF30" s="177">
        <v>450</v>
      </c>
      <c r="DG30" s="169"/>
      <c r="DH30" s="177">
        <v>450</v>
      </c>
      <c r="DI30" s="169"/>
      <c r="DJ30" s="177">
        <v>450</v>
      </c>
      <c r="DM30" s="177">
        <v>340</v>
      </c>
      <c r="DN30" s="169"/>
      <c r="DO30" s="177">
        <v>340</v>
      </c>
      <c r="DP30" s="169"/>
      <c r="DQ30" s="177">
        <v>340</v>
      </c>
      <c r="DS30" s="177">
        <v>640</v>
      </c>
      <c r="DT30" s="169"/>
      <c r="DU30" s="177">
        <v>640</v>
      </c>
      <c r="DV30" s="169"/>
      <c r="DW30" s="177">
        <v>640</v>
      </c>
      <c r="DZ30" s="177">
        <v>450</v>
      </c>
      <c r="EA30" s="169"/>
      <c r="EB30" s="177">
        <v>450</v>
      </c>
      <c r="EC30" s="169"/>
      <c r="ED30" s="177">
        <v>450</v>
      </c>
      <c r="EG30" s="177">
        <v>340</v>
      </c>
      <c r="EH30" s="169"/>
      <c r="EI30" s="177">
        <v>340</v>
      </c>
      <c r="EJ30" s="169"/>
      <c r="EK30" s="177">
        <v>340</v>
      </c>
      <c r="EM30" s="177">
        <v>640</v>
      </c>
      <c r="EN30" s="169"/>
      <c r="EO30" s="177">
        <v>640</v>
      </c>
      <c r="EP30" s="169"/>
      <c r="EQ30" s="177">
        <v>640</v>
      </c>
      <c r="ET30" s="177">
        <v>450</v>
      </c>
      <c r="EU30" s="169"/>
      <c r="EV30" s="177">
        <v>450</v>
      </c>
      <c r="EW30" s="169"/>
      <c r="EX30" s="177">
        <v>450</v>
      </c>
      <c r="FA30" s="177">
        <v>340</v>
      </c>
      <c r="FB30" s="169"/>
      <c r="FC30" s="177">
        <v>340</v>
      </c>
      <c r="FD30" s="169"/>
      <c r="FE30" s="177">
        <v>340</v>
      </c>
      <c r="FG30" s="177">
        <v>640</v>
      </c>
      <c r="FH30" s="169"/>
      <c r="FI30" s="177">
        <v>640</v>
      </c>
      <c r="FJ30" s="169"/>
      <c r="FK30" s="177">
        <v>640</v>
      </c>
      <c r="FN30" s="177">
        <v>450</v>
      </c>
      <c r="FO30" s="169"/>
      <c r="FP30" s="177">
        <v>450</v>
      </c>
      <c r="FQ30" s="169"/>
      <c r="FR30" s="177">
        <v>450</v>
      </c>
      <c r="FU30" s="177">
        <v>340</v>
      </c>
      <c r="FV30" s="169"/>
      <c r="FW30" s="177">
        <v>340</v>
      </c>
      <c r="FX30" s="169"/>
      <c r="FY30" s="177">
        <v>340</v>
      </c>
    </row>
    <row r="31" spans="1:181" s="165" customFormat="1" x14ac:dyDescent="0.3">
      <c r="A31" s="160">
        <f t="shared" si="1"/>
        <v>0</v>
      </c>
      <c r="C31" s="166"/>
      <c r="G31" s="167"/>
      <c r="J31" s="166"/>
      <c r="N31" s="167"/>
      <c r="Q31" s="166"/>
      <c r="U31" s="167"/>
      <c r="W31" s="166"/>
      <c r="AA31" s="167"/>
      <c r="AD31" s="166"/>
      <c r="AH31" s="167"/>
      <c r="AK31" s="166"/>
      <c r="AO31" s="167"/>
      <c r="AQ31" s="166"/>
      <c r="AU31" s="167"/>
      <c r="AX31" s="166"/>
      <c r="BB31" s="167"/>
      <c r="BE31" s="166"/>
      <c r="BI31" s="167"/>
      <c r="BK31" s="166"/>
      <c r="BO31" s="167"/>
      <c r="BR31" s="166"/>
      <c r="BV31" s="167"/>
      <c r="BY31" s="166"/>
      <c r="CC31" s="167"/>
      <c r="CE31" s="166"/>
      <c r="CI31" s="167"/>
      <c r="CL31" s="166"/>
      <c r="CP31" s="167"/>
      <c r="CS31" s="166"/>
      <c r="CW31" s="167"/>
      <c r="CY31" s="166"/>
      <c r="DC31" s="167"/>
      <c r="DF31" s="166"/>
      <c r="DJ31" s="167"/>
      <c r="DM31" s="166"/>
      <c r="DQ31" s="167"/>
      <c r="DS31" s="166"/>
      <c r="DW31" s="167"/>
      <c r="DZ31" s="166"/>
      <c r="ED31" s="167"/>
      <c r="EG31" s="166"/>
      <c r="EK31" s="167"/>
      <c r="EM31" s="166"/>
      <c r="EQ31" s="167"/>
      <c r="ET31" s="166"/>
      <c r="EX31" s="167"/>
      <c r="FA31" s="166"/>
      <c r="FE31" s="167"/>
      <c r="FG31" s="166"/>
      <c r="FK31" s="167"/>
      <c r="FN31" s="166"/>
      <c r="FR31" s="167"/>
      <c r="FU31" s="166"/>
      <c r="FY31" s="167"/>
    </row>
    <row r="32" spans="1:181" s="165" customFormat="1" ht="15" thickBot="1" x14ac:dyDescent="0.35">
      <c r="A32" s="160">
        <f t="shared" si="1"/>
        <v>81</v>
      </c>
      <c r="C32" s="171">
        <v>640</v>
      </c>
      <c r="D32" s="172"/>
      <c r="E32" s="173">
        <v>450</v>
      </c>
      <c r="F32" s="172"/>
      <c r="G32" s="174">
        <v>340</v>
      </c>
      <c r="H32" s="172"/>
      <c r="I32" s="172"/>
      <c r="J32" s="171">
        <v>640</v>
      </c>
      <c r="K32" s="172"/>
      <c r="L32" s="173">
        <v>450</v>
      </c>
      <c r="M32" s="172"/>
      <c r="N32" s="174">
        <v>340</v>
      </c>
      <c r="O32" s="172"/>
      <c r="P32" s="172"/>
      <c r="Q32" s="171">
        <v>640</v>
      </c>
      <c r="R32" s="172"/>
      <c r="S32" s="173">
        <v>450</v>
      </c>
      <c r="T32" s="172"/>
      <c r="U32" s="174">
        <v>340</v>
      </c>
      <c r="V32" s="172"/>
      <c r="W32" s="171">
        <v>640</v>
      </c>
      <c r="X32" s="172"/>
      <c r="Y32" s="173">
        <v>450</v>
      </c>
      <c r="Z32" s="172"/>
      <c r="AA32" s="174">
        <v>340</v>
      </c>
      <c r="AB32" s="172"/>
      <c r="AC32" s="172"/>
      <c r="AD32" s="171">
        <v>640</v>
      </c>
      <c r="AE32" s="172"/>
      <c r="AF32" s="173">
        <v>450</v>
      </c>
      <c r="AG32" s="172"/>
      <c r="AH32" s="174">
        <v>340</v>
      </c>
      <c r="AI32" s="172"/>
      <c r="AJ32" s="172"/>
      <c r="AK32" s="171">
        <v>640</v>
      </c>
      <c r="AL32" s="172"/>
      <c r="AM32" s="173">
        <v>450</v>
      </c>
      <c r="AN32" s="172"/>
      <c r="AO32" s="174">
        <v>340</v>
      </c>
      <c r="AP32" s="172"/>
      <c r="AQ32" s="171">
        <v>640</v>
      </c>
      <c r="AR32" s="172"/>
      <c r="AS32" s="173">
        <v>450</v>
      </c>
      <c r="AT32" s="172"/>
      <c r="AU32" s="174">
        <v>340</v>
      </c>
      <c r="AV32" s="172"/>
      <c r="AW32" s="172"/>
      <c r="AX32" s="171">
        <v>640</v>
      </c>
      <c r="AY32" s="172"/>
      <c r="AZ32" s="173">
        <v>450</v>
      </c>
      <c r="BA32" s="172"/>
      <c r="BB32" s="174">
        <v>340</v>
      </c>
      <c r="BC32" s="172"/>
      <c r="BD32" s="172"/>
      <c r="BE32" s="171">
        <v>640</v>
      </c>
      <c r="BF32" s="172"/>
      <c r="BG32" s="173">
        <v>450</v>
      </c>
      <c r="BH32" s="172"/>
      <c r="BI32" s="174">
        <v>340</v>
      </c>
      <c r="BK32" s="171">
        <v>640</v>
      </c>
      <c r="BL32" s="172"/>
      <c r="BM32" s="173">
        <v>450</v>
      </c>
      <c r="BN32" s="172"/>
      <c r="BO32" s="174">
        <v>340</v>
      </c>
      <c r="BP32" s="172"/>
      <c r="BQ32" s="172"/>
      <c r="BR32" s="171">
        <v>640</v>
      </c>
      <c r="BS32" s="172"/>
      <c r="BT32" s="173">
        <v>450</v>
      </c>
      <c r="BU32" s="172"/>
      <c r="BV32" s="174">
        <v>340</v>
      </c>
      <c r="BW32" s="172"/>
      <c r="BX32" s="172"/>
      <c r="BY32" s="171">
        <v>640</v>
      </c>
      <c r="BZ32" s="172"/>
      <c r="CA32" s="173">
        <v>450</v>
      </c>
      <c r="CB32" s="172"/>
      <c r="CC32" s="174">
        <v>340</v>
      </c>
      <c r="CD32" s="172"/>
      <c r="CE32" s="171">
        <v>640</v>
      </c>
      <c r="CF32" s="172"/>
      <c r="CG32" s="173">
        <v>450</v>
      </c>
      <c r="CH32" s="172"/>
      <c r="CI32" s="174">
        <v>340</v>
      </c>
      <c r="CJ32" s="172"/>
      <c r="CK32" s="172"/>
      <c r="CL32" s="171">
        <v>640</v>
      </c>
      <c r="CM32" s="172"/>
      <c r="CN32" s="173">
        <v>450</v>
      </c>
      <c r="CO32" s="172"/>
      <c r="CP32" s="174">
        <v>340</v>
      </c>
      <c r="CQ32" s="172"/>
      <c r="CR32" s="172"/>
      <c r="CS32" s="171">
        <v>640</v>
      </c>
      <c r="CT32" s="172"/>
      <c r="CU32" s="173">
        <v>450</v>
      </c>
      <c r="CV32" s="172"/>
      <c r="CW32" s="174">
        <v>340</v>
      </c>
      <c r="CX32" s="172"/>
      <c r="CY32" s="171">
        <v>640</v>
      </c>
      <c r="CZ32" s="172"/>
      <c r="DA32" s="173">
        <v>450</v>
      </c>
      <c r="DB32" s="172"/>
      <c r="DC32" s="174">
        <v>340</v>
      </c>
      <c r="DD32" s="172"/>
      <c r="DE32" s="172"/>
      <c r="DF32" s="171">
        <v>640</v>
      </c>
      <c r="DG32" s="172"/>
      <c r="DH32" s="173">
        <v>450</v>
      </c>
      <c r="DI32" s="172"/>
      <c r="DJ32" s="174">
        <v>340</v>
      </c>
      <c r="DK32" s="172"/>
      <c r="DL32" s="172"/>
      <c r="DM32" s="171">
        <v>640</v>
      </c>
      <c r="DN32" s="172"/>
      <c r="DO32" s="173">
        <v>450</v>
      </c>
      <c r="DP32" s="172"/>
      <c r="DQ32" s="174">
        <v>340</v>
      </c>
      <c r="DS32" s="171">
        <v>640</v>
      </c>
      <c r="DT32" s="172"/>
      <c r="DU32" s="173">
        <v>450</v>
      </c>
      <c r="DV32" s="172"/>
      <c r="DW32" s="174">
        <v>340</v>
      </c>
      <c r="DX32" s="172"/>
      <c r="DY32" s="172"/>
      <c r="DZ32" s="171">
        <v>640</v>
      </c>
      <c r="EA32" s="172"/>
      <c r="EB32" s="173">
        <v>450</v>
      </c>
      <c r="EC32" s="172"/>
      <c r="ED32" s="174">
        <v>340</v>
      </c>
      <c r="EE32" s="172"/>
      <c r="EF32" s="172"/>
      <c r="EG32" s="171">
        <v>640</v>
      </c>
      <c r="EH32" s="172"/>
      <c r="EI32" s="173">
        <v>450</v>
      </c>
      <c r="EJ32" s="172"/>
      <c r="EK32" s="174">
        <v>340</v>
      </c>
      <c r="EL32" s="172"/>
      <c r="EM32" s="171">
        <v>640</v>
      </c>
      <c r="EN32" s="172"/>
      <c r="EO32" s="173">
        <v>450</v>
      </c>
      <c r="EP32" s="172"/>
      <c r="EQ32" s="174">
        <v>340</v>
      </c>
      <c r="ER32" s="172"/>
      <c r="ES32" s="172"/>
      <c r="ET32" s="171">
        <v>640</v>
      </c>
      <c r="EU32" s="172"/>
      <c r="EV32" s="173">
        <v>450</v>
      </c>
      <c r="EW32" s="172"/>
      <c r="EX32" s="174">
        <v>340</v>
      </c>
      <c r="EY32" s="172"/>
      <c r="EZ32" s="172"/>
      <c r="FA32" s="171">
        <v>640</v>
      </c>
      <c r="FB32" s="172"/>
      <c r="FC32" s="173">
        <v>450</v>
      </c>
      <c r="FD32" s="172"/>
      <c r="FE32" s="174">
        <v>340</v>
      </c>
      <c r="FF32" s="172"/>
      <c r="FG32" s="171">
        <v>640</v>
      </c>
      <c r="FH32" s="172"/>
      <c r="FI32" s="173">
        <v>450</v>
      </c>
      <c r="FJ32" s="172"/>
      <c r="FK32" s="174">
        <v>340</v>
      </c>
      <c r="FL32" s="172"/>
      <c r="FM32" s="172"/>
      <c r="FN32" s="171">
        <v>640</v>
      </c>
      <c r="FO32" s="172"/>
      <c r="FP32" s="173">
        <v>450</v>
      </c>
      <c r="FQ32" s="172"/>
      <c r="FR32" s="174">
        <v>340</v>
      </c>
      <c r="FS32" s="172"/>
      <c r="FT32" s="172"/>
      <c r="FU32" s="171">
        <v>640</v>
      </c>
      <c r="FV32" s="172"/>
      <c r="FW32" s="173">
        <v>450</v>
      </c>
      <c r="FX32" s="172"/>
      <c r="FY32" s="174">
        <v>340</v>
      </c>
    </row>
    <row r="35" spans="3:181" x14ac:dyDescent="0.3">
      <c r="C35" s="160">
        <f>SUM(C23:C34)</f>
        <v>2560</v>
      </c>
      <c r="E35" s="160">
        <f>SUM(E23:E34)</f>
        <v>2370</v>
      </c>
      <c r="G35" s="160">
        <f>SUM(G23:G34)</f>
        <v>2260</v>
      </c>
      <c r="J35" s="160">
        <f>SUM(J23:J34)</f>
        <v>2370</v>
      </c>
      <c r="L35" s="160">
        <f>SUM(L23:L34)</f>
        <v>2180</v>
      </c>
      <c r="N35" s="160">
        <f>SUM(N23:N34)</f>
        <v>2070</v>
      </c>
      <c r="Q35" s="160">
        <f>SUM(Q23:Q34)</f>
        <v>2260</v>
      </c>
      <c r="S35" s="160">
        <f>SUM(S23:S34)</f>
        <v>2070</v>
      </c>
      <c r="U35" s="160">
        <f>SUM(U23:U34)</f>
        <v>1960</v>
      </c>
      <c r="W35" s="160">
        <f>SUM(W23:W34)</f>
        <v>2370</v>
      </c>
      <c r="Y35" s="160">
        <f>SUM(Y23:Y34)</f>
        <v>2180</v>
      </c>
      <c r="AA35" s="160">
        <f>SUM(AA23:AA34)</f>
        <v>2070</v>
      </c>
      <c r="AD35" s="160">
        <f>SUM(AD23:AD34)</f>
        <v>2180</v>
      </c>
      <c r="AF35" s="160">
        <f>SUM(AF23:AF34)</f>
        <v>1990</v>
      </c>
      <c r="AH35" s="160">
        <f>SUM(AH23:AH34)</f>
        <v>1880</v>
      </c>
      <c r="AK35" s="160">
        <f>SUM(AK23:AK34)</f>
        <v>2070</v>
      </c>
      <c r="AM35" s="160">
        <f>SUM(AM23:AM34)</f>
        <v>1880</v>
      </c>
      <c r="AO35" s="160">
        <f>SUM(AO23:AO34)</f>
        <v>1770</v>
      </c>
      <c r="AQ35" s="160">
        <f>SUM(AQ23:AQ34)</f>
        <v>2260</v>
      </c>
      <c r="AS35" s="160">
        <f>SUM(AS23:AS34)</f>
        <v>2070</v>
      </c>
      <c r="AU35" s="160">
        <f>SUM(AU23:AU34)</f>
        <v>1960</v>
      </c>
      <c r="AX35" s="160">
        <f>SUM(AX23:AX34)</f>
        <v>2070</v>
      </c>
      <c r="AZ35" s="160">
        <f>SUM(AZ23:AZ34)</f>
        <v>1880</v>
      </c>
      <c r="BB35" s="160">
        <f>SUM(BB23:BB34)</f>
        <v>1770</v>
      </c>
      <c r="BE35" s="160">
        <f>SUM(BE23:BE34)</f>
        <v>1960</v>
      </c>
      <c r="BG35" s="160">
        <f>SUM(BG23:BG34)</f>
        <v>1770</v>
      </c>
      <c r="BI35" s="160">
        <f>SUM(BI23:BI34)</f>
        <v>1660</v>
      </c>
      <c r="BK35" s="160">
        <f>SUM(BK23:BK34)</f>
        <v>2370</v>
      </c>
      <c r="BM35" s="160">
        <f>SUM(BM23:BM34)</f>
        <v>2180</v>
      </c>
      <c r="BO35" s="160">
        <f>SUM(BO23:BO34)</f>
        <v>2070</v>
      </c>
      <c r="BR35" s="160">
        <f>SUM(BR23:BR34)</f>
        <v>2180</v>
      </c>
      <c r="BT35" s="160">
        <f>SUM(BT23:BT34)</f>
        <v>1990</v>
      </c>
      <c r="BV35" s="160">
        <f>SUM(BV23:BV34)</f>
        <v>1880</v>
      </c>
      <c r="BY35" s="160">
        <f>SUM(BY23:BY34)</f>
        <v>2070</v>
      </c>
      <c r="CA35" s="160">
        <f>SUM(CA23:CA34)</f>
        <v>1880</v>
      </c>
      <c r="CC35" s="160">
        <f>SUM(CC23:CC34)</f>
        <v>1770</v>
      </c>
      <c r="CE35" s="160">
        <f>SUM(CE23:CE34)</f>
        <v>2180</v>
      </c>
      <c r="CG35" s="160">
        <f>SUM(CG23:CG34)</f>
        <v>1990</v>
      </c>
      <c r="CI35" s="160">
        <f>SUM(CI23:CI34)</f>
        <v>1880</v>
      </c>
      <c r="CL35" s="160">
        <f>SUM(CL23:CL34)</f>
        <v>1990</v>
      </c>
      <c r="CN35" s="160">
        <f>SUM(CN23:CN34)</f>
        <v>1800</v>
      </c>
      <c r="CP35" s="160">
        <f>SUM(CP23:CP34)</f>
        <v>1690</v>
      </c>
      <c r="CS35" s="160">
        <f>SUM(CS23:CS34)</f>
        <v>1880</v>
      </c>
      <c r="CU35" s="160">
        <f>SUM(CU23:CU34)</f>
        <v>1690</v>
      </c>
      <c r="CW35" s="178">
        <f>SUM(CW23:CW34)</f>
        <v>1580</v>
      </c>
      <c r="CY35" s="160">
        <f>SUM(CY23:CY34)</f>
        <v>2070</v>
      </c>
      <c r="DA35" s="160">
        <f>SUM(DA23:DA34)</f>
        <v>1880</v>
      </c>
      <c r="DC35" s="160">
        <f>SUM(DC23:DC34)</f>
        <v>1770</v>
      </c>
      <c r="DF35" s="160">
        <f>SUM(DF23:DF34)</f>
        <v>1880</v>
      </c>
      <c r="DH35" s="160">
        <f>SUM(DH23:DH34)</f>
        <v>1690</v>
      </c>
      <c r="DJ35" s="178">
        <f>SUM(DJ23:DJ34)</f>
        <v>1580</v>
      </c>
      <c r="DM35" s="160">
        <f>SUM(DM23:DM34)</f>
        <v>1770</v>
      </c>
      <c r="DO35" s="178">
        <f>SUM(DO23:DO34)</f>
        <v>1580</v>
      </c>
      <c r="DQ35" s="178">
        <f>SUM(DQ23:DQ34)</f>
        <v>1470</v>
      </c>
      <c r="DS35" s="160">
        <f>SUM(DS23:DS34)</f>
        <v>2260</v>
      </c>
      <c r="DU35" s="160">
        <f>SUM(DU23:DU34)</f>
        <v>2070</v>
      </c>
      <c r="DW35" s="160">
        <f>SUM(DW23:DW34)</f>
        <v>1960</v>
      </c>
      <c r="DZ35" s="160">
        <f>SUM(DZ23:DZ34)</f>
        <v>2070</v>
      </c>
      <c r="EB35" s="160">
        <f>SUM(EB23:EB34)</f>
        <v>1880</v>
      </c>
      <c r="ED35" s="160">
        <f>SUM(ED23:ED34)</f>
        <v>1770</v>
      </c>
      <c r="EG35" s="160">
        <f>SUM(EG23:EG34)</f>
        <v>1960</v>
      </c>
      <c r="EI35" s="160">
        <f>SUM(EI23:EI34)</f>
        <v>1770</v>
      </c>
      <c r="EK35" s="160">
        <f>SUM(EK23:EK34)</f>
        <v>1660</v>
      </c>
      <c r="EM35" s="160">
        <f>SUM(EM23:EM34)</f>
        <v>2070</v>
      </c>
      <c r="EO35" s="160">
        <f>SUM(EO23:EO34)</f>
        <v>1880</v>
      </c>
      <c r="EQ35" s="160">
        <f>SUM(EQ23:EQ34)</f>
        <v>1770</v>
      </c>
      <c r="ET35" s="160">
        <f>SUM(ET23:ET34)</f>
        <v>1880</v>
      </c>
      <c r="EV35" s="160">
        <f>SUM(EV23:EV34)</f>
        <v>1690</v>
      </c>
      <c r="EX35" s="178">
        <f>SUM(EX23:EX34)</f>
        <v>1580</v>
      </c>
      <c r="FA35" s="160">
        <f>SUM(FA23:FA34)</f>
        <v>1770</v>
      </c>
      <c r="FC35" s="178">
        <f>SUM(FC23:FC34)</f>
        <v>1580</v>
      </c>
      <c r="FE35" s="178">
        <f>SUM(FE23:FE34)</f>
        <v>1470</v>
      </c>
      <c r="FG35" s="160">
        <f>SUM(FG23:FG34)</f>
        <v>1960</v>
      </c>
      <c r="FI35" s="160">
        <f>SUM(FI23:FI34)</f>
        <v>1770</v>
      </c>
      <c r="FK35" s="160">
        <f>SUM(FK23:FK34)</f>
        <v>1660</v>
      </c>
      <c r="FN35" s="160">
        <f>SUM(FN23:FN34)</f>
        <v>1770</v>
      </c>
      <c r="FP35" s="178">
        <f>SUM(FP23:FP34)</f>
        <v>1580</v>
      </c>
      <c r="FR35" s="178">
        <f>SUM(FR23:FR34)</f>
        <v>1470</v>
      </c>
      <c r="FU35" s="160">
        <f>SUM(FU23:FU34)</f>
        <v>1660</v>
      </c>
      <c r="FW35" s="178">
        <f>SUM(FW23:FW34)</f>
        <v>1470</v>
      </c>
      <c r="FY35" s="178">
        <f>SUM(FY23:FY34)</f>
        <v>1360</v>
      </c>
    </row>
    <row r="36" spans="3:181" x14ac:dyDescent="0.3">
      <c r="DJ36" s="178"/>
      <c r="DQ36" s="178"/>
    </row>
    <row r="37" spans="3:181" x14ac:dyDescent="0.3">
      <c r="DJ37" s="178"/>
      <c r="DQ37" s="178"/>
    </row>
    <row r="38" spans="3:181" x14ac:dyDescent="0.3">
      <c r="E38" s="178">
        <v>2</v>
      </c>
      <c r="F38" s="178">
        <v>3</v>
      </c>
      <c r="G38" s="178">
        <v>4</v>
      </c>
      <c r="H38" s="160">
        <v>5</v>
      </c>
      <c r="I38" s="160">
        <v>6</v>
      </c>
      <c r="J38" s="160">
        <v>7</v>
      </c>
      <c r="DJ38" s="178"/>
      <c r="DQ38" s="178"/>
    </row>
    <row r="39" spans="3:181" x14ac:dyDescent="0.3">
      <c r="D39" s="160">
        <v>1</v>
      </c>
      <c r="E39" s="160">
        <f>E38+1</f>
        <v>3</v>
      </c>
      <c r="F39" s="160">
        <f t="shared" ref="F39:M39" si="2">F38+1</f>
        <v>4</v>
      </c>
      <c r="G39" s="160">
        <f t="shared" si="2"/>
        <v>5</v>
      </c>
      <c r="H39" s="160">
        <f t="shared" ref="H39:I39" si="3">H38+1</f>
        <v>6</v>
      </c>
      <c r="I39" s="160">
        <f t="shared" si="3"/>
        <v>7</v>
      </c>
      <c r="J39" s="160">
        <f t="shared" si="2"/>
        <v>8</v>
      </c>
      <c r="K39" s="160">
        <f t="shared" si="2"/>
        <v>1</v>
      </c>
      <c r="L39" s="160">
        <f t="shared" si="2"/>
        <v>1</v>
      </c>
      <c r="M39" s="160">
        <f t="shared" si="2"/>
        <v>1</v>
      </c>
      <c r="DJ39" s="178"/>
      <c r="DQ39" s="178"/>
    </row>
    <row r="40" spans="3:181" x14ac:dyDescent="0.3">
      <c r="D40" s="160">
        <v>2</v>
      </c>
      <c r="E40" s="160">
        <f>E39*E$39</f>
        <v>9</v>
      </c>
      <c r="F40" s="160">
        <f t="shared" ref="F40:M42" si="4">F39*F$39</f>
        <v>16</v>
      </c>
      <c r="G40" s="160">
        <f t="shared" si="4"/>
        <v>25</v>
      </c>
      <c r="H40" s="160">
        <f t="shared" ref="H40:I40" si="5">H39*H$39</f>
        <v>36</v>
      </c>
      <c r="I40" s="160">
        <f t="shared" si="5"/>
        <v>49</v>
      </c>
      <c r="J40" s="160">
        <f t="shared" si="4"/>
        <v>64</v>
      </c>
      <c r="K40" s="160">
        <f t="shared" si="4"/>
        <v>1</v>
      </c>
      <c r="L40" s="160">
        <f t="shared" si="4"/>
        <v>1</v>
      </c>
      <c r="M40" s="160">
        <f t="shared" si="4"/>
        <v>1</v>
      </c>
      <c r="DJ40" s="178"/>
      <c r="DQ40" s="178"/>
    </row>
    <row r="41" spans="3:181" x14ac:dyDescent="0.3">
      <c r="D41" s="160">
        <v>3</v>
      </c>
      <c r="E41" s="160">
        <f>E40*E$39</f>
        <v>27</v>
      </c>
      <c r="F41" s="160">
        <f t="shared" si="4"/>
        <v>64</v>
      </c>
      <c r="G41" s="160">
        <f t="shared" si="4"/>
        <v>125</v>
      </c>
      <c r="H41" s="160">
        <f t="shared" ref="H41:I41" si="6">H40*H$39</f>
        <v>216</v>
      </c>
      <c r="I41" s="160">
        <f t="shared" si="6"/>
        <v>343</v>
      </c>
      <c r="J41" s="160">
        <f t="shared" ref="J41" si="7">J40*J$39</f>
        <v>512</v>
      </c>
      <c r="DJ41" s="178"/>
      <c r="DQ41" s="178"/>
    </row>
    <row r="42" spans="3:181" x14ac:dyDescent="0.3">
      <c r="D42" s="160">
        <v>4</v>
      </c>
      <c r="F42" s="160">
        <f t="shared" si="4"/>
        <v>256</v>
      </c>
      <c r="G42" s="160">
        <f t="shared" si="4"/>
        <v>625</v>
      </c>
      <c r="H42" s="160">
        <f t="shared" ref="H42:I42" si="8">H41*H$39</f>
        <v>1296</v>
      </c>
      <c r="I42" s="160">
        <f t="shared" si="8"/>
        <v>2401</v>
      </c>
      <c r="J42" s="160">
        <f t="shared" ref="J42" si="9">J41*J$39</f>
        <v>4096</v>
      </c>
      <c r="DJ42" s="178"/>
      <c r="DQ42" s="178"/>
    </row>
    <row r="43" spans="3:181" x14ac:dyDescent="0.3">
      <c r="D43" s="160">
        <v>5</v>
      </c>
      <c r="G43" s="160">
        <f>G42*G$39</f>
        <v>3125</v>
      </c>
      <c r="H43" s="160">
        <f>H42*H$39</f>
        <v>7776</v>
      </c>
      <c r="I43" s="160">
        <f>I42*I$39</f>
        <v>16807</v>
      </c>
      <c r="J43" s="160">
        <f>J42*J$39</f>
        <v>32768</v>
      </c>
    </row>
    <row r="44" spans="3:181" x14ac:dyDescent="0.3">
      <c r="D44" s="160">
        <v>6</v>
      </c>
      <c r="H44" s="160">
        <f>H43*H$39</f>
        <v>46656</v>
      </c>
      <c r="I44" s="160">
        <f>I43*I$39</f>
        <v>117649</v>
      </c>
      <c r="J44" s="160">
        <f>J43*J$39</f>
        <v>262144</v>
      </c>
    </row>
    <row r="45" spans="3:181" x14ac:dyDescent="0.3">
      <c r="D45" s="160">
        <v>7</v>
      </c>
      <c r="I45" s="160">
        <f>I44*I$39</f>
        <v>823543</v>
      </c>
      <c r="J45" s="160">
        <f>J44*J$39</f>
        <v>2097152</v>
      </c>
    </row>
    <row r="46" spans="3:181" x14ac:dyDescent="0.3">
      <c r="D46" s="160">
        <v>8</v>
      </c>
      <c r="J46" s="160">
        <f>J45*J$39</f>
        <v>16777216</v>
      </c>
    </row>
    <row r="47" spans="3:181" x14ac:dyDescent="0.3">
      <c r="D47" s="160">
        <v>9</v>
      </c>
    </row>
    <row r="48" spans="3:181" x14ac:dyDescent="0.3">
      <c r="D48" s="160">
        <v>10</v>
      </c>
    </row>
    <row r="49" spans="3:13" x14ac:dyDescent="0.3">
      <c r="C49" s="160">
        <v>5</v>
      </c>
      <c r="E49" s="160">
        <f>SUM(E39:E48)</f>
        <v>39</v>
      </c>
      <c r="F49" s="160">
        <f>SUM(F39:F48)</f>
        <v>340</v>
      </c>
      <c r="G49" s="160">
        <f t="shared" ref="G49:M49" si="10">SUM(G39:G48)</f>
        <v>3905</v>
      </c>
      <c r="H49" s="160">
        <f t="shared" si="10"/>
        <v>55986</v>
      </c>
      <c r="I49" s="160">
        <f t="shared" si="10"/>
        <v>960799</v>
      </c>
      <c r="J49" s="160">
        <f t="shared" si="10"/>
        <v>19173960</v>
      </c>
      <c r="K49" s="160">
        <f t="shared" si="10"/>
        <v>2</v>
      </c>
      <c r="L49" s="160">
        <f t="shared" si="10"/>
        <v>2</v>
      </c>
      <c r="M49" s="160">
        <f t="shared" si="10"/>
        <v>2</v>
      </c>
    </row>
    <row r="50" spans="3:13" x14ac:dyDescent="0.3">
      <c r="C50" s="160">
        <v>164</v>
      </c>
    </row>
    <row r="53" spans="3:13" x14ac:dyDescent="0.3">
      <c r="E53" s="160">
        <v>4</v>
      </c>
      <c r="J53" s="160">
        <v>3</v>
      </c>
    </row>
    <row r="54" spans="3:13" x14ac:dyDescent="0.3">
      <c r="C54" s="160">
        <v>1</v>
      </c>
      <c r="D54" s="160">
        <v>4</v>
      </c>
      <c r="E54" s="160">
        <f>E53*D54</f>
        <v>16</v>
      </c>
      <c r="H54" s="160">
        <v>1</v>
      </c>
      <c r="I54" s="160">
        <v>3</v>
      </c>
      <c r="J54" s="160">
        <f>I54*I55</f>
        <v>9</v>
      </c>
    </row>
    <row r="55" spans="3:13" x14ac:dyDescent="0.3">
      <c r="C55" s="160">
        <v>2</v>
      </c>
      <c r="D55" s="160">
        <v>4</v>
      </c>
      <c r="E55" s="160">
        <f>E54*D55</f>
        <v>64</v>
      </c>
      <c r="H55" s="160">
        <v>2</v>
      </c>
      <c r="I55" s="160">
        <v>3</v>
      </c>
      <c r="J55" s="160">
        <f>J54*I55</f>
        <v>27</v>
      </c>
    </row>
    <row r="56" spans="3:13" x14ac:dyDescent="0.3">
      <c r="C56" s="160">
        <v>3</v>
      </c>
      <c r="D56" s="160">
        <v>4</v>
      </c>
      <c r="E56" s="160">
        <f>E55*D56</f>
        <v>256</v>
      </c>
      <c r="H56" s="160">
        <v>3</v>
      </c>
      <c r="I56" s="160">
        <v>3</v>
      </c>
      <c r="J56" s="160">
        <f>J55*I56</f>
        <v>81</v>
      </c>
    </row>
    <row r="57" spans="3:13" x14ac:dyDescent="0.3">
      <c r="C57" s="160">
        <v>4</v>
      </c>
      <c r="D57" s="160">
        <v>4</v>
      </c>
      <c r="E57" s="160">
        <f t="shared" ref="E57:E60" si="11">E56*D57</f>
        <v>1024</v>
      </c>
    </row>
    <row r="58" spans="3:13" x14ac:dyDescent="0.3">
      <c r="C58" s="160">
        <v>5</v>
      </c>
      <c r="D58" s="160">
        <v>4</v>
      </c>
      <c r="E58" s="160">
        <f t="shared" si="11"/>
        <v>4096</v>
      </c>
    </row>
    <row r="59" spans="3:13" x14ac:dyDescent="0.3">
      <c r="C59" s="160">
        <v>6</v>
      </c>
      <c r="D59" s="160">
        <v>4</v>
      </c>
      <c r="E59" s="160">
        <f t="shared" si="11"/>
        <v>16384</v>
      </c>
    </row>
    <row r="60" spans="3:13" x14ac:dyDescent="0.3">
      <c r="C60" s="160">
        <v>7</v>
      </c>
      <c r="D60" s="160">
        <v>4</v>
      </c>
      <c r="E60" s="160">
        <f t="shared" si="11"/>
        <v>65536</v>
      </c>
    </row>
  </sheetData>
  <conditionalFormatting sqref="A35:XFD35">
    <cfRule type="cellIs" dxfId="1" priority="1" operator="greaterThan">
      <formula>1600</formula>
    </cfRule>
  </conditionalFormatting>
  <pageMargins left="0.7" right="0.7" top="0.75" bottom="0.75" header="0.3" footer="0.3"/>
  <pageSetup paperSize="142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DFD4-CC65-4FC8-A09A-DF6A8A98755F}">
  <dimension ref="B1:AB39"/>
  <sheetViews>
    <sheetView workbookViewId="0">
      <selection activeCell="B39" sqref="B39"/>
    </sheetView>
  </sheetViews>
  <sheetFormatPr defaultRowHeight="14.4" x14ac:dyDescent="0.3"/>
  <cols>
    <col min="11" max="11" width="9" customWidth="1"/>
    <col min="12" max="24" width="8.88671875" customWidth="1"/>
    <col min="25" max="26" width="11.5546875" customWidth="1"/>
  </cols>
  <sheetData>
    <row r="1" spans="2:28" ht="15" thickBot="1" x14ac:dyDescent="0.35"/>
    <row r="2" spans="2:28" x14ac:dyDescent="0.3">
      <c r="B2" s="118" t="s">
        <v>217</v>
      </c>
      <c r="C2" s="119">
        <v>1600</v>
      </c>
      <c r="D2" t="s">
        <v>219</v>
      </c>
    </row>
    <row r="3" spans="2:28" ht="15" thickBot="1" x14ac:dyDescent="0.35">
      <c r="B3" s="36" t="s">
        <v>218</v>
      </c>
      <c r="C3" s="120">
        <v>99</v>
      </c>
      <c r="D3" t="s">
        <v>220</v>
      </c>
    </row>
    <row r="4" spans="2:28" ht="15" thickBot="1" x14ac:dyDescent="0.35">
      <c r="B4" s="9"/>
      <c r="C4" s="9"/>
      <c r="Y4">
        <f>SUM(Y7:Y10)</f>
        <v>4</v>
      </c>
      <c r="Z4">
        <f>SUM(Z7:Z10)</f>
        <v>325</v>
      </c>
    </row>
    <row r="5" spans="2:28" x14ac:dyDescent="0.3">
      <c r="B5" s="220" t="s">
        <v>223</v>
      </c>
      <c r="C5" s="218" t="s">
        <v>224</v>
      </c>
      <c r="D5" s="234" t="s">
        <v>230</v>
      </c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6"/>
      <c r="Y5" s="216" t="s">
        <v>221</v>
      </c>
      <c r="Z5" s="216" t="s">
        <v>222</v>
      </c>
    </row>
    <row r="6" spans="2:28" ht="15" thickBot="1" x14ac:dyDescent="0.35">
      <c r="B6" s="237"/>
      <c r="C6" s="238"/>
      <c r="D6" s="125">
        <v>1</v>
      </c>
      <c r="E6" s="126">
        <v>2</v>
      </c>
      <c r="F6" s="126">
        <v>3</v>
      </c>
      <c r="G6" s="126">
        <v>4</v>
      </c>
      <c r="H6" s="126">
        <v>5</v>
      </c>
      <c r="I6" s="126">
        <v>6</v>
      </c>
      <c r="J6" s="126">
        <v>7</v>
      </c>
      <c r="K6" s="126">
        <v>8</v>
      </c>
      <c r="L6" s="126">
        <v>9</v>
      </c>
      <c r="M6" s="126">
        <v>10</v>
      </c>
      <c r="N6" s="126">
        <v>11</v>
      </c>
      <c r="O6" s="126">
        <v>12</v>
      </c>
      <c r="P6" s="126">
        <v>13</v>
      </c>
      <c r="Q6" s="126">
        <v>14</v>
      </c>
      <c r="R6" s="126">
        <v>15</v>
      </c>
      <c r="S6" s="126">
        <v>16</v>
      </c>
      <c r="T6" s="126">
        <v>17</v>
      </c>
      <c r="U6" s="126">
        <v>18</v>
      </c>
      <c r="V6" s="126">
        <v>19</v>
      </c>
      <c r="W6" s="126">
        <v>20</v>
      </c>
      <c r="X6" s="126">
        <v>21</v>
      </c>
      <c r="Y6" s="217"/>
      <c r="Z6" s="231"/>
    </row>
    <row r="7" spans="2:28" x14ac:dyDescent="0.3">
      <c r="B7" s="118" t="s">
        <v>225</v>
      </c>
      <c r="C7" s="119">
        <v>600</v>
      </c>
      <c r="D7" s="155">
        <v>2</v>
      </c>
      <c r="E7" s="158">
        <v>2</v>
      </c>
      <c r="F7" s="158">
        <v>0</v>
      </c>
      <c r="G7" s="158">
        <v>1</v>
      </c>
      <c r="H7" s="158">
        <v>1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1</v>
      </c>
      <c r="S7" s="158">
        <v>1</v>
      </c>
      <c r="T7" s="158">
        <v>0</v>
      </c>
      <c r="U7" s="158">
        <v>1</v>
      </c>
      <c r="V7" s="185">
        <v>0</v>
      </c>
      <c r="W7" s="189">
        <v>0</v>
      </c>
      <c r="X7" s="189">
        <v>1</v>
      </c>
      <c r="Y7" s="154">
        <v>1</v>
      </c>
      <c r="Z7" s="127">
        <f>SUMPRODUCT(D7:X7,$D$13:$X$13)</f>
        <v>168</v>
      </c>
      <c r="AA7" s="19">
        <f>Y7*100/$Y$4</f>
        <v>25</v>
      </c>
      <c r="AB7" s="19">
        <f>Z7*100/$Z$4</f>
        <v>51.692307692307693</v>
      </c>
    </row>
    <row r="8" spans="2:28" x14ac:dyDescent="0.3">
      <c r="B8" s="38" t="s">
        <v>226</v>
      </c>
      <c r="C8" s="121">
        <v>450</v>
      </c>
      <c r="D8" s="156">
        <v>0</v>
      </c>
      <c r="E8" s="84">
        <v>0</v>
      </c>
      <c r="F8" s="84">
        <v>1</v>
      </c>
      <c r="G8" s="84">
        <v>1</v>
      </c>
      <c r="H8" s="84">
        <v>1</v>
      </c>
      <c r="I8" s="84">
        <v>1</v>
      </c>
      <c r="J8" s="84">
        <v>1</v>
      </c>
      <c r="K8" s="84">
        <v>2</v>
      </c>
      <c r="L8" s="84">
        <v>0</v>
      </c>
      <c r="M8" s="84">
        <v>0</v>
      </c>
      <c r="N8" s="84">
        <v>0</v>
      </c>
      <c r="O8" s="84">
        <v>0</v>
      </c>
      <c r="P8" s="84">
        <v>0</v>
      </c>
      <c r="Q8" s="84">
        <v>3</v>
      </c>
      <c r="R8" s="84">
        <v>2</v>
      </c>
      <c r="S8" s="84">
        <v>0</v>
      </c>
      <c r="T8" s="84">
        <v>2</v>
      </c>
      <c r="U8" s="84">
        <v>0</v>
      </c>
      <c r="V8" s="186">
        <v>2</v>
      </c>
      <c r="W8" s="190">
        <v>1</v>
      </c>
      <c r="X8" s="190">
        <v>0</v>
      </c>
      <c r="Y8" s="180">
        <v>1</v>
      </c>
      <c r="Z8" s="129">
        <f t="shared" ref="Z8:Z10" si="0">SUMPRODUCT(D8:X8,$D$13:$X$13)</f>
        <v>15</v>
      </c>
      <c r="AA8" s="19">
        <f t="shared" ref="AA8:AA10" si="1">Y8*100/$Y$4</f>
        <v>25</v>
      </c>
      <c r="AB8" s="19">
        <f>Z8*100/$Z$4</f>
        <v>4.615384615384615</v>
      </c>
    </row>
    <row r="9" spans="2:28" x14ac:dyDescent="0.3">
      <c r="B9" s="38" t="s">
        <v>227</v>
      </c>
      <c r="C9" s="121">
        <v>340</v>
      </c>
      <c r="D9" s="184">
        <v>1</v>
      </c>
      <c r="E9" s="183">
        <v>0</v>
      </c>
      <c r="F9" s="183">
        <v>0</v>
      </c>
      <c r="G9" s="183">
        <v>1</v>
      </c>
      <c r="H9" s="183">
        <v>0</v>
      </c>
      <c r="I9" s="183">
        <v>1</v>
      </c>
      <c r="J9" s="183">
        <v>2</v>
      </c>
      <c r="K9" s="183">
        <v>2</v>
      </c>
      <c r="L9" s="183">
        <v>1</v>
      </c>
      <c r="M9" s="183">
        <v>2</v>
      </c>
      <c r="N9" s="183">
        <v>3</v>
      </c>
      <c r="O9" s="183">
        <v>4</v>
      </c>
      <c r="P9" s="183">
        <v>0</v>
      </c>
      <c r="Q9" s="183">
        <v>0</v>
      </c>
      <c r="R9" s="183">
        <v>0</v>
      </c>
      <c r="S9" s="183">
        <v>1</v>
      </c>
      <c r="T9" s="183">
        <v>0</v>
      </c>
      <c r="U9" s="183">
        <v>2</v>
      </c>
      <c r="V9" s="187">
        <v>1</v>
      </c>
      <c r="W9" s="191">
        <v>3</v>
      </c>
      <c r="X9" s="191">
        <v>0</v>
      </c>
      <c r="Y9" s="181">
        <v>1</v>
      </c>
      <c r="Z9" s="129">
        <f t="shared" si="0"/>
        <v>37</v>
      </c>
      <c r="AA9" s="19"/>
      <c r="AB9" s="19"/>
    </row>
    <row r="10" spans="2:28" ht="15" thickBot="1" x14ac:dyDescent="0.35">
      <c r="B10" s="36" t="s">
        <v>268</v>
      </c>
      <c r="C10" s="120">
        <v>250</v>
      </c>
      <c r="D10" s="157">
        <v>0</v>
      </c>
      <c r="E10" s="159">
        <v>1</v>
      </c>
      <c r="F10" s="159">
        <v>4</v>
      </c>
      <c r="G10" s="159">
        <v>0</v>
      </c>
      <c r="H10" s="159">
        <v>2</v>
      </c>
      <c r="I10" s="159">
        <v>3</v>
      </c>
      <c r="J10" s="159">
        <v>1</v>
      </c>
      <c r="K10" s="159">
        <v>0</v>
      </c>
      <c r="L10" s="159">
        <v>5</v>
      </c>
      <c r="M10" s="159">
        <v>3</v>
      </c>
      <c r="N10" s="159">
        <v>2</v>
      </c>
      <c r="O10" s="159">
        <v>0</v>
      </c>
      <c r="P10" s="159">
        <v>6</v>
      </c>
      <c r="Q10" s="159">
        <v>1</v>
      </c>
      <c r="R10" s="159">
        <v>0</v>
      </c>
      <c r="S10" s="159">
        <v>2</v>
      </c>
      <c r="T10" s="159">
        <v>2</v>
      </c>
      <c r="U10" s="159">
        <v>1</v>
      </c>
      <c r="V10" s="188">
        <v>1</v>
      </c>
      <c r="W10" s="192">
        <v>0</v>
      </c>
      <c r="X10" s="192">
        <v>4</v>
      </c>
      <c r="Y10" s="182">
        <v>1</v>
      </c>
      <c r="Z10" s="131">
        <f t="shared" si="0"/>
        <v>105</v>
      </c>
      <c r="AA10" s="19">
        <f t="shared" si="1"/>
        <v>25</v>
      </c>
      <c r="AB10" s="19">
        <f t="shared" ref="AB10" si="2">Z10*100/$Z$4</f>
        <v>32.307692307692307</v>
      </c>
    </row>
    <row r="11" spans="2:28" ht="15" thickBot="1" x14ac:dyDescent="0.35">
      <c r="B11" s="232" t="s">
        <v>228</v>
      </c>
      <c r="C11" s="233"/>
      <c r="D11" s="132">
        <f>$C$2-(SUMPRODUCT($C$7:$C$10,D7:D10))</f>
        <v>60</v>
      </c>
      <c r="E11" s="132">
        <f t="shared" ref="E11:V11" si="3">$C$2-(SUMPRODUCT($C$7:$C$10,E7:E10))</f>
        <v>150</v>
      </c>
      <c r="F11" s="132">
        <f t="shared" si="3"/>
        <v>150</v>
      </c>
      <c r="G11" s="132">
        <f t="shared" si="3"/>
        <v>210</v>
      </c>
      <c r="H11" s="132">
        <f t="shared" si="3"/>
        <v>50</v>
      </c>
      <c r="I11" s="132">
        <f t="shared" si="3"/>
        <v>60</v>
      </c>
      <c r="J11" s="132">
        <f t="shared" si="3"/>
        <v>220</v>
      </c>
      <c r="K11" s="132">
        <f t="shared" si="3"/>
        <v>20</v>
      </c>
      <c r="L11" s="132">
        <f t="shared" si="3"/>
        <v>10</v>
      </c>
      <c r="M11" s="132">
        <f t="shared" si="3"/>
        <v>170</v>
      </c>
      <c r="N11" s="132">
        <f t="shared" si="3"/>
        <v>80</v>
      </c>
      <c r="O11" s="132">
        <f t="shared" si="3"/>
        <v>240</v>
      </c>
      <c r="P11" s="132">
        <f t="shared" si="3"/>
        <v>100</v>
      </c>
      <c r="Q11" s="132">
        <f t="shared" si="3"/>
        <v>0</v>
      </c>
      <c r="R11" s="132">
        <f t="shared" si="3"/>
        <v>100</v>
      </c>
      <c r="S11" s="132">
        <f t="shared" si="3"/>
        <v>160</v>
      </c>
      <c r="T11" s="132">
        <f t="shared" si="3"/>
        <v>200</v>
      </c>
      <c r="U11" s="132">
        <f t="shared" si="3"/>
        <v>70</v>
      </c>
      <c r="V11" s="132">
        <f t="shared" si="3"/>
        <v>110</v>
      </c>
      <c r="W11" s="132">
        <f t="shared" ref="W11:X11" si="4">$C$2-(SUMPRODUCT($C$7:$C$10,W7:W10))</f>
        <v>130</v>
      </c>
      <c r="X11" s="132">
        <f t="shared" si="4"/>
        <v>0</v>
      </c>
      <c r="Y11" s="133"/>
      <c r="Z11" s="9"/>
      <c r="AA11" s="19">
        <f>SUM(AA7:AA10)</f>
        <v>75</v>
      </c>
      <c r="AB11" s="19">
        <f>SUM(AB7:AB10)</f>
        <v>88.615384615384613</v>
      </c>
    </row>
    <row r="12" spans="2:28" x14ac:dyDescent="0.3">
      <c r="B12" s="224" t="s">
        <v>229</v>
      </c>
      <c r="C12" s="225"/>
      <c r="D12" s="122" t="s">
        <v>231</v>
      </c>
      <c r="E12" s="123" t="s">
        <v>232</v>
      </c>
      <c r="F12" s="123" t="s">
        <v>233</v>
      </c>
      <c r="G12" s="123" t="s">
        <v>234</v>
      </c>
      <c r="H12" s="123" t="s">
        <v>235</v>
      </c>
      <c r="I12" s="123" t="s">
        <v>236</v>
      </c>
      <c r="J12" s="123" t="s">
        <v>237</v>
      </c>
      <c r="K12" s="123" t="s">
        <v>238</v>
      </c>
      <c r="L12" s="123" t="s">
        <v>239</v>
      </c>
      <c r="M12" s="123" t="s">
        <v>240</v>
      </c>
      <c r="N12" s="123" t="s">
        <v>241</v>
      </c>
      <c r="O12" s="123" t="s">
        <v>242</v>
      </c>
      <c r="P12" s="123" t="s">
        <v>243</v>
      </c>
      <c r="Q12" s="123" t="s">
        <v>244</v>
      </c>
      <c r="R12" s="123" t="s">
        <v>245</v>
      </c>
      <c r="S12" s="123" t="s">
        <v>246</v>
      </c>
      <c r="T12" s="123" t="s">
        <v>247</v>
      </c>
      <c r="U12" s="123" t="s">
        <v>248</v>
      </c>
      <c r="V12" s="124" t="s">
        <v>249</v>
      </c>
      <c r="W12" s="124" t="s">
        <v>269</v>
      </c>
      <c r="X12" s="124" t="s">
        <v>270</v>
      </c>
      <c r="Y12" s="127"/>
      <c r="Z12" s="9"/>
    </row>
    <row r="13" spans="2:28" ht="15" thickBot="1" x14ac:dyDescent="0.35">
      <c r="B13" s="226"/>
      <c r="C13" s="227"/>
      <c r="D13" s="134">
        <v>20</v>
      </c>
      <c r="E13" s="135">
        <v>64</v>
      </c>
      <c r="F13" s="135">
        <v>0</v>
      </c>
      <c r="G13" s="135">
        <v>0</v>
      </c>
      <c r="H13" s="135">
        <v>0</v>
      </c>
      <c r="I13" s="135">
        <v>13</v>
      </c>
      <c r="J13" s="135">
        <v>2</v>
      </c>
      <c r="K13" s="135">
        <v>0</v>
      </c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6"/>
      <c r="W13" s="179"/>
      <c r="X13" s="179"/>
      <c r="Y13" s="131"/>
      <c r="Z13" s="9"/>
    </row>
    <row r="15" spans="2:28" x14ac:dyDescent="0.3">
      <c r="B15" t="s">
        <v>250</v>
      </c>
    </row>
    <row r="16" spans="2:28" x14ac:dyDescent="0.3">
      <c r="B16" s="31" t="s">
        <v>251</v>
      </c>
      <c r="C16" s="84">
        <f>SUMPRODUCT(D11:V11*D13:V13)</f>
        <v>12020</v>
      </c>
      <c r="D16" t="s">
        <v>255</v>
      </c>
      <c r="G16" t="s">
        <v>256</v>
      </c>
    </row>
    <row r="17" spans="2:6" x14ac:dyDescent="0.3">
      <c r="B17" s="31" t="s">
        <v>258</v>
      </c>
      <c r="C17" s="85">
        <f>C16/(C2*C3)</f>
        <v>7.5883838383838387E-2</v>
      </c>
      <c r="D17" t="s">
        <v>257</v>
      </c>
    </row>
    <row r="18" spans="2:6" x14ac:dyDescent="0.3">
      <c r="B18" s="31" t="s">
        <v>252</v>
      </c>
      <c r="C18" s="25">
        <f>Z10</f>
        <v>105</v>
      </c>
    </row>
    <row r="20" spans="2:6" ht="15" thickBot="1" x14ac:dyDescent="0.35">
      <c r="B20" t="s">
        <v>253</v>
      </c>
    </row>
    <row r="21" spans="2:6" x14ac:dyDescent="0.3">
      <c r="B21" s="108">
        <f>SUM(D13:V13)</f>
        <v>99</v>
      </c>
      <c r="C21" s="123" t="s">
        <v>254</v>
      </c>
      <c r="D21" s="109">
        <f>C3</f>
        <v>99</v>
      </c>
      <c r="E21" t="s">
        <v>261</v>
      </c>
    </row>
    <row r="22" spans="2:6" x14ac:dyDescent="0.3">
      <c r="B22" s="113">
        <f>Y8*Z7</f>
        <v>168</v>
      </c>
      <c r="C22" s="25" t="s">
        <v>254</v>
      </c>
      <c r="D22" s="114">
        <f>Y7*Z8</f>
        <v>15</v>
      </c>
      <c r="E22" t="s">
        <v>259</v>
      </c>
    </row>
    <row r="23" spans="2:6" ht="15" thickBot="1" x14ac:dyDescent="0.35">
      <c r="B23" s="110">
        <f>Y10*Z8</f>
        <v>15</v>
      </c>
      <c r="C23" s="37" t="s">
        <v>254</v>
      </c>
      <c r="D23" s="111">
        <f>Y8*Z10</f>
        <v>105</v>
      </c>
      <c r="E23" t="s">
        <v>260</v>
      </c>
    </row>
    <row r="25" spans="2:6" x14ac:dyDescent="0.3">
      <c r="F25">
        <v>1600</v>
      </c>
    </row>
    <row r="26" spans="2:6" x14ac:dyDescent="0.3">
      <c r="F26">
        <f>F25/C10</f>
        <v>6.4</v>
      </c>
    </row>
    <row r="27" spans="2:6" x14ac:dyDescent="0.3">
      <c r="F27">
        <v>4</v>
      </c>
    </row>
    <row r="38" spans="2:26" x14ac:dyDescent="0.3">
      <c r="C38" t="s">
        <v>271</v>
      </c>
    </row>
    <row r="39" spans="2:26" x14ac:dyDescent="0.3">
      <c r="B39">
        <f>D39+F39+H39+J39+L39+N39+P39+R39+T39+V39+X39+Z39</f>
        <v>73</v>
      </c>
      <c r="C39" s="193" t="s">
        <v>283</v>
      </c>
      <c r="D39">
        <v>7</v>
      </c>
      <c r="E39" t="s">
        <v>272</v>
      </c>
      <c r="F39">
        <v>1</v>
      </c>
      <c r="G39" t="s">
        <v>273</v>
      </c>
      <c r="H39">
        <v>2</v>
      </c>
      <c r="I39" t="s">
        <v>274</v>
      </c>
      <c r="J39">
        <v>12</v>
      </c>
      <c r="K39" t="s">
        <v>275</v>
      </c>
      <c r="L39">
        <v>13</v>
      </c>
      <c r="M39" t="s">
        <v>276</v>
      </c>
      <c r="N39">
        <v>12</v>
      </c>
      <c r="O39" t="s">
        <v>277</v>
      </c>
      <c r="P39">
        <v>3</v>
      </c>
      <c r="Q39" t="s">
        <v>278</v>
      </c>
      <c r="R39">
        <v>8</v>
      </c>
      <c r="S39" t="s">
        <v>279</v>
      </c>
      <c r="T39">
        <v>5</v>
      </c>
      <c r="U39" t="s">
        <v>280</v>
      </c>
      <c r="V39">
        <v>5</v>
      </c>
      <c r="W39" t="s">
        <v>281</v>
      </c>
      <c r="X39">
        <v>4</v>
      </c>
      <c r="Y39" t="s">
        <v>282</v>
      </c>
      <c r="Z39">
        <v>1</v>
      </c>
    </row>
  </sheetData>
  <mergeCells count="7">
    <mergeCell ref="Z5:Z6"/>
    <mergeCell ref="B11:C11"/>
    <mergeCell ref="B12:C13"/>
    <mergeCell ref="D5:X5"/>
    <mergeCell ref="B5:B6"/>
    <mergeCell ref="C5:C6"/>
    <mergeCell ref="Y5:Y6"/>
  </mergeCells>
  <phoneticPr fontId="11" type="noConversion"/>
  <conditionalFormatting sqref="D11:X11">
    <cfRule type="duplicateValues" dxfId="0" priority="1"/>
  </conditionalFormatting>
  <pageMargins left="0.7" right="0.7" top="0.75" bottom="0.75" header="0.3" footer="0.3"/>
  <pageSetup paperSize="142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23"/>
  <sheetViews>
    <sheetView workbookViewId="0">
      <selection activeCell="G25" sqref="G25"/>
    </sheetView>
  </sheetViews>
  <sheetFormatPr defaultRowHeight="14.4" x14ac:dyDescent="0.3"/>
  <cols>
    <col min="2" max="2" width="9.33203125" bestFit="1" customWidth="1"/>
    <col min="3" max="3" width="9.88671875" customWidth="1"/>
    <col min="4" max="20" width="7.6640625" customWidth="1"/>
    <col min="21" max="21" width="9.33203125" bestFit="1" customWidth="1"/>
    <col min="22" max="28" width="7.6640625" customWidth="1"/>
  </cols>
  <sheetData>
    <row r="1" spans="2:28" x14ac:dyDescent="0.3">
      <c r="B1" t="s">
        <v>94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3">
      <c r="B3" t="s">
        <v>95</v>
      </c>
      <c r="C3">
        <v>13</v>
      </c>
      <c r="D3">
        <v>17</v>
      </c>
      <c r="E3">
        <v>30000</v>
      </c>
      <c r="F3">
        <v>25.4</v>
      </c>
      <c r="G3">
        <f t="shared" ref="G3:G9" si="0">F3*E3/1000</f>
        <v>762</v>
      </c>
      <c r="R3">
        <v>7</v>
      </c>
      <c r="S3">
        <f t="shared" ref="S3:S9" si="1">E3/R3</f>
        <v>4285.7142857142853</v>
      </c>
    </row>
    <row r="4" spans="2:28" x14ac:dyDescent="0.3">
      <c r="B4" t="s">
        <v>95</v>
      </c>
      <c r="C4">
        <v>14</v>
      </c>
      <c r="D4">
        <v>17</v>
      </c>
      <c r="E4">
        <v>25000</v>
      </c>
      <c r="F4">
        <v>28.4</v>
      </c>
      <c r="G4">
        <f t="shared" si="0"/>
        <v>710</v>
      </c>
      <c r="K4" s="2"/>
      <c r="M4" s="2"/>
      <c r="R4">
        <v>7</v>
      </c>
      <c r="S4">
        <f t="shared" si="1"/>
        <v>3571.4285714285716</v>
      </c>
    </row>
    <row r="5" spans="2:28" x14ac:dyDescent="0.3">
      <c r="B5" t="s">
        <v>95</v>
      </c>
      <c r="C5">
        <v>15</v>
      </c>
      <c r="D5">
        <v>17</v>
      </c>
      <c r="E5">
        <v>25000</v>
      </c>
      <c r="F5">
        <v>30.15</v>
      </c>
      <c r="G5">
        <f t="shared" si="0"/>
        <v>753.75</v>
      </c>
      <c r="K5" s="2"/>
      <c r="M5" s="2"/>
      <c r="R5">
        <v>7</v>
      </c>
      <c r="S5">
        <f t="shared" si="1"/>
        <v>3571.4285714285716</v>
      </c>
    </row>
    <row r="6" spans="2:28" x14ac:dyDescent="0.3">
      <c r="B6" t="s">
        <v>95</v>
      </c>
      <c r="C6">
        <v>17</v>
      </c>
      <c r="D6">
        <v>17</v>
      </c>
      <c r="E6">
        <v>8000</v>
      </c>
      <c r="F6">
        <v>34.15</v>
      </c>
      <c r="G6">
        <f t="shared" si="0"/>
        <v>273.2</v>
      </c>
      <c r="K6" s="2"/>
      <c r="M6" s="2"/>
      <c r="R6">
        <v>7</v>
      </c>
      <c r="S6">
        <f t="shared" si="1"/>
        <v>1142.8571428571429</v>
      </c>
    </row>
    <row r="7" spans="2:28" x14ac:dyDescent="0.3">
      <c r="B7" t="s">
        <v>95</v>
      </c>
      <c r="C7">
        <v>20</v>
      </c>
      <c r="D7">
        <v>10</v>
      </c>
      <c r="E7">
        <v>20000</v>
      </c>
      <c r="F7">
        <v>24.7</v>
      </c>
      <c r="G7">
        <f t="shared" si="0"/>
        <v>494</v>
      </c>
      <c r="R7">
        <v>12</v>
      </c>
      <c r="S7">
        <f t="shared" si="1"/>
        <v>1666.6666666666667</v>
      </c>
    </row>
    <row r="8" spans="2:28" x14ac:dyDescent="0.3">
      <c r="B8" t="s">
        <v>95</v>
      </c>
      <c r="C8">
        <v>22</v>
      </c>
      <c r="D8">
        <v>10</v>
      </c>
      <c r="E8">
        <v>20000</v>
      </c>
      <c r="F8">
        <v>24.349999999999998</v>
      </c>
      <c r="G8">
        <f t="shared" si="0"/>
        <v>486.99999999999994</v>
      </c>
      <c r="R8">
        <v>12</v>
      </c>
      <c r="S8">
        <f t="shared" si="1"/>
        <v>1666.6666666666667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3">
      <c r="B9" t="s">
        <v>95</v>
      </c>
      <c r="C9">
        <v>24</v>
      </c>
      <c r="D9">
        <v>10</v>
      </c>
      <c r="E9">
        <v>15000</v>
      </c>
      <c r="F9">
        <v>30.4</v>
      </c>
      <c r="G9">
        <f t="shared" si="0"/>
        <v>456</v>
      </c>
      <c r="R9">
        <v>12</v>
      </c>
      <c r="S9">
        <f t="shared" si="1"/>
        <v>1250</v>
      </c>
      <c r="U9" t="s">
        <v>47</v>
      </c>
      <c r="V9">
        <f t="shared" ref="V9:AB9" si="2">SUM(V12:V18)</f>
        <v>4287</v>
      </c>
      <c r="W9">
        <f t="shared" si="2"/>
        <v>3573</v>
      </c>
      <c r="X9">
        <f t="shared" si="2"/>
        <v>3573</v>
      </c>
      <c r="Y9">
        <f t="shared" si="2"/>
        <v>1191</v>
      </c>
      <c r="Z9">
        <f t="shared" si="2"/>
        <v>1667</v>
      </c>
      <c r="AA9">
        <f t="shared" si="2"/>
        <v>1667</v>
      </c>
      <c r="AB9">
        <f t="shared" si="2"/>
        <v>1251</v>
      </c>
    </row>
    <row r="10" spans="2:28" x14ac:dyDescent="0.3">
      <c r="E10" s="2">
        <f>SUM(E3:E9)</f>
        <v>143000</v>
      </c>
      <c r="G10" s="2">
        <f>SUM(G3:G9)</f>
        <v>3935.95</v>
      </c>
      <c r="U10" t="s">
        <v>11</v>
      </c>
      <c r="V10">
        <f>S3</f>
        <v>4285.7142857142853</v>
      </c>
      <c r="W10">
        <f>S4</f>
        <v>3571.4285714285716</v>
      </c>
      <c r="X10">
        <f>S5</f>
        <v>3571.4285714285716</v>
      </c>
      <c r="Y10">
        <f>S6</f>
        <v>1142.8571428571429</v>
      </c>
      <c r="Z10">
        <f>S7</f>
        <v>1666.6666666666667</v>
      </c>
      <c r="AA10">
        <f>S8</f>
        <v>1666.6666666666667</v>
      </c>
      <c r="AB10">
        <f>S9</f>
        <v>1250</v>
      </c>
    </row>
    <row r="11" spans="2:28" x14ac:dyDescent="0.3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3">
      <c r="B12" s="2">
        <f t="shared" ref="B12:B18" si="3">SUM(C12:K12)</f>
        <v>61</v>
      </c>
      <c r="C12">
        <v>13</v>
      </c>
      <c r="D12">
        <v>13</v>
      </c>
      <c r="E12">
        <v>13</v>
      </c>
      <c r="F12">
        <v>22</v>
      </c>
      <c r="M12">
        <v>3</v>
      </c>
      <c r="R12">
        <v>1</v>
      </c>
      <c r="U12" s="2">
        <v>1429</v>
      </c>
      <c r="V12">
        <f t="shared" ref="V12:AB12" si="4">$U$12*M12</f>
        <v>4287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1429</v>
      </c>
      <c r="AB12">
        <f t="shared" si="4"/>
        <v>0</v>
      </c>
    </row>
    <row r="13" spans="2:28" x14ac:dyDescent="0.3">
      <c r="B13" s="2">
        <f t="shared" si="3"/>
        <v>62</v>
      </c>
      <c r="C13">
        <v>14</v>
      </c>
      <c r="D13">
        <v>14</v>
      </c>
      <c r="E13">
        <v>14</v>
      </c>
      <c r="F13">
        <v>20</v>
      </c>
      <c r="N13">
        <v>3</v>
      </c>
      <c r="Q13">
        <v>1</v>
      </c>
      <c r="U13" s="2">
        <v>1191</v>
      </c>
      <c r="V13">
        <f t="shared" ref="V13:AB13" si="5">$U$13*M13</f>
        <v>0</v>
      </c>
      <c r="W13">
        <f t="shared" si="5"/>
        <v>3573</v>
      </c>
      <c r="X13">
        <f t="shared" si="5"/>
        <v>0</v>
      </c>
      <c r="Y13">
        <f t="shared" si="5"/>
        <v>0</v>
      </c>
      <c r="Z13">
        <f t="shared" si="5"/>
        <v>1191</v>
      </c>
      <c r="AA13">
        <f t="shared" si="5"/>
        <v>0</v>
      </c>
      <c r="AB13">
        <f t="shared" si="5"/>
        <v>0</v>
      </c>
    </row>
    <row r="14" spans="2:28" x14ac:dyDescent="0.3">
      <c r="B14" s="2">
        <f t="shared" si="3"/>
        <v>62</v>
      </c>
      <c r="C14">
        <v>15</v>
      </c>
      <c r="D14">
        <v>15</v>
      </c>
      <c r="E14">
        <v>15</v>
      </c>
      <c r="F14">
        <v>17</v>
      </c>
      <c r="O14">
        <v>3</v>
      </c>
      <c r="P14">
        <v>1</v>
      </c>
      <c r="U14" s="2">
        <v>1191</v>
      </c>
      <c r="V14">
        <f t="shared" ref="V14:AB14" si="6">$U$14*M14</f>
        <v>0</v>
      </c>
      <c r="W14">
        <f t="shared" si="6"/>
        <v>0</v>
      </c>
      <c r="X14">
        <f t="shared" si="6"/>
        <v>3573</v>
      </c>
      <c r="Y14">
        <f t="shared" si="6"/>
        <v>1191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3">
      <c r="B15" s="2">
        <f t="shared" si="3"/>
        <v>62</v>
      </c>
      <c r="C15">
        <v>17</v>
      </c>
      <c r="D15">
        <v>17</v>
      </c>
      <c r="E15">
        <v>14</v>
      </c>
      <c r="F15">
        <v>14</v>
      </c>
      <c r="N15">
        <v>2</v>
      </c>
      <c r="P15">
        <v>2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3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238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476</v>
      </c>
      <c r="AA16">
        <f t="shared" si="8"/>
        <v>238</v>
      </c>
      <c r="AB16">
        <f t="shared" si="8"/>
        <v>0</v>
      </c>
    </row>
    <row r="17" spans="2:28" x14ac:dyDescent="0.3">
      <c r="B17" s="2">
        <f t="shared" si="3"/>
        <v>61</v>
      </c>
      <c r="C17">
        <v>22</v>
      </c>
      <c r="D17">
        <v>22</v>
      </c>
      <c r="E17">
        <v>17</v>
      </c>
      <c r="P17">
        <v>1</v>
      </c>
      <c r="R17">
        <v>2</v>
      </c>
      <c r="U17" s="2">
        <v>0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</row>
    <row r="18" spans="2:28" x14ac:dyDescent="0.3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417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1251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62</v>
      </c>
      <c r="S21">
        <v>128</v>
      </c>
      <c r="U21">
        <f>SUM(U12:U17)</f>
        <v>4049</v>
      </c>
      <c r="V21">
        <v>0.55000000000000004</v>
      </c>
      <c r="W21">
        <f>V21*U21</f>
        <v>2226.9500000000003</v>
      </c>
    </row>
    <row r="22" spans="2:28" x14ac:dyDescent="0.3">
      <c r="B22" s="2" t="s">
        <v>97</v>
      </c>
      <c r="D22" s="2" t="s">
        <v>98</v>
      </c>
      <c r="R22">
        <v>72</v>
      </c>
      <c r="S22">
        <v>128</v>
      </c>
      <c r="U22">
        <f>U18</f>
        <v>417</v>
      </c>
      <c r="V22">
        <v>0.6</v>
      </c>
      <c r="W22">
        <f>V22*U22</f>
        <v>250.2</v>
      </c>
    </row>
    <row r="23" spans="2:28" x14ac:dyDescent="0.3">
      <c r="B23" s="2">
        <f>E10*3/1000</f>
        <v>429</v>
      </c>
      <c r="C23">
        <f>G10-W23-B23</f>
        <v>1029.7999999999997</v>
      </c>
      <c r="D23" s="2">
        <f>C23/2</f>
        <v>514.89999999999986</v>
      </c>
      <c r="W23">
        <f>SUM(W21:W22)</f>
        <v>2477.15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23"/>
  <sheetViews>
    <sheetView workbookViewId="0">
      <selection activeCell="E6" sqref="E6"/>
    </sheetView>
  </sheetViews>
  <sheetFormatPr defaultRowHeight="14.4" x14ac:dyDescent="0.3"/>
  <cols>
    <col min="2" max="2" width="9.33203125" bestFit="1" customWidth="1"/>
    <col min="3" max="3" width="9.88671875" customWidth="1"/>
    <col min="4" max="8" width="7.6640625" customWidth="1"/>
    <col min="9" max="9" width="9" bestFit="1" customWidth="1"/>
    <col min="10" max="20" width="7.6640625" customWidth="1"/>
    <col min="21" max="21" width="9.33203125" bestFit="1" customWidth="1"/>
    <col min="22" max="28" width="7.6640625" customWidth="1"/>
  </cols>
  <sheetData>
    <row r="1" spans="2:28" x14ac:dyDescent="0.3">
      <c r="B1" t="s">
        <v>94</v>
      </c>
      <c r="N1" t="s">
        <v>138</v>
      </c>
      <c r="O1" s="2" t="s">
        <v>30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I2" t="s">
        <v>16</v>
      </c>
      <c r="J2" t="s">
        <v>17</v>
      </c>
      <c r="K2" t="s">
        <v>136</v>
      </c>
      <c r="L2" t="s">
        <v>15</v>
      </c>
      <c r="M2" t="s">
        <v>137</v>
      </c>
      <c r="P2" s="17">
        <v>0.5</v>
      </c>
      <c r="S2" t="s">
        <v>64</v>
      </c>
    </row>
    <row r="3" spans="2:28" x14ac:dyDescent="0.3">
      <c r="B3" t="s">
        <v>95</v>
      </c>
      <c r="C3">
        <v>17</v>
      </c>
      <c r="D3">
        <v>24</v>
      </c>
      <c r="E3">
        <v>3000</v>
      </c>
      <c r="F3">
        <f>N3</f>
        <v>4.1782178217821785E-2</v>
      </c>
      <c r="G3">
        <f>F3*E3</f>
        <v>125.34653465346535</v>
      </c>
      <c r="I3">
        <f>C3*D3*E3</f>
        <v>1224000</v>
      </c>
      <c r="J3">
        <f>I3/$I$6</f>
        <v>0.50495049504950495</v>
      </c>
      <c r="K3">
        <f>$W$23*J3</f>
        <v>86.346534653465341</v>
      </c>
      <c r="L3">
        <f>K3/E3</f>
        <v>2.878217821782178E-2</v>
      </c>
      <c r="M3">
        <f>L3+0.003</f>
        <v>3.1782178217821783E-2</v>
      </c>
      <c r="N3">
        <f>M3+0.01</f>
        <v>4.1782178217821785E-2</v>
      </c>
      <c r="Q3">
        <f>S22/D3</f>
        <v>5</v>
      </c>
      <c r="R3">
        <v>5</v>
      </c>
      <c r="S3">
        <f t="shared" ref="S3:S9" si="0">E3/R3</f>
        <v>600</v>
      </c>
    </row>
    <row r="4" spans="2:28" x14ac:dyDescent="0.3">
      <c r="B4" t="s">
        <v>95</v>
      </c>
      <c r="C4">
        <v>20</v>
      </c>
      <c r="D4">
        <v>17</v>
      </c>
      <c r="E4">
        <v>2000</v>
      </c>
      <c r="F4">
        <f>N4</f>
        <v>3.6985148514851483E-2</v>
      </c>
      <c r="G4">
        <f>F4*E4</f>
        <v>73.970297029702962</v>
      </c>
      <c r="I4">
        <f>C4*D4*E4</f>
        <v>680000</v>
      </c>
      <c r="J4">
        <f>I4/$I$6</f>
        <v>0.28052805280528054</v>
      </c>
      <c r="K4">
        <f>$W$23*J4</f>
        <v>47.970297029702969</v>
      </c>
      <c r="L4">
        <f>K4/E4</f>
        <v>2.3985148514851486E-2</v>
      </c>
      <c r="M4">
        <f>L4+0.003</f>
        <v>2.6985148514851485E-2</v>
      </c>
      <c r="N4">
        <f>M4+0.01</f>
        <v>3.6985148514851483E-2</v>
      </c>
      <c r="Q4">
        <f>S22/D4</f>
        <v>7.0588235294117645</v>
      </c>
      <c r="R4">
        <v>7</v>
      </c>
      <c r="S4">
        <f t="shared" si="0"/>
        <v>285.71428571428572</v>
      </c>
    </row>
    <row r="5" spans="2:28" x14ac:dyDescent="0.3">
      <c r="B5" t="s">
        <v>95</v>
      </c>
      <c r="C5">
        <v>26</v>
      </c>
      <c r="D5">
        <v>10</v>
      </c>
      <c r="E5">
        <v>2000</v>
      </c>
      <c r="F5">
        <f>N5</f>
        <v>3.1341584158415842E-2</v>
      </c>
      <c r="G5">
        <f>F5*E5</f>
        <v>62.683168316831683</v>
      </c>
      <c r="I5">
        <f>C5*D5*E5</f>
        <v>520000</v>
      </c>
      <c r="J5">
        <f>I5/$I$6</f>
        <v>0.21452145214521451</v>
      </c>
      <c r="K5">
        <f>$W$23*J5</f>
        <v>36.683168316831683</v>
      </c>
      <c r="L5">
        <f>K5/E5</f>
        <v>1.8341584158415841E-2</v>
      </c>
      <c r="M5">
        <f>L5+0.003</f>
        <v>2.134158415841584E-2</v>
      </c>
      <c r="N5">
        <f>M5+0.01</f>
        <v>3.1341584158415842E-2</v>
      </c>
      <c r="Q5">
        <f>S22/D5</f>
        <v>12</v>
      </c>
      <c r="R5">
        <v>12</v>
      </c>
      <c r="S5">
        <f t="shared" si="0"/>
        <v>166.66666666666666</v>
      </c>
    </row>
    <row r="6" spans="2:28" x14ac:dyDescent="0.3">
      <c r="I6">
        <f>SUM(I3:I5)</f>
        <v>2424000</v>
      </c>
      <c r="J6">
        <f>SUM(J3:J5)</f>
        <v>1</v>
      </c>
      <c r="K6" s="2">
        <f>SUM(K3:K5)</f>
        <v>171</v>
      </c>
      <c r="M6" s="2">
        <f>E6*0.003</f>
        <v>0</v>
      </c>
      <c r="O6" s="2">
        <f>G6-K6-M6</f>
        <v>-171</v>
      </c>
      <c r="P6" s="2">
        <f>O6/2</f>
        <v>-85.5</v>
      </c>
      <c r="S6" t="e">
        <f t="shared" si="0"/>
        <v>#DIV/0!</v>
      </c>
    </row>
    <row r="7" spans="2:28" x14ac:dyDescent="0.3">
      <c r="S7" t="e">
        <f t="shared" si="0"/>
        <v>#DIV/0!</v>
      </c>
    </row>
    <row r="8" spans="2:28" x14ac:dyDescent="0.3">
      <c r="S8" t="e">
        <f t="shared" si="0"/>
        <v>#DIV/0!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3">
      <c r="S9" t="e">
        <f t="shared" si="0"/>
        <v>#DIV/0!</v>
      </c>
      <c r="U9" t="s">
        <v>47</v>
      </c>
      <c r="V9">
        <f t="shared" ref="V9:AB9" si="1">SUM(V12:V18)</f>
        <v>600</v>
      </c>
      <c r="W9">
        <f t="shared" si="1"/>
        <v>285</v>
      </c>
      <c r="X9">
        <f t="shared" si="1"/>
        <v>170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2:28" x14ac:dyDescent="0.3">
      <c r="E10" s="2">
        <f>SUM(E3:E9)</f>
        <v>7000</v>
      </c>
      <c r="G10" s="2">
        <f>SUM(G3:G9)</f>
        <v>262</v>
      </c>
      <c r="U10" t="s">
        <v>11</v>
      </c>
      <c r="V10">
        <f>S3</f>
        <v>600</v>
      </c>
      <c r="W10">
        <f>S4</f>
        <v>285.71428571428572</v>
      </c>
      <c r="X10">
        <f>S5</f>
        <v>166.66666666666666</v>
      </c>
      <c r="Y10" t="e">
        <f>S6</f>
        <v>#DIV/0!</v>
      </c>
      <c r="Z10" t="e">
        <f>S7</f>
        <v>#DIV/0!</v>
      </c>
      <c r="AA10" t="e">
        <f>S8</f>
        <v>#DIV/0!</v>
      </c>
      <c r="AB10" t="e">
        <f>S9</f>
        <v>#DIV/0!</v>
      </c>
    </row>
    <row r="11" spans="2:28" x14ac:dyDescent="0.3">
      <c r="B11" t="s">
        <v>96</v>
      </c>
      <c r="M11" s="2">
        <v>17</v>
      </c>
      <c r="N11" s="2">
        <v>20</v>
      </c>
      <c r="O11" s="2">
        <v>26</v>
      </c>
      <c r="U11" s="2" t="s">
        <v>7</v>
      </c>
      <c r="V11" s="2">
        <v>17</v>
      </c>
      <c r="W11" s="2">
        <v>20</v>
      </c>
      <c r="X11" s="2">
        <v>26</v>
      </c>
      <c r="Y11" s="2"/>
      <c r="Z11" s="2"/>
      <c r="AA11" s="2"/>
      <c r="AB11" s="2"/>
    </row>
    <row r="12" spans="2:28" x14ac:dyDescent="0.3">
      <c r="B12" s="2">
        <f t="shared" ref="B12:B18" si="2">SUM(C12:K12)</f>
        <v>71</v>
      </c>
      <c r="C12">
        <v>17</v>
      </c>
      <c r="D12">
        <v>17</v>
      </c>
      <c r="E12">
        <v>17</v>
      </c>
      <c r="F12">
        <v>20</v>
      </c>
      <c r="M12">
        <v>3</v>
      </c>
      <c r="N12">
        <v>1</v>
      </c>
      <c r="U12" s="2">
        <v>200</v>
      </c>
      <c r="V12">
        <f t="shared" ref="V12:AB12" si="3">$U$12*M12</f>
        <v>600</v>
      </c>
      <c r="W12">
        <f t="shared" si="3"/>
        <v>200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</row>
    <row r="13" spans="2:28" x14ac:dyDescent="0.3">
      <c r="B13" s="2">
        <f t="shared" si="2"/>
        <v>0</v>
      </c>
      <c r="U13" s="2">
        <v>0</v>
      </c>
      <c r="V13">
        <f t="shared" ref="V13:AB13" si="4">$U$13*M13</f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</row>
    <row r="14" spans="2:28" x14ac:dyDescent="0.3">
      <c r="B14" s="2">
        <f t="shared" si="2"/>
        <v>72</v>
      </c>
      <c r="C14">
        <v>26</v>
      </c>
      <c r="D14">
        <v>26</v>
      </c>
      <c r="E14">
        <v>20</v>
      </c>
      <c r="N14">
        <v>1</v>
      </c>
      <c r="O14">
        <v>2</v>
      </c>
      <c r="U14" s="2">
        <v>85</v>
      </c>
      <c r="V14">
        <f t="shared" ref="V14:AB14" si="5">$U$14*M14</f>
        <v>0</v>
      </c>
      <c r="W14">
        <f t="shared" si="5"/>
        <v>85</v>
      </c>
      <c r="X14">
        <f t="shared" si="5"/>
        <v>170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2:28" x14ac:dyDescent="0.3">
      <c r="B15" s="2">
        <f t="shared" si="2"/>
        <v>0</v>
      </c>
      <c r="U15" s="2">
        <v>0</v>
      </c>
      <c r="V15">
        <f t="shared" ref="V15:AB15" si="6">$U$15*M15</f>
        <v>0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2:28" x14ac:dyDescent="0.3">
      <c r="B16" s="2">
        <f t="shared" si="2"/>
        <v>0</v>
      </c>
      <c r="U16" s="2">
        <v>0</v>
      </c>
      <c r="V16">
        <f t="shared" ref="V16:AB16" si="7">$U$16*M16</f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2:28" x14ac:dyDescent="0.3">
      <c r="B17" s="2">
        <f t="shared" si="2"/>
        <v>0</v>
      </c>
      <c r="U17" s="2">
        <v>0</v>
      </c>
      <c r="V17">
        <f t="shared" ref="V17:AB17" si="8">$U$17*M17</f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2:28" x14ac:dyDescent="0.3">
      <c r="B18" s="2">
        <f t="shared" si="2"/>
        <v>0</v>
      </c>
      <c r="U18" s="2">
        <v>0</v>
      </c>
      <c r="V18">
        <f t="shared" ref="V18:AB18" si="9">$U$18*M18</f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61</v>
      </c>
      <c r="S21">
        <v>120</v>
      </c>
      <c r="U21">
        <f>U13</f>
        <v>0</v>
      </c>
      <c r="V21">
        <v>0.55000000000000004</v>
      </c>
      <c r="W21">
        <f>V21*U21</f>
        <v>0</v>
      </c>
    </row>
    <row r="22" spans="2:28" x14ac:dyDescent="0.3">
      <c r="B22" s="2" t="s">
        <v>97</v>
      </c>
      <c r="D22" s="2" t="s">
        <v>98</v>
      </c>
      <c r="R22">
        <v>72</v>
      </c>
      <c r="S22">
        <v>120</v>
      </c>
      <c r="U22">
        <f>U12+U14</f>
        <v>285</v>
      </c>
      <c r="V22">
        <v>0.6</v>
      </c>
      <c r="W22">
        <f>V22*U22</f>
        <v>171</v>
      </c>
    </row>
    <row r="23" spans="2:28" x14ac:dyDescent="0.3">
      <c r="B23" s="2">
        <f>E10*3/1000</f>
        <v>21</v>
      </c>
      <c r="C23">
        <f>G10-W23-B23</f>
        <v>70</v>
      </c>
      <c r="D23" s="2">
        <f>C23/2</f>
        <v>35</v>
      </c>
      <c r="W23">
        <f>SUM(W21:W22)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3"/>
  <sheetViews>
    <sheetView workbookViewId="0">
      <selection activeCell="G13" sqref="G13"/>
    </sheetView>
  </sheetViews>
  <sheetFormatPr defaultRowHeight="14.4" x14ac:dyDescent="0.3"/>
  <cols>
    <col min="2" max="2" width="9.33203125" bestFit="1" customWidth="1"/>
    <col min="3" max="3" width="9.88671875" customWidth="1"/>
    <col min="4" max="20" width="7.6640625" customWidth="1"/>
    <col min="21" max="21" width="9.33203125" bestFit="1" customWidth="1"/>
    <col min="22" max="28" width="7.6640625" customWidth="1"/>
  </cols>
  <sheetData>
    <row r="1" spans="2:28" x14ac:dyDescent="0.3">
      <c r="B1" t="s">
        <v>94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3">
      <c r="B3" t="s">
        <v>95</v>
      </c>
      <c r="C3">
        <v>13</v>
      </c>
      <c r="D3">
        <v>17</v>
      </c>
      <c r="E3">
        <v>0</v>
      </c>
      <c r="F3">
        <v>25.4</v>
      </c>
      <c r="G3">
        <f t="shared" ref="G3:G9" si="0">F3*E3/1000</f>
        <v>0</v>
      </c>
      <c r="R3">
        <v>7</v>
      </c>
      <c r="S3">
        <f t="shared" ref="S3:S9" si="1">E3/R3</f>
        <v>0</v>
      </c>
    </row>
    <row r="4" spans="2:28" x14ac:dyDescent="0.3">
      <c r="B4" t="s">
        <v>95</v>
      </c>
      <c r="C4">
        <v>14</v>
      </c>
      <c r="D4">
        <v>17</v>
      </c>
      <c r="E4">
        <v>0</v>
      </c>
      <c r="F4">
        <v>28.4</v>
      </c>
      <c r="G4">
        <f t="shared" si="0"/>
        <v>0</v>
      </c>
      <c r="K4" s="2"/>
      <c r="M4" s="2"/>
      <c r="R4">
        <v>7</v>
      </c>
      <c r="S4">
        <f t="shared" si="1"/>
        <v>0</v>
      </c>
    </row>
    <row r="5" spans="2:28" x14ac:dyDescent="0.3">
      <c r="B5" t="s">
        <v>95</v>
      </c>
      <c r="C5">
        <v>15</v>
      </c>
      <c r="D5">
        <v>17</v>
      </c>
      <c r="E5">
        <v>0</v>
      </c>
      <c r="F5">
        <v>30.15</v>
      </c>
      <c r="G5">
        <f t="shared" si="0"/>
        <v>0</v>
      </c>
      <c r="K5" s="2"/>
      <c r="M5" s="2"/>
      <c r="R5">
        <v>7</v>
      </c>
      <c r="S5">
        <f t="shared" si="1"/>
        <v>0</v>
      </c>
    </row>
    <row r="6" spans="2:28" x14ac:dyDescent="0.3">
      <c r="B6" t="s">
        <v>95</v>
      </c>
      <c r="C6">
        <v>17</v>
      </c>
      <c r="D6">
        <v>17</v>
      </c>
      <c r="E6">
        <v>0</v>
      </c>
      <c r="F6">
        <v>34.15</v>
      </c>
      <c r="G6">
        <f t="shared" si="0"/>
        <v>0</v>
      </c>
      <c r="K6" s="2"/>
      <c r="M6" s="2"/>
      <c r="R6">
        <v>7</v>
      </c>
      <c r="S6">
        <f t="shared" si="1"/>
        <v>0</v>
      </c>
    </row>
    <row r="7" spans="2:28" x14ac:dyDescent="0.3">
      <c r="B7" t="s">
        <v>95</v>
      </c>
      <c r="C7">
        <v>20</v>
      </c>
      <c r="D7">
        <v>10</v>
      </c>
      <c r="E7">
        <v>10000</v>
      </c>
      <c r="F7">
        <v>24.7</v>
      </c>
      <c r="G7">
        <f t="shared" si="0"/>
        <v>247</v>
      </c>
      <c r="R7">
        <v>12</v>
      </c>
      <c r="S7">
        <f t="shared" si="1"/>
        <v>833.33333333333337</v>
      </c>
    </row>
    <row r="8" spans="2:28" x14ac:dyDescent="0.3">
      <c r="B8" t="s">
        <v>95</v>
      </c>
      <c r="C8">
        <v>22</v>
      </c>
      <c r="D8">
        <v>10</v>
      </c>
      <c r="E8">
        <v>15000</v>
      </c>
      <c r="F8">
        <v>24.349999999999998</v>
      </c>
      <c r="G8">
        <f t="shared" si="0"/>
        <v>365.24999999999994</v>
      </c>
      <c r="R8">
        <v>12</v>
      </c>
      <c r="S8">
        <f t="shared" si="1"/>
        <v>1250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3">
      <c r="B9" t="s">
        <v>95</v>
      </c>
      <c r="C9">
        <v>24</v>
      </c>
      <c r="D9">
        <v>10</v>
      </c>
      <c r="E9">
        <v>10000</v>
      </c>
      <c r="F9">
        <v>30.4</v>
      </c>
      <c r="G9">
        <f t="shared" si="0"/>
        <v>304</v>
      </c>
      <c r="R9">
        <v>12</v>
      </c>
      <c r="S9">
        <f t="shared" si="1"/>
        <v>833.33333333333337</v>
      </c>
      <c r="U9" t="s">
        <v>47</v>
      </c>
      <c r="V9">
        <f t="shared" ref="V9:AB9" si="2">SUM(V12:V18)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834</v>
      </c>
      <c r="AA9">
        <f t="shared" si="2"/>
        <v>1251</v>
      </c>
      <c r="AB9">
        <f t="shared" si="2"/>
        <v>834</v>
      </c>
    </row>
    <row r="10" spans="2:28" x14ac:dyDescent="0.3">
      <c r="E10" s="2">
        <f>SUM(E3:E9)</f>
        <v>35000</v>
      </c>
      <c r="G10" s="2">
        <f>SUM(G3:G9)</f>
        <v>916.25</v>
      </c>
      <c r="U10" t="s">
        <v>11</v>
      </c>
      <c r="V10">
        <f>S3</f>
        <v>0</v>
      </c>
      <c r="W10">
        <f>S4</f>
        <v>0</v>
      </c>
      <c r="X10">
        <f>S5</f>
        <v>0</v>
      </c>
      <c r="Y10">
        <f>S6</f>
        <v>0</v>
      </c>
      <c r="Z10">
        <f>S7</f>
        <v>833.33333333333337</v>
      </c>
      <c r="AA10">
        <f>S8</f>
        <v>1250</v>
      </c>
      <c r="AB10">
        <f>S9</f>
        <v>833.33333333333337</v>
      </c>
    </row>
    <row r="11" spans="2:28" x14ac:dyDescent="0.3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3">
      <c r="B12" s="2">
        <f t="shared" ref="B12:B18" si="3">SUM(C12:K12)</f>
        <v>0</v>
      </c>
      <c r="U12" s="2">
        <v>0</v>
      </c>
      <c r="V12">
        <f t="shared" ref="V12:AB12" si="4">$U$12*M12</f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</row>
    <row r="13" spans="2:28" x14ac:dyDescent="0.3">
      <c r="B13" s="2">
        <f t="shared" si="3"/>
        <v>0</v>
      </c>
      <c r="U13" s="2">
        <v>0</v>
      </c>
      <c r="V13">
        <f t="shared" ref="V13:AB13" si="5">$U$13*M13</f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</row>
    <row r="14" spans="2:28" x14ac:dyDescent="0.3">
      <c r="B14" s="2">
        <f t="shared" si="3"/>
        <v>0</v>
      </c>
      <c r="U14" s="2">
        <v>0</v>
      </c>
      <c r="V14">
        <f t="shared" ref="V14:AB14" si="6">$U$14*M14</f>
        <v>0</v>
      </c>
      <c r="W14">
        <f t="shared" si="6"/>
        <v>0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3">
      <c r="B15" s="2">
        <f t="shared" si="3"/>
        <v>0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3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417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834</v>
      </c>
      <c r="AA16">
        <f t="shared" si="8"/>
        <v>417</v>
      </c>
      <c r="AB16">
        <f t="shared" si="8"/>
        <v>0</v>
      </c>
    </row>
    <row r="17" spans="2:28" x14ac:dyDescent="0.3">
      <c r="B17" s="2">
        <f t="shared" si="3"/>
        <v>68</v>
      </c>
      <c r="C17">
        <v>22</v>
      </c>
      <c r="D17">
        <v>22</v>
      </c>
      <c r="E17">
        <v>24</v>
      </c>
      <c r="R17">
        <v>2</v>
      </c>
      <c r="S17">
        <v>1</v>
      </c>
      <c r="U17" s="2">
        <v>417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834</v>
      </c>
      <c r="AB17">
        <f t="shared" si="9"/>
        <v>417</v>
      </c>
    </row>
    <row r="18" spans="2:28" x14ac:dyDescent="0.3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139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417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62</v>
      </c>
      <c r="S21">
        <v>128</v>
      </c>
      <c r="U21">
        <f>U16</f>
        <v>417</v>
      </c>
      <c r="V21">
        <v>0.55000000000000004</v>
      </c>
      <c r="W21">
        <f>V21*U21</f>
        <v>229.35000000000002</v>
      </c>
    </row>
    <row r="22" spans="2:28" x14ac:dyDescent="0.3">
      <c r="B22" s="2" t="s">
        <v>97</v>
      </c>
      <c r="D22" s="2" t="s">
        <v>98</v>
      </c>
      <c r="R22">
        <v>72</v>
      </c>
      <c r="S22">
        <v>128</v>
      </c>
      <c r="U22">
        <f>SUM(U17:U18)</f>
        <v>556</v>
      </c>
      <c r="V22">
        <v>0.6</v>
      </c>
      <c r="W22">
        <f>V22*U22</f>
        <v>333.59999999999997</v>
      </c>
    </row>
    <row r="23" spans="2:28" x14ac:dyDescent="0.3">
      <c r="B23" s="2">
        <f>E10*3/1000</f>
        <v>105</v>
      </c>
      <c r="C23">
        <f>G10-W23-B23</f>
        <v>248.29999999999995</v>
      </c>
      <c r="D23" s="2">
        <f>C23/2</f>
        <v>124.14999999999998</v>
      </c>
      <c r="W23">
        <f>SUM(W21:W22)</f>
        <v>562.95000000000005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M11"/>
  <sheetViews>
    <sheetView workbookViewId="0">
      <selection activeCell="K10" sqref="K10"/>
    </sheetView>
  </sheetViews>
  <sheetFormatPr defaultRowHeight="14.4" x14ac:dyDescent="0.3"/>
  <cols>
    <col min="10" max="10" width="9.6640625" bestFit="1" customWidth="1"/>
  </cols>
  <sheetData>
    <row r="3" spans="3:13" x14ac:dyDescent="0.3">
      <c r="C3">
        <v>115</v>
      </c>
      <c r="D3">
        <v>115</v>
      </c>
      <c r="E3">
        <v>1.06</v>
      </c>
    </row>
    <row r="4" spans="3:13" x14ac:dyDescent="0.3">
      <c r="C4">
        <v>18</v>
      </c>
      <c r="D4">
        <v>23</v>
      </c>
    </row>
    <row r="5" spans="3:13" x14ac:dyDescent="0.3">
      <c r="C5">
        <f>C3/C4</f>
        <v>6.3888888888888893</v>
      </c>
      <c r="D5">
        <f>D3/D4</f>
        <v>5</v>
      </c>
    </row>
    <row r="7" spans="3:13" x14ac:dyDescent="0.3">
      <c r="C7">
        <v>6</v>
      </c>
      <c r="D7">
        <v>5</v>
      </c>
      <c r="E7">
        <f>C7*D7</f>
        <v>30</v>
      </c>
      <c r="G7">
        <v>1000</v>
      </c>
      <c r="H7">
        <f>G7/E7</f>
        <v>33.333333333333336</v>
      </c>
      <c r="J7">
        <v>34</v>
      </c>
      <c r="K7">
        <f>E3*J7</f>
        <v>36.04</v>
      </c>
      <c r="M7">
        <f>J7*E7</f>
        <v>1020</v>
      </c>
    </row>
    <row r="9" spans="3:13" x14ac:dyDescent="0.3">
      <c r="J9" t="s">
        <v>6</v>
      </c>
      <c r="K9">
        <v>38</v>
      </c>
    </row>
    <row r="10" spans="3:13" x14ac:dyDescent="0.3">
      <c r="J10" t="s">
        <v>5</v>
      </c>
      <c r="K10">
        <v>41</v>
      </c>
    </row>
    <row r="11" spans="3:13" x14ac:dyDescent="0.3">
      <c r="J11" t="s">
        <v>4</v>
      </c>
      <c r="K11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21"/>
  <sheetViews>
    <sheetView workbookViewId="0">
      <selection activeCell="Q21" sqref="Q21"/>
    </sheetView>
  </sheetViews>
  <sheetFormatPr defaultRowHeight="14.4" x14ac:dyDescent="0.3"/>
  <cols>
    <col min="2" max="2" width="7.6640625" bestFit="1" customWidth="1"/>
    <col min="3" max="3" width="4" bestFit="1" customWidth="1"/>
    <col min="4" max="4" width="6" bestFit="1" customWidth="1"/>
    <col min="5" max="5" width="4" bestFit="1" customWidth="1"/>
    <col min="6" max="7" width="3" bestFit="1" customWidth="1"/>
    <col min="8" max="8" width="8" customWidth="1"/>
    <col min="9" max="9" width="3" bestFit="1" customWidth="1"/>
    <col min="10" max="10" width="10.6640625" customWidth="1"/>
    <col min="11" max="11" width="5" bestFit="1" customWidth="1"/>
    <col min="12" max="12" width="6" bestFit="1" customWidth="1"/>
    <col min="13" max="13" width="8" bestFit="1" customWidth="1"/>
    <col min="17" max="17" width="5.6640625" bestFit="1" customWidth="1"/>
    <col min="18" max="18" width="6.109375" bestFit="1" customWidth="1"/>
    <col min="19" max="19" width="5.6640625" customWidth="1"/>
    <col min="20" max="21" width="4" bestFit="1" customWidth="1"/>
  </cols>
  <sheetData>
    <row r="1" spans="2:21" x14ac:dyDescent="0.3">
      <c r="E1" t="s">
        <v>42</v>
      </c>
      <c r="Q1" t="s">
        <v>6</v>
      </c>
      <c r="R1" t="s">
        <v>44</v>
      </c>
      <c r="S1" t="s">
        <v>45</v>
      </c>
    </row>
    <row r="2" spans="2:21" x14ac:dyDescent="0.3">
      <c r="B2" t="s">
        <v>36</v>
      </c>
      <c r="E2">
        <f>O20</f>
        <v>715</v>
      </c>
      <c r="J2">
        <v>15</v>
      </c>
      <c r="K2">
        <v>18</v>
      </c>
      <c r="L2">
        <v>5000</v>
      </c>
      <c r="M2">
        <f>J2*K2*L2</f>
        <v>1350000</v>
      </c>
      <c r="N2">
        <f>M2/$M$5</f>
        <v>0.23076923076923078</v>
      </c>
      <c r="O2">
        <f>$E$3*N2</f>
        <v>103.95</v>
      </c>
      <c r="P2">
        <f>O2/L2*1000</f>
        <v>20.79</v>
      </c>
      <c r="Q2">
        <f>P2+2</f>
        <v>22.79</v>
      </c>
      <c r="R2">
        <f t="shared" ref="R2:S4" si="0">Q2+4</f>
        <v>26.79</v>
      </c>
      <c r="S2">
        <f t="shared" si="0"/>
        <v>30.79</v>
      </c>
    </row>
    <row r="3" spans="2:21" x14ac:dyDescent="0.3">
      <c r="E3">
        <f>E2*D5</f>
        <v>450.45</v>
      </c>
      <c r="J3">
        <v>16</v>
      </c>
      <c r="K3">
        <v>18</v>
      </c>
      <c r="L3">
        <v>10000</v>
      </c>
      <c r="M3">
        <f>J3*K3*L3</f>
        <v>2880000</v>
      </c>
      <c r="N3">
        <f>M3/$M$5</f>
        <v>0.49230769230769234</v>
      </c>
      <c r="O3">
        <f>$E$3*N3</f>
        <v>221.76000000000002</v>
      </c>
      <c r="P3">
        <f>O3/L3*1000</f>
        <v>22.176000000000002</v>
      </c>
      <c r="Q3">
        <f>P3+2</f>
        <v>24.176000000000002</v>
      </c>
      <c r="R3">
        <f t="shared" si="0"/>
        <v>28.176000000000002</v>
      </c>
      <c r="S3">
        <f t="shared" si="0"/>
        <v>32.176000000000002</v>
      </c>
    </row>
    <row r="4" spans="2:21" x14ac:dyDescent="0.3">
      <c r="B4" t="s">
        <v>37</v>
      </c>
      <c r="E4" t="s">
        <v>43</v>
      </c>
      <c r="J4">
        <v>18</v>
      </c>
      <c r="K4">
        <v>18</v>
      </c>
      <c r="L4">
        <v>5000</v>
      </c>
      <c r="M4">
        <f>J4*K4*L4</f>
        <v>1620000</v>
      </c>
      <c r="N4">
        <f>M4/$M$5</f>
        <v>0.27692307692307694</v>
      </c>
      <c r="O4">
        <f>$E$3*N4</f>
        <v>124.74000000000001</v>
      </c>
      <c r="P4">
        <f>O4/L4*1000</f>
        <v>24.948</v>
      </c>
      <c r="Q4">
        <f>P4+2</f>
        <v>26.948</v>
      </c>
      <c r="R4">
        <f t="shared" si="0"/>
        <v>30.948</v>
      </c>
      <c r="S4">
        <f t="shared" si="0"/>
        <v>34.948</v>
      </c>
    </row>
    <row r="5" spans="2:21" x14ac:dyDescent="0.3">
      <c r="B5">
        <v>72</v>
      </c>
      <c r="C5">
        <v>126</v>
      </c>
      <c r="D5">
        <v>0.63</v>
      </c>
      <c r="M5">
        <f>SUM(M2:M4)</f>
        <v>5850000</v>
      </c>
      <c r="N5">
        <f>SUM(N2:N4)</f>
        <v>1</v>
      </c>
      <c r="O5">
        <f>SUM(O2:O4)</f>
        <v>450.45000000000005</v>
      </c>
    </row>
    <row r="7" spans="2:21" s="1" customFormat="1" ht="45" customHeight="1" x14ac:dyDescent="0.3">
      <c r="B7" s="1" t="s">
        <v>38</v>
      </c>
      <c r="H7" s="1" t="s">
        <v>24</v>
      </c>
      <c r="J7" s="1" t="s">
        <v>40</v>
      </c>
    </row>
    <row r="8" spans="2:21" x14ac:dyDescent="0.3">
      <c r="B8">
        <v>15</v>
      </c>
      <c r="C8">
        <v>18</v>
      </c>
      <c r="D8">
        <v>5000</v>
      </c>
      <c r="H8">
        <f>$C$5/C8</f>
        <v>7</v>
      </c>
      <c r="J8">
        <f>D8/H8</f>
        <v>714.28571428571433</v>
      </c>
      <c r="K8">
        <v>715</v>
      </c>
      <c r="O8" t="s">
        <v>41</v>
      </c>
      <c r="Q8">
        <f>Q12-Q10</f>
        <v>0</v>
      </c>
      <c r="U8">
        <f>U12-U10</f>
        <v>0</v>
      </c>
    </row>
    <row r="9" spans="2:21" x14ac:dyDescent="0.3">
      <c r="B9">
        <v>16</v>
      </c>
      <c r="C9">
        <v>18</v>
      </c>
      <c r="D9">
        <v>10000</v>
      </c>
      <c r="H9">
        <f>$C$5/C9</f>
        <v>7</v>
      </c>
      <c r="J9">
        <f>D9/H9</f>
        <v>1428.5714285714287</v>
      </c>
      <c r="K9">
        <v>1429</v>
      </c>
    </row>
    <row r="10" spans="2:21" x14ac:dyDescent="0.3">
      <c r="B10">
        <v>18</v>
      </c>
      <c r="C10">
        <v>18</v>
      </c>
      <c r="D10">
        <v>5000</v>
      </c>
      <c r="H10">
        <f>$C$5/C10</f>
        <v>7</v>
      </c>
      <c r="J10">
        <f>D10/H10</f>
        <v>714.28571428571433</v>
      </c>
      <c r="K10">
        <v>715</v>
      </c>
      <c r="O10" t="s">
        <v>11</v>
      </c>
      <c r="R10">
        <f>K8</f>
        <v>715</v>
      </c>
      <c r="S10">
        <f>K9</f>
        <v>1429</v>
      </c>
      <c r="T10">
        <f>K10</f>
        <v>715</v>
      </c>
    </row>
    <row r="12" spans="2:21" x14ac:dyDescent="0.3">
      <c r="B12" t="s">
        <v>39</v>
      </c>
      <c r="O12" t="s">
        <v>37</v>
      </c>
      <c r="Q12">
        <f>SUM(Q16:Q18)</f>
        <v>0</v>
      </c>
      <c r="R12">
        <f>SUM(R16:R18)</f>
        <v>715</v>
      </c>
      <c r="S12">
        <f>SUM(S16:S18)</f>
        <v>1430</v>
      </c>
      <c r="T12">
        <f>SUM(T16:T18)</f>
        <v>715</v>
      </c>
      <c r="U12">
        <f>SUM(U16:U18)</f>
        <v>0</v>
      </c>
    </row>
    <row r="14" spans="2:21" x14ac:dyDescent="0.3">
      <c r="I14">
        <v>12</v>
      </c>
      <c r="J14">
        <v>15</v>
      </c>
      <c r="K14">
        <v>16</v>
      </c>
      <c r="L14">
        <v>18</v>
      </c>
      <c r="M14">
        <v>24</v>
      </c>
      <c r="R14">
        <v>15</v>
      </c>
      <c r="S14">
        <v>16</v>
      </c>
      <c r="T14">
        <v>18</v>
      </c>
    </row>
    <row r="16" spans="2:21" x14ac:dyDescent="0.3">
      <c r="B16">
        <f>SUM(C16:G16)</f>
        <v>72</v>
      </c>
      <c r="C16">
        <v>20</v>
      </c>
      <c r="D16">
        <v>20</v>
      </c>
      <c r="E16">
        <v>16</v>
      </c>
      <c r="F16">
        <v>16</v>
      </c>
      <c r="Q16">
        <f>$O$16*I16</f>
        <v>0</v>
      </c>
      <c r="R16">
        <f>$O$16*J16</f>
        <v>0</v>
      </c>
      <c r="S16">
        <f>$O$16*K16</f>
        <v>0</v>
      </c>
      <c r="T16">
        <f>$O$16*L16</f>
        <v>0</v>
      </c>
      <c r="U16">
        <f>$O$16*M16</f>
        <v>0</v>
      </c>
    </row>
    <row r="17" spans="2:21" x14ac:dyDescent="0.3">
      <c r="B17">
        <f>SUM(C17:G17)</f>
        <v>65</v>
      </c>
      <c r="C17">
        <v>18</v>
      </c>
      <c r="D17">
        <v>16</v>
      </c>
      <c r="E17">
        <v>16</v>
      </c>
      <c r="F17">
        <v>15</v>
      </c>
      <c r="J17">
        <v>1</v>
      </c>
      <c r="K17">
        <v>2</v>
      </c>
      <c r="L17">
        <v>1</v>
      </c>
      <c r="O17">
        <v>715</v>
      </c>
      <c r="Q17">
        <f>$O$17*I17</f>
        <v>0</v>
      </c>
      <c r="R17">
        <f>$O$17*J17</f>
        <v>715</v>
      </c>
      <c r="S17">
        <f>$O$17*K17</f>
        <v>1430</v>
      </c>
      <c r="T17">
        <f>$O$17*L17</f>
        <v>715</v>
      </c>
      <c r="U17">
        <f>$O$17*M17</f>
        <v>0</v>
      </c>
    </row>
    <row r="18" spans="2:21" x14ac:dyDescent="0.3">
      <c r="B18">
        <f>SUM(C18:G18)</f>
        <v>68</v>
      </c>
      <c r="C18">
        <v>18</v>
      </c>
      <c r="D18">
        <v>18</v>
      </c>
      <c r="E18">
        <v>16</v>
      </c>
      <c r="F18">
        <v>16</v>
      </c>
      <c r="Q18">
        <f>$O$18*I18</f>
        <v>0</v>
      </c>
      <c r="R18">
        <f>$O$18*J18</f>
        <v>0</v>
      </c>
      <c r="S18">
        <f>$O$18*K18</f>
        <v>0</v>
      </c>
      <c r="T18">
        <f>$O$18*L18</f>
        <v>0</v>
      </c>
      <c r="U18">
        <f>$O$18*M18</f>
        <v>0</v>
      </c>
    </row>
    <row r="19" spans="2:21" x14ac:dyDescent="0.3">
      <c r="B19">
        <f>SUM(C19:G19)</f>
        <v>62</v>
      </c>
      <c r="C19">
        <v>16</v>
      </c>
      <c r="D19">
        <v>16</v>
      </c>
      <c r="E19">
        <v>15</v>
      </c>
      <c r="F19">
        <v>15</v>
      </c>
    </row>
    <row r="20" spans="2:21" x14ac:dyDescent="0.3">
      <c r="O20">
        <f>SUM(O16:O19)</f>
        <v>715</v>
      </c>
    </row>
    <row r="21" spans="2:21" x14ac:dyDescent="0.3">
      <c r="O21" t="s">
        <v>42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Q27"/>
  <sheetViews>
    <sheetView topLeftCell="B1" workbookViewId="0">
      <selection activeCell="N12" sqref="N12"/>
    </sheetView>
  </sheetViews>
  <sheetFormatPr defaultRowHeight="14.4" x14ac:dyDescent="0.3"/>
  <cols>
    <col min="14" max="14" width="23.6640625" bestFit="1" customWidth="1"/>
    <col min="15" max="15" width="10.109375" bestFit="1" customWidth="1"/>
  </cols>
  <sheetData>
    <row r="1" spans="3:17" x14ac:dyDescent="0.3">
      <c r="G1" t="s">
        <v>24</v>
      </c>
      <c r="J1" t="s">
        <v>49</v>
      </c>
    </row>
    <row r="2" spans="3:17" x14ac:dyDescent="0.3">
      <c r="C2">
        <v>62</v>
      </c>
      <c r="D2">
        <v>126</v>
      </c>
      <c r="E2">
        <v>0.56999999999999995</v>
      </c>
      <c r="G2">
        <f>$D$2/D5</f>
        <v>7</v>
      </c>
      <c r="I2">
        <f>SUM(H15)</f>
        <v>715</v>
      </c>
      <c r="J2">
        <f>I2*E2</f>
        <v>407.54999999999995</v>
      </c>
    </row>
    <row r="3" spans="3:17" x14ac:dyDescent="0.3">
      <c r="C3">
        <v>72</v>
      </c>
      <c r="D3">
        <v>126</v>
      </c>
      <c r="E3">
        <v>0.63</v>
      </c>
      <c r="G3">
        <f>$D$2/D6</f>
        <v>7</v>
      </c>
      <c r="I3">
        <f>SUM(H16:H17)</f>
        <v>835</v>
      </c>
      <c r="J3">
        <f>I3*E3</f>
        <v>526.04999999999995</v>
      </c>
    </row>
    <row r="4" spans="3:17" x14ac:dyDescent="0.3">
      <c r="G4" t="s">
        <v>46</v>
      </c>
      <c r="J4" s="2">
        <f>SUM(J2:J3)</f>
        <v>933.59999999999991</v>
      </c>
      <c r="K4" t="s">
        <v>16</v>
      </c>
      <c r="L4" t="s">
        <v>17</v>
      </c>
      <c r="M4" t="s">
        <v>50</v>
      </c>
      <c r="N4" t="s">
        <v>51</v>
      </c>
      <c r="O4" t="s">
        <v>28</v>
      </c>
      <c r="P4" t="s">
        <v>52</v>
      </c>
      <c r="Q4" t="s">
        <v>53</v>
      </c>
    </row>
    <row r="5" spans="3:17" x14ac:dyDescent="0.3">
      <c r="C5">
        <v>15</v>
      </c>
      <c r="D5">
        <v>18</v>
      </c>
      <c r="E5">
        <v>10000</v>
      </c>
      <c r="G5">
        <f>E5/$G$2</f>
        <v>1428.5714285714287</v>
      </c>
      <c r="H5">
        <v>1429</v>
      </c>
      <c r="K5">
        <f>C5*D5*E5</f>
        <v>2700000</v>
      </c>
      <c r="L5">
        <f>K5/$K$8</f>
        <v>0.23076923076923078</v>
      </c>
      <c r="M5">
        <f>$J$4*L5</f>
        <v>215.44615384615383</v>
      </c>
      <c r="N5">
        <f>M5/E5*1000</f>
        <v>21.544615384615383</v>
      </c>
      <c r="O5">
        <f>N5+2</f>
        <v>23.544615384615383</v>
      </c>
      <c r="P5">
        <f t="shared" ref="P5:Q7" si="0">O5+4</f>
        <v>27.544615384615383</v>
      </c>
      <c r="Q5">
        <f t="shared" si="0"/>
        <v>31.544615384615383</v>
      </c>
    </row>
    <row r="6" spans="3:17" x14ac:dyDescent="0.3">
      <c r="C6">
        <v>16</v>
      </c>
      <c r="D6">
        <v>18</v>
      </c>
      <c r="E6">
        <v>20000</v>
      </c>
      <c r="G6">
        <f>E6/$G$2</f>
        <v>2857.1428571428573</v>
      </c>
      <c r="H6">
        <v>2858</v>
      </c>
      <c r="K6">
        <f>C6*D6*E6</f>
        <v>5760000</v>
      </c>
      <c r="L6">
        <f>K6/$K$8</f>
        <v>0.49230769230769234</v>
      </c>
      <c r="M6">
        <f>$J$4*L6</f>
        <v>459.61846153846153</v>
      </c>
      <c r="N6">
        <f>M6/E6*1000</f>
        <v>22.980923076923077</v>
      </c>
      <c r="O6">
        <f>N6+2</f>
        <v>24.980923076923077</v>
      </c>
      <c r="P6">
        <f t="shared" si="0"/>
        <v>28.980923076923077</v>
      </c>
      <c r="Q6">
        <f t="shared" si="0"/>
        <v>32.980923076923077</v>
      </c>
    </row>
    <row r="7" spans="3:17" x14ac:dyDescent="0.3">
      <c r="C7">
        <v>18</v>
      </c>
      <c r="D7">
        <v>18</v>
      </c>
      <c r="E7">
        <v>10000</v>
      </c>
      <c r="G7">
        <f>E7/$G$2</f>
        <v>1428.5714285714287</v>
      </c>
      <c r="H7">
        <v>1429</v>
      </c>
      <c r="K7">
        <f>C7*D7*E7</f>
        <v>3240000</v>
      </c>
      <c r="L7">
        <f>K7/$K$8</f>
        <v>0.27692307692307694</v>
      </c>
      <c r="M7">
        <f>$J$4*L7</f>
        <v>258.5353846153846</v>
      </c>
      <c r="N7">
        <f>M7/E7*1000</f>
        <v>25.853538461538459</v>
      </c>
      <c r="O7">
        <f>N7+2</f>
        <v>27.853538461538459</v>
      </c>
      <c r="P7">
        <f t="shared" si="0"/>
        <v>31.853538461538459</v>
      </c>
      <c r="Q7">
        <f t="shared" si="0"/>
        <v>35.853538461538463</v>
      </c>
    </row>
    <row r="8" spans="3:17" x14ac:dyDescent="0.3">
      <c r="K8">
        <f>SUM(K5:K7)</f>
        <v>11700000</v>
      </c>
      <c r="L8">
        <f>SUM(L5:L7)</f>
        <v>1</v>
      </c>
      <c r="M8">
        <f>SUM(M5:M7)</f>
        <v>933.59999999999991</v>
      </c>
    </row>
    <row r="9" spans="3:17" x14ac:dyDescent="0.3">
      <c r="I9" t="s">
        <v>9</v>
      </c>
    </row>
    <row r="10" spans="3:17" x14ac:dyDescent="0.3">
      <c r="I10" t="s">
        <v>48</v>
      </c>
      <c r="M10">
        <f>M12-M11</f>
        <v>477</v>
      </c>
    </row>
    <row r="11" spans="3:17" x14ac:dyDescent="0.3">
      <c r="C11">
        <f>SUM(D11:G11)</f>
        <v>62</v>
      </c>
      <c r="D11">
        <v>15</v>
      </c>
      <c r="E11">
        <v>15</v>
      </c>
      <c r="F11">
        <v>16</v>
      </c>
      <c r="G11">
        <v>16</v>
      </c>
      <c r="I11" t="s">
        <v>11</v>
      </c>
      <c r="J11">
        <f>H5</f>
        <v>1429</v>
      </c>
      <c r="K11">
        <f>H6</f>
        <v>2858</v>
      </c>
      <c r="L11">
        <f>H7</f>
        <v>1429</v>
      </c>
    </row>
    <row r="12" spans="3:17" x14ac:dyDescent="0.3">
      <c r="C12">
        <f>SUM(D12:G12)</f>
        <v>72</v>
      </c>
      <c r="D12">
        <v>18</v>
      </c>
      <c r="E12">
        <v>18</v>
      </c>
      <c r="F12">
        <v>18</v>
      </c>
      <c r="G12">
        <v>18</v>
      </c>
      <c r="I12" t="s">
        <v>47</v>
      </c>
      <c r="J12">
        <f>SUM(J15:J17)</f>
        <v>1430</v>
      </c>
      <c r="K12">
        <f>SUM(K15:K17)</f>
        <v>2861</v>
      </c>
      <c r="L12">
        <f>SUM(L15:L17)</f>
        <v>1432</v>
      </c>
      <c r="M12">
        <f>SUM(M15:M17)</f>
        <v>477</v>
      </c>
    </row>
    <row r="13" spans="3:17" x14ac:dyDescent="0.3">
      <c r="C13">
        <f>SUM(D13:G13)</f>
        <v>72</v>
      </c>
      <c r="D13">
        <v>16</v>
      </c>
      <c r="E13">
        <v>16</v>
      </c>
      <c r="F13">
        <v>16</v>
      </c>
      <c r="G13">
        <v>24</v>
      </c>
    </row>
    <row r="14" spans="3:17" x14ac:dyDescent="0.3">
      <c r="H14" t="s">
        <v>7</v>
      </c>
      <c r="J14">
        <v>15</v>
      </c>
      <c r="K14">
        <v>16</v>
      </c>
      <c r="L14">
        <v>18</v>
      </c>
      <c r="M14">
        <v>24</v>
      </c>
    </row>
    <row r="15" spans="3:17" x14ac:dyDescent="0.3">
      <c r="C15">
        <v>2</v>
      </c>
      <c r="D15">
        <v>2</v>
      </c>
      <c r="G15">
        <v>62</v>
      </c>
      <c r="H15">
        <v>715</v>
      </c>
      <c r="J15">
        <f>C15*$H$15</f>
        <v>1430</v>
      </c>
      <c r="K15">
        <f>D15*$H$15</f>
        <v>1430</v>
      </c>
      <c r="L15">
        <f>E15*$H$15</f>
        <v>0</v>
      </c>
      <c r="M15">
        <f>F15*$H$15</f>
        <v>0</v>
      </c>
    </row>
    <row r="16" spans="3:17" x14ac:dyDescent="0.3">
      <c r="E16">
        <v>4</v>
      </c>
      <c r="G16">
        <v>72</v>
      </c>
      <c r="H16">
        <v>358</v>
      </c>
      <c r="J16">
        <f>$H$16*C16</f>
        <v>0</v>
      </c>
      <c r="K16">
        <f>$H$16*D16</f>
        <v>0</v>
      </c>
      <c r="L16">
        <f>$H$16*E16</f>
        <v>1432</v>
      </c>
      <c r="M16">
        <f>$H$16*F16</f>
        <v>0</v>
      </c>
    </row>
    <row r="17" spans="3:15" x14ac:dyDescent="0.3">
      <c r="D17">
        <v>3</v>
      </c>
      <c r="F17">
        <v>1</v>
      </c>
      <c r="G17">
        <v>72</v>
      </c>
      <c r="H17">
        <v>477</v>
      </c>
      <c r="J17">
        <f>$H$17*C17</f>
        <v>0</v>
      </c>
      <c r="K17">
        <f>$H$17*D17</f>
        <v>1431</v>
      </c>
      <c r="L17">
        <f>$H$17*E17</f>
        <v>0</v>
      </c>
      <c r="M17">
        <f>$H$17*F17</f>
        <v>477</v>
      </c>
    </row>
    <row r="18" spans="3:15" x14ac:dyDescent="0.3">
      <c r="C18">
        <v>15</v>
      </c>
      <c r="D18">
        <v>16</v>
      </c>
      <c r="E18">
        <v>18</v>
      </c>
      <c r="F18">
        <v>24</v>
      </c>
    </row>
    <row r="20" spans="3:15" x14ac:dyDescent="0.3">
      <c r="C20" t="s">
        <v>54</v>
      </c>
    </row>
    <row r="22" spans="3:15" s="1" customFormat="1" ht="45" customHeight="1" x14ac:dyDescent="0.3">
      <c r="C22" s="1" t="s">
        <v>1</v>
      </c>
      <c r="D22" s="1" t="s">
        <v>2</v>
      </c>
      <c r="E22" s="1" t="s">
        <v>3</v>
      </c>
      <c r="F22" s="1" t="s">
        <v>16</v>
      </c>
      <c r="G22" s="1" t="s">
        <v>17</v>
      </c>
      <c r="H22" s="1" t="s">
        <v>50</v>
      </c>
      <c r="I22" s="1" t="s">
        <v>55</v>
      </c>
      <c r="J22" s="1" t="s">
        <v>56</v>
      </c>
      <c r="K22" s="1" t="s">
        <v>52</v>
      </c>
      <c r="L22" s="1" t="s">
        <v>57</v>
      </c>
      <c r="M22" s="1" t="s">
        <v>58</v>
      </c>
      <c r="N22" s="1" t="s">
        <v>59</v>
      </c>
      <c r="O22" s="1" t="s">
        <v>30</v>
      </c>
    </row>
    <row r="23" spans="3:15" x14ac:dyDescent="0.3">
      <c r="C23">
        <v>15</v>
      </c>
      <c r="D23">
        <v>18</v>
      </c>
      <c r="E23">
        <v>10000</v>
      </c>
      <c r="F23">
        <f>C23*D23*E23</f>
        <v>2700000</v>
      </c>
      <c r="G23">
        <f>F23/$F$27</f>
        <v>0.20544117808189161</v>
      </c>
      <c r="H23">
        <f>G23*$J$4</f>
        <v>191.79988385725397</v>
      </c>
      <c r="I23">
        <f>H23/E23*1000</f>
        <v>19.179988385725398</v>
      </c>
      <c r="J23">
        <f>I23+2</f>
        <v>21.179988385725398</v>
      </c>
      <c r="K23">
        <f t="shared" ref="K23:L25" si="1">J23+4</f>
        <v>25.179988385725398</v>
      </c>
      <c r="L23">
        <f t="shared" si="1"/>
        <v>29.179988385725398</v>
      </c>
      <c r="M23">
        <f>L23*E23/1000</f>
        <v>291.79988385725397</v>
      </c>
      <c r="N23">
        <f>J23*E23/1000</f>
        <v>211.79988385725397</v>
      </c>
    </row>
    <row r="24" spans="3:15" x14ac:dyDescent="0.3">
      <c r="C24">
        <v>16</v>
      </c>
      <c r="D24">
        <v>18</v>
      </c>
      <c r="E24">
        <v>20000</v>
      </c>
      <c r="F24">
        <f>C24*D24*E24</f>
        <v>5760000</v>
      </c>
      <c r="G24">
        <f>F24/$F$27</f>
        <v>0.43827451324136874</v>
      </c>
      <c r="H24">
        <f>G24*$J$4</f>
        <v>409.17308556214181</v>
      </c>
      <c r="I24">
        <f>H24/E24*1000</f>
        <v>20.45865427810709</v>
      </c>
      <c r="J24">
        <f>I24+2</f>
        <v>22.45865427810709</v>
      </c>
      <c r="K24">
        <f t="shared" si="1"/>
        <v>26.45865427810709</v>
      </c>
      <c r="L24">
        <f t="shared" si="1"/>
        <v>30.45865427810709</v>
      </c>
      <c r="M24">
        <f>L24*E24/1000</f>
        <v>609.17308556214186</v>
      </c>
      <c r="N24">
        <f>J24*E24/1000</f>
        <v>449.17308556214181</v>
      </c>
    </row>
    <row r="25" spans="3:15" x14ac:dyDescent="0.3">
      <c r="C25">
        <v>18</v>
      </c>
      <c r="D25">
        <v>18</v>
      </c>
      <c r="E25">
        <v>10000</v>
      </c>
      <c r="F25">
        <f>C25*D25*E25</f>
        <v>3240000</v>
      </c>
      <c r="G25">
        <f>F25/$F$27</f>
        <v>0.24652941369826992</v>
      </c>
      <c r="H25">
        <f>G25*$J$4</f>
        <v>230.15986062870476</v>
      </c>
      <c r="I25">
        <f>H25/E25*1000</f>
        <v>23.015986062870475</v>
      </c>
      <c r="J25">
        <f>I25+2</f>
        <v>25.015986062870475</v>
      </c>
      <c r="K25">
        <f t="shared" si="1"/>
        <v>29.015986062870475</v>
      </c>
      <c r="L25">
        <f t="shared" si="1"/>
        <v>33.015986062870475</v>
      </c>
      <c r="M25">
        <f>L25*E25/1000</f>
        <v>330.15986062870479</v>
      </c>
      <c r="N25">
        <f>J25*E25/1000</f>
        <v>250.15986062870473</v>
      </c>
    </row>
    <row r="26" spans="3:15" x14ac:dyDescent="0.3">
      <c r="C26">
        <v>24</v>
      </c>
      <c r="D26">
        <v>126</v>
      </c>
      <c r="E26">
        <v>477</v>
      </c>
      <c r="F26">
        <f>C26*D26*E26</f>
        <v>1442448</v>
      </c>
      <c r="G26">
        <f>F26/$F$27</f>
        <v>0.10975489497846977</v>
      </c>
      <c r="H26" s="2">
        <f>G26*$J$4</f>
        <v>102.46716995189936</v>
      </c>
    </row>
    <row r="27" spans="3:15" x14ac:dyDescent="0.3">
      <c r="F27">
        <f>SUM(F23:F26)</f>
        <v>13142448</v>
      </c>
      <c r="G27">
        <f>SUM(G23:G26)</f>
        <v>1</v>
      </c>
      <c r="H27">
        <f>SUM(H23:H26)</f>
        <v>933.59999999999991</v>
      </c>
      <c r="M27">
        <f>SUM(M23:M26)</f>
        <v>1231.1328300481007</v>
      </c>
      <c r="N27">
        <f>SUM(N23:N26)</f>
        <v>911.13283004810046</v>
      </c>
      <c r="O27">
        <f>M27-N27</f>
        <v>320.00000000000023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38</vt:i4>
      </vt:variant>
    </vt:vector>
  </HeadingPairs>
  <TitlesOfParts>
    <vt:vector size="38" baseType="lpstr">
      <vt:lpstr>Gala</vt:lpstr>
      <vt:lpstr>Gala2</vt:lpstr>
      <vt:lpstr>Gala3</vt:lpstr>
      <vt:lpstr>Gala-Armando</vt:lpstr>
      <vt:lpstr>Gala-Armando+++</vt:lpstr>
      <vt:lpstr>Gala-Armando-Euros-35</vt:lpstr>
      <vt:lpstr>Cransa</vt:lpstr>
      <vt:lpstr>Arturo</vt:lpstr>
      <vt:lpstr>2 planchas</vt:lpstr>
      <vt:lpstr>Jimena-Armando</vt:lpstr>
      <vt:lpstr>Jimena-C-125</vt:lpstr>
      <vt:lpstr>Jimena-C-150</vt:lpstr>
      <vt:lpstr>Alex-Cola-39 Semanal</vt:lpstr>
      <vt:lpstr>Oscar</vt:lpstr>
      <vt:lpstr>Oscar2</vt:lpstr>
      <vt:lpstr>William</vt:lpstr>
      <vt:lpstr>Cristy</vt:lpstr>
      <vt:lpstr>Guido-C-125</vt:lpstr>
      <vt:lpstr>Guido-Cola</vt:lpstr>
      <vt:lpstr>Farin-Cola</vt:lpstr>
      <vt:lpstr>Oscar-Cola</vt:lpstr>
      <vt:lpstr>Oscar-C-125</vt:lpstr>
      <vt:lpstr>Oscar-C-150</vt:lpstr>
      <vt:lpstr>William-Cola</vt:lpstr>
      <vt:lpstr>William-C-125</vt:lpstr>
      <vt:lpstr>William-C-150</vt:lpstr>
      <vt:lpstr>Mega-Cola</vt:lpstr>
      <vt:lpstr>Mega-C-125</vt:lpstr>
      <vt:lpstr>Mega-C-150</vt:lpstr>
      <vt:lpstr>Monte-Cola</vt:lpstr>
      <vt:lpstr>Monte-C-125</vt:lpstr>
      <vt:lpstr>Monte-C-125 граф</vt:lpstr>
      <vt:lpstr>Monte-C-150</vt:lpstr>
      <vt:lpstr>Liliana-Cola</vt:lpstr>
      <vt:lpstr>мой расчет</vt:lpstr>
      <vt:lpstr>мой расчет (2)</vt:lpstr>
      <vt:lpstr>Лист1</vt:lpstr>
      <vt:lpstr>мой расчет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Александр Недосейкин</cp:lastModifiedBy>
  <cp:lastPrinted>2021-05-25T20:50:32Z</cp:lastPrinted>
  <dcterms:created xsi:type="dcterms:W3CDTF">2021-02-10T18:05:06Z</dcterms:created>
  <dcterms:modified xsi:type="dcterms:W3CDTF">2024-06-02T16:23:29Z</dcterms:modified>
</cp:coreProperties>
</file>