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BOGO.A.ALFRED\Desktop\An Excel Masterclass\"/>
    </mc:Choice>
  </mc:AlternateContent>
  <xr:revisionPtr revIDLastSave="0" documentId="13_ncr:1_{7B587D97-542C-4396-90C1-5FA33E80E375}" xr6:coauthVersionLast="44" xr6:coauthVersionMax="44" xr10:uidLastSave="{00000000-0000-0000-0000-000000000000}"/>
  <bookViews>
    <workbookView xWindow="-120" yWindow="-120" windowWidth="24240" windowHeight="13140" tabRatio="1000" activeTab="1" xr2:uid="{78026A60-5450-4226-83D3-33DCE503EA7D}"/>
  </bookViews>
  <sheets>
    <sheet name="Summary" sheetId="42" r:id="rId1"/>
    <sheet name="Cash Flow Representations" sheetId="1" r:id="rId2"/>
    <sheet name="Simple &amp; Compounding Interest" sheetId="12" r:id="rId3"/>
    <sheet name="Simple Interest Chart" sheetId="13" r:id="rId4"/>
    <sheet name="Compound Interest Chart" sheetId="14" r:id="rId5"/>
    <sheet name="Simple_Compount Interest_Chart" sheetId="15" r:id="rId6"/>
    <sheet name="Rule of 72" sheetId="16" r:id="rId7"/>
    <sheet name="Simple vs. Compounding Interest" sheetId="17" state="hidden" r:id="rId8"/>
    <sheet name="Nominal vs APR" sheetId="18" r:id="rId9"/>
    <sheet name="Effective Interest Rate" sheetId="19" r:id="rId10"/>
    <sheet name="Nominal_Effective Annual Rate" sheetId="20" r:id="rId11"/>
    <sheet name="Rate -- Power of Compounding" sheetId="22" r:id="rId12"/>
    <sheet name="Effect of Interest, r" sheetId="23" r:id="rId13"/>
    <sheet name="No. Compounding Periods Effect" sheetId="24" r:id="rId14"/>
    <sheet name="Effect of No. Periods, n" sheetId="25" r:id="rId15"/>
    <sheet name="Future Value (FV)" sheetId="26" r:id="rId16"/>
    <sheet name="Present Value (PV)" sheetId="27" r:id="rId17"/>
    <sheet name="Future Value (FV) -- 2 " sheetId="28" r:id="rId18"/>
    <sheet name="NPER -- Example 1" sheetId="29" r:id="rId19"/>
    <sheet name="NPER -- Example 2" sheetId="30" r:id="rId20"/>
    <sheet name="RATE" sheetId="31" r:id="rId21"/>
    <sheet name="Quote, EAR, FV Example" sheetId="32" r:id="rId22"/>
    <sheet name="Mismatch quoted rate &amp; period" sheetId="33" r:id="rId23"/>
    <sheet name="More Complex Example" sheetId="34" r:id="rId24"/>
    <sheet name="More Complex Example (2)" sheetId="35" r:id="rId25"/>
    <sheet name="NPV" sheetId="36" r:id="rId26"/>
    <sheet name="XNPV" sheetId="37" r:id="rId27"/>
    <sheet name="Example - Annuity Payout" sheetId="38" r:id="rId28"/>
    <sheet name="Example - Annuity" sheetId="39" r:id="rId29"/>
    <sheet name="Example -- Down Payment Savings" sheetId="40" r:id="rId30"/>
    <sheet name="Example -- Scholarship" sheetId="41" r:id="rId31"/>
  </sheets>
  <externalReferences>
    <externalReference r:id="rId3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WorkbookPriority" hidden="1">-1591358542</definedName>
    <definedName name="ds" localSheetId="19" hidden="1">#REF!</definedName>
    <definedName name="ds" localSheetId="16" hidden="1">#REF!</definedName>
    <definedName name="ds" hidden="1">#REF!</definedName>
    <definedName name="erw" localSheetId="19" hidden="1">#REF!</definedName>
    <definedName name="erw" localSheetId="16" hidden="1">#REF!</definedName>
    <definedName name="erw" hidden="1">#REF!</definedName>
    <definedName name="ew" localSheetId="19" hidden="1">#REF!</definedName>
    <definedName name="ew" localSheetId="16" hidden="1">#REF!</definedName>
    <definedName name="ew" hidden="1">#REF!</definedName>
    <definedName name="ffff" localSheetId="19" hidden="1">#REF!</definedName>
    <definedName name="ffff" localSheetId="16" hidden="1">#REF!</definedName>
    <definedName name="ffff" hidden="1">#REF!</definedName>
    <definedName name="fffff" localSheetId="19" hidden="1">#REF!</definedName>
    <definedName name="fffff" localSheetId="16" hidden="1">#REF!</definedName>
    <definedName name="fffff" hidden="1">#REF!</definedName>
    <definedName name="ffffff" localSheetId="19" hidden="1">#REF!</definedName>
    <definedName name="ffffff" localSheetId="16" hidden="1">#REF!</definedName>
    <definedName name="ffffff" hidden="1">#REF!</definedName>
    <definedName name="fg" localSheetId="19" hidden="1">#REF!</definedName>
    <definedName name="fg" localSheetId="16" hidden="1">#REF!</definedName>
    <definedName name="fg" hidden="1">#REF!</definedName>
    <definedName name="fsdsd" localSheetId="19" hidden="1">PTreeObjectReference(PTDecisionTree_9,[1]treeCalc_9!$A$1)</definedName>
    <definedName name="fsdsd" localSheetId="16" hidden="1">PTreeObjectReference(PTDecisionTree_9,[1]treeCalc_9!$A$1)</definedName>
    <definedName name="fsdsd" hidden="1">PTreeObjectReference(PTDecisionTree_9,[1]treeCalc_9!$A$1)</definedName>
    <definedName name="gg" localSheetId="19" hidden="1">#REF!</definedName>
    <definedName name="gg" localSheetId="16" hidden="1">#REF!</definedName>
    <definedName name="gg" hidden="1">#REF!</definedName>
    <definedName name="Pal_Workbook_GUID" hidden="1">"UYWG6RU9N5BDGXZHMJ46F8PV"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localSheetId="19" hidden="1">#REF!</definedName>
    <definedName name="PTree_SensitivityAnalysis_Inputs_1_VaryCell" localSheetId="16" hidden="1">#REF!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localSheetId="19" hidden="1">#REF!</definedName>
    <definedName name="PTree_SensitivityAnalysis_Inputs_2_VaryCell" localSheetId="16" hidden="1">#REF!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localSheetId="19" hidden="1">#REF!</definedName>
    <definedName name="PTree_SensitivityAnalysis_Inputs_3_VaryCell" localSheetId="16" hidden="1">#REF!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localSheetId="19" hidden="1">#REF!</definedName>
    <definedName name="PTree_SensitivityAnalysis_Inputs_4_VaryCell" localSheetId="16" hidden="1">#REF!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localSheetId="19" hidden="1">#REF!</definedName>
    <definedName name="PTree_SensitivityAnalysis_Inputs_5_VaryCell" localSheetId="16" hidden="1">#REF!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localSheetId="19" hidden="1">#REF!</definedName>
    <definedName name="PTree_SensitivityAnalysis_Inputs_6_VaryCell" localSheetId="16" hidden="1">#REF!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localSheetId="19" hidden="1">#REF!</definedName>
    <definedName name="PTree_SensitivityAnalysis_Inputs_7_VaryCell" localSheetId="16" hidden="1">#REF!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localSheetId="19" hidden="1">#REF!</definedName>
    <definedName name="PTree_SensitivityAnalysis_Inputs_8_VaryCell" localSheetId="16" hidden="1">#REF!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19" hidden="1">PTreeObjectReference(PTDecisionTree_9,[1]treeCalc_9!$A$1)</definedName>
    <definedName name="PTree_SensitivityAnalysis_Output_Model" localSheetId="16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19" hidden="1">PTreeObjectReference(PTDecisionTreeNode_9_8,#REF!)</definedName>
    <definedName name="PTree_SensitivityAnalysis_Output_StartingNode" localSheetId="16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sdsd" localSheetId="19" hidden="1">PTreeObjectReference(PTDecisionTreeNode_9_8,#REF!)</definedName>
    <definedName name="sdsdsd" localSheetId="16" hidden="1">PTreeObjectReference(PTDecisionTreeNode_9_8,#REF!)</definedName>
    <definedName name="sdsdsd" hidden="1">PTreeObjectReference(PTDecisionTreeNode_9_8,#REF!)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1" l="1"/>
  <c r="C6" i="41"/>
  <c r="C10" i="40"/>
  <c r="C8" i="40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H7" i="39"/>
  <c r="D7" i="39"/>
  <c r="H9" i="39" s="1"/>
  <c r="H6" i="39"/>
  <c r="C11" i="38"/>
  <c r="D7" i="41"/>
  <c r="I6" i="39"/>
  <c r="C7" i="41"/>
  <c r="I9" i="39"/>
  <c r="I7" i="39"/>
  <c r="I13" i="37" l="1"/>
  <c r="C13" i="37"/>
  <c r="K12" i="37"/>
  <c r="K11" i="37"/>
  <c r="K10" i="37"/>
  <c r="K9" i="37"/>
  <c r="K8" i="37"/>
  <c r="L5" i="37"/>
  <c r="M12" i="37" s="1"/>
  <c r="D14" i="36"/>
  <c r="G12" i="36"/>
  <c r="F12" i="36"/>
  <c r="C12" i="36"/>
  <c r="D11" i="36"/>
  <c r="D10" i="36"/>
  <c r="D9" i="36"/>
  <c r="D16" i="36" s="1"/>
  <c r="D8" i="36"/>
  <c r="D12" i="36" s="1"/>
  <c r="D7" i="36"/>
  <c r="M10" i="37" l="1"/>
  <c r="M9" i="37"/>
  <c r="M11" i="37"/>
  <c r="M8" i="37"/>
  <c r="M13" i="37" s="1"/>
  <c r="D18" i="35" l="1"/>
  <c r="D17" i="35"/>
  <c r="D16" i="35"/>
  <c r="D15" i="35"/>
  <c r="D19" i="35" s="1"/>
  <c r="H13" i="35"/>
  <c r="H9" i="35"/>
  <c r="H10" i="35" s="1"/>
  <c r="K13" i="34"/>
  <c r="K12" i="34"/>
  <c r="K11" i="34"/>
  <c r="K10" i="34"/>
  <c r="H4" i="34"/>
  <c r="H5" i="34" s="1"/>
  <c r="D9" i="33"/>
  <c r="C5" i="33"/>
  <c r="D11" i="33" s="1"/>
  <c r="F13" i="32"/>
  <c r="E12" i="32"/>
  <c r="F7" i="32"/>
  <c r="C7" i="32"/>
  <c r="C9" i="32" s="1"/>
  <c r="K14" i="34" l="1"/>
  <c r="D10" i="34"/>
  <c r="D13" i="34"/>
  <c r="D12" i="34"/>
  <c r="D11" i="34"/>
  <c r="C17" i="32"/>
  <c r="C15" i="32"/>
  <c r="C12" i="32"/>
  <c r="D10" i="33"/>
  <c r="D12" i="33" s="1"/>
  <c r="D14" i="34" l="1"/>
  <c r="D10" i="29" l="1"/>
  <c r="D11" i="29"/>
  <c r="D13" i="29"/>
  <c r="D10" i="30"/>
  <c r="C9" i="31"/>
  <c r="C10" i="31" s="1"/>
  <c r="E10" i="29"/>
  <c r="E11" i="29"/>
  <c r="C12" i="28" l="1"/>
  <c r="C14" i="27"/>
  <c r="E14" i="26"/>
  <c r="C14" i="26"/>
  <c r="G7" i="24" l="1"/>
  <c r="G47" i="24" s="1"/>
  <c r="F7" i="24"/>
  <c r="F44" i="24" s="1"/>
  <c r="E7" i="24"/>
  <c r="E44" i="24" s="1"/>
  <c r="D7" i="24"/>
  <c r="D46" i="24" s="1"/>
  <c r="C7" i="24"/>
  <c r="C46" i="24" s="1"/>
  <c r="G28" i="22"/>
  <c r="F28" i="22"/>
  <c r="E28" i="22"/>
  <c r="D28" i="22"/>
  <c r="C28" i="22"/>
  <c r="G27" i="22"/>
  <c r="F27" i="22"/>
  <c r="E27" i="22"/>
  <c r="D27" i="22"/>
  <c r="C27" i="22"/>
  <c r="G26" i="22"/>
  <c r="F26" i="22"/>
  <c r="E26" i="22"/>
  <c r="D26" i="22"/>
  <c r="C26" i="22"/>
  <c r="G25" i="22"/>
  <c r="F25" i="22"/>
  <c r="E25" i="22"/>
  <c r="D25" i="22"/>
  <c r="C25" i="22"/>
  <c r="G24" i="22"/>
  <c r="F24" i="22"/>
  <c r="E24" i="22"/>
  <c r="D24" i="22"/>
  <c r="C24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F17" i="22"/>
  <c r="E17" i="22"/>
  <c r="D17" i="22"/>
  <c r="C17" i="22"/>
  <c r="G16" i="22"/>
  <c r="F16" i="22"/>
  <c r="E16" i="22"/>
  <c r="D16" i="22"/>
  <c r="C16" i="22"/>
  <c r="G15" i="22"/>
  <c r="F15" i="22"/>
  <c r="E15" i="22"/>
  <c r="D15" i="22"/>
  <c r="C15" i="22"/>
  <c r="G14" i="22"/>
  <c r="F14" i="22"/>
  <c r="E14" i="22"/>
  <c r="D14" i="22"/>
  <c r="C14" i="22"/>
  <c r="G13" i="22"/>
  <c r="F13" i="22"/>
  <c r="E13" i="22"/>
  <c r="D13" i="22"/>
  <c r="C13" i="22"/>
  <c r="G12" i="22"/>
  <c r="F12" i="22"/>
  <c r="E12" i="22"/>
  <c r="D12" i="22"/>
  <c r="C12" i="22"/>
  <c r="G11" i="22"/>
  <c r="F11" i="22"/>
  <c r="E11" i="22"/>
  <c r="D11" i="22"/>
  <c r="C11" i="22"/>
  <c r="G10" i="22"/>
  <c r="F10" i="22"/>
  <c r="E10" i="22"/>
  <c r="D10" i="22"/>
  <c r="C10" i="22"/>
  <c r="G9" i="22"/>
  <c r="F9" i="22"/>
  <c r="E9" i="22"/>
  <c r="D9" i="22"/>
  <c r="C9" i="22"/>
  <c r="G8" i="22"/>
  <c r="F8" i="22"/>
  <c r="E8" i="22"/>
  <c r="D8" i="22"/>
  <c r="C8" i="22"/>
  <c r="J14" i="20"/>
  <c r="I14" i="20"/>
  <c r="I15" i="20" s="1"/>
  <c r="H14" i="20"/>
  <c r="H15" i="20" s="1"/>
  <c r="G14" i="20"/>
  <c r="G15" i="20" s="1"/>
  <c r="F14" i="20"/>
  <c r="F15" i="20" s="1"/>
  <c r="E14" i="20"/>
  <c r="E15" i="20" s="1"/>
  <c r="I8" i="20"/>
  <c r="H8" i="20"/>
  <c r="G8" i="20"/>
  <c r="F8" i="20"/>
  <c r="E8" i="20"/>
  <c r="J7" i="20"/>
  <c r="I7" i="20"/>
  <c r="H7" i="20"/>
  <c r="G7" i="20"/>
  <c r="F7" i="20"/>
  <c r="E7" i="20"/>
  <c r="H13" i="19"/>
  <c r="C10" i="19"/>
  <c r="C6" i="19"/>
  <c r="D21" i="19" s="1"/>
  <c r="M5" i="19"/>
  <c r="M4" i="19"/>
  <c r="E8" i="18"/>
  <c r="E7" i="18"/>
  <c r="E6" i="18"/>
  <c r="E5" i="18"/>
  <c r="D10" i="19" l="1"/>
  <c r="D14" i="19"/>
  <c r="D19" i="19"/>
  <c r="E9" i="24"/>
  <c r="C14" i="24"/>
  <c r="D17" i="24"/>
  <c r="E20" i="24"/>
  <c r="C24" i="24"/>
  <c r="D27" i="24"/>
  <c r="E30" i="24"/>
  <c r="C35" i="24"/>
  <c r="D38" i="24"/>
  <c r="E41" i="24"/>
  <c r="C11" i="19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D15" i="19"/>
  <c r="D20" i="19"/>
  <c r="C11" i="24"/>
  <c r="D14" i="24"/>
  <c r="E17" i="24"/>
  <c r="C22" i="24"/>
  <c r="D25" i="24"/>
  <c r="E28" i="24"/>
  <c r="C32" i="24"/>
  <c r="D35" i="24"/>
  <c r="E38" i="24"/>
  <c r="C43" i="24"/>
  <c r="D16" i="19"/>
  <c r="C8" i="24"/>
  <c r="D11" i="24"/>
  <c r="E14" i="24"/>
  <c r="C19" i="24"/>
  <c r="D22" i="24"/>
  <c r="E25" i="24"/>
  <c r="C30" i="24"/>
  <c r="D33" i="24"/>
  <c r="E36" i="24"/>
  <c r="C40" i="24"/>
  <c r="D43" i="24"/>
  <c r="D11" i="19"/>
  <c r="D22" i="19"/>
  <c r="D18" i="19"/>
  <c r="D9" i="24"/>
  <c r="E12" i="24"/>
  <c r="C16" i="24"/>
  <c r="D19" i="24"/>
  <c r="E22" i="24"/>
  <c r="C27" i="24"/>
  <c r="D30" i="24"/>
  <c r="E33" i="24"/>
  <c r="C38" i="24"/>
  <c r="D41" i="24"/>
  <c r="E46" i="24"/>
  <c r="G15" i="24"/>
  <c r="D8" i="24"/>
  <c r="G9" i="24"/>
  <c r="E11" i="24"/>
  <c r="C13" i="24"/>
  <c r="F14" i="24"/>
  <c r="D16" i="24"/>
  <c r="G17" i="24"/>
  <c r="E19" i="24"/>
  <c r="C21" i="24"/>
  <c r="F22" i="24"/>
  <c r="D24" i="24"/>
  <c r="G25" i="24"/>
  <c r="E27" i="24"/>
  <c r="C29" i="24"/>
  <c r="F30" i="24"/>
  <c r="D32" i="24"/>
  <c r="G33" i="24"/>
  <c r="E35" i="24"/>
  <c r="C37" i="24"/>
  <c r="F38" i="24"/>
  <c r="D40" i="24"/>
  <c r="G41" i="24"/>
  <c r="E43" i="24"/>
  <c r="C45" i="24"/>
  <c r="F46" i="24"/>
  <c r="F9" i="24"/>
  <c r="G12" i="24"/>
  <c r="F17" i="24"/>
  <c r="G36" i="24"/>
  <c r="G44" i="24"/>
  <c r="E8" i="24"/>
  <c r="C10" i="24"/>
  <c r="F11" i="24"/>
  <c r="D13" i="24"/>
  <c r="G14" i="24"/>
  <c r="E16" i="24"/>
  <c r="C18" i="24"/>
  <c r="F19" i="24"/>
  <c r="D21" i="24"/>
  <c r="G22" i="24"/>
  <c r="E24" i="24"/>
  <c r="C26" i="24"/>
  <c r="F27" i="24"/>
  <c r="D29" i="24"/>
  <c r="G30" i="24"/>
  <c r="E32" i="24"/>
  <c r="C34" i="24"/>
  <c r="F35" i="24"/>
  <c r="D37" i="24"/>
  <c r="G38" i="24"/>
  <c r="E40" i="24"/>
  <c r="C42" i="24"/>
  <c r="F43" i="24"/>
  <c r="D45" i="24"/>
  <c r="G46" i="24"/>
  <c r="F12" i="24"/>
  <c r="F25" i="24"/>
  <c r="G28" i="24"/>
  <c r="F33" i="24"/>
  <c r="F8" i="24"/>
  <c r="D10" i="24"/>
  <c r="G11" i="24"/>
  <c r="E13" i="24"/>
  <c r="C15" i="24"/>
  <c r="F16" i="24"/>
  <c r="D18" i="24"/>
  <c r="G19" i="24"/>
  <c r="E21" i="24"/>
  <c r="C23" i="24"/>
  <c r="F24" i="24"/>
  <c r="D26" i="24"/>
  <c r="G27" i="24"/>
  <c r="E29" i="24"/>
  <c r="C31" i="24"/>
  <c r="F32" i="24"/>
  <c r="D34" i="24"/>
  <c r="G35" i="24"/>
  <c r="E37" i="24"/>
  <c r="C39" i="24"/>
  <c r="F40" i="24"/>
  <c r="D42" i="24"/>
  <c r="G43" i="24"/>
  <c r="E45" i="24"/>
  <c r="C47" i="24"/>
  <c r="G20" i="24"/>
  <c r="F41" i="24"/>
  <c r="G8" i="24"/>
  <c r="E10" i="24"/>
  <c r="C12" i="24"/>
  <c r="F13" i="24"/>
  <c r="D15" i="24"/>
  <c r="G16" i="24"/>
  <c r="E18" i="24"/>
  <c r="C20" i="24"/>
  <c r="F21" i="24"/>
  <c r="D23" i="24"/>
  <c r="G24" i="24"/>
  <c r="E26" i="24"/>
  <c r="C28" i="24"/>
  <c r="F29" i="24"/>
  <c r="D31" i="24"/>
  <c r="G32" i="24"/>
  <c r="E34" i="24"/>
  <c r="C36" i="24"/>
  <c r="F37" i="24"/>
  <c r="D39" i="24"/>
  <c r="G40" i="24"/>
  <c r="E42" i="24"/>
  <c r="C44" i="24"/>
  <c r="F45" i="24"/>
  <c r="D47" i="24"/>
  <c r="C9" i="24"/>
  <c r="F10" i="24"/>
  <c r="D12" i="24"/>
  <c r="G13" i="24"/>
  <c r="E15" i="24"/>
  <c r="C17" i="24"/>
  <c r="F18" i="24"/>
  <c r="D20" i="24"/>
  <c r="G21" i="24"/>
  <c r="E23" i="24"/>
  <c r="C25" i="24"/>
  <c r="F26" i="24"/>
  <c r="D28" i="24"/>
  <c r="G29" i="24"/>
  <c r="E31" i="24"/>
  <c r="C33" i="24"/>
  <c r="F34" i="24"/>
  <c r="D36" i="24"/>
  <c r="G37" i="24"/>
  <c r="E39" i="24"/>
  <c r="C41" i="24"/>
  <c r="F42" i="24"/>
  <c r="D44" i="24"/>
  <c r="G45" i="24"/>
  <c r="E47" i="24"/>
  <c r="G10" i="24"/>
  <c r="F15" i="24"/>
  <c r="G18" i="24"/>
  <c r="F23" i="24"/>
  <c r="G26" i="24"/>
  <c r="F31" i="24"/>
  <c r="G34" i="24"/>
  <c r="F39" i="24"/>
  <c r="G42" i="24"/>
  <c r="F47" i="24"/>
  <c r="F20" i="24"/>
  <c r="G23" i="24"/>
  <c r="F28" i="24"/>
  <c r="G31" i="24"/>
  <c r="F36" i="24"/>
  <c r="G39" i="24"/>
  <c r="D12" i="19"/>
  <c r="D13" i="19"/>
  <c r="D17" i="19"/>
  <c r="H45" i="17" l="1"/>
  <c r="G45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F27" i="12"/>
  <c r="D27" i="12"/>
  <c r="F26" i="12"/>
  <c r="D26" i="12"/>
  <c r="F25" i="12"/>
  <c r="D25" i="12"/>
  <c r="F24" i="12"/>
  <c r="D24" i="12"/>
  <c r="F23" i="12"/>
  <c r="D23" i="12"/>
  <c r="F22" i="12"/>
  <c r="D22" i="12"/>
  <c r="F21" i="12"/>
  <c r="D21" i="12"/>
  <c r="F20" i="12"/>
  <c r="D20" i="12"/>
  <c r="F19" i="12"/>
  <c r="D19" i="12"/>
  <c r="F18" i="12"/>
  <c r="D18" i="12"/>
  <c r="F17" i="12"/>
  <c r="D17" i="12"/>
  <c r="F16" i="12"/>
  <c r="D16" i="12"/>
  <c r="F15" i="12"/>
  <c r="D15" i="12"/>
  <c r="F14" i="12"/>
  <c r="D14" i="12"/>
  <c r="F13" i="12"/>
  <c r="D13" i="12"/>
  <c r="F12" i="12"/>
  <c r="D12" i="12"/>
  <c r="F11" i="12"/>
  <c r="D11" i="12"/>
  <c r="F10" i="12"/>
  <c r="D10" i="12"/>
  <c r="F9" i="12"/>
  <c r="D9" i="12"/>
  <c r="F8" i="12"/>
  <c r="D8" i="12"/>
  <c r="F7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D7" i="12"/>
  <c r="E4" i="12"/>
</calcChain>
</file>

<file path=xl/sharedStrings.xml><?xml version="1.0" encoding="utf-8"?>
<sst xmlns="http://schemas.openxmlformats.org/spreadsheetml/2006/main" count="312" uniqueCount="210">
  <si>
    <t>Start (Now)</t>
  </si>
  <si>
    <t>Senior Year</t>
  </si>
  <si>
    <t>1st Year Working</t>
  </si>
  <si>
    <t>2nd Year Working</t>
  </si>
  <si>
    <t>3rd Year Working</t>
  </si>
  <si>
    <t>4th Year Working</t>
  </si>
  <si>
    <t>5th Year Working</t>
  </si>
  <si>
    <t>Year</t>
  </si>
  <si>
    <t>Transaction</t>
  </si>
  <si>
    <t xml:space="preserve"> </t>
  </si>
  <si>
    <t>Cash Flow Table</t>
  </si>
  <si>
    <t>Simple vs. Compound Interest</t>
  </si>
  <si>
    <t>Annual Interest</t>
  </si>
  <si>
    <t>Principal</t>
  </si>
  <si>
    <t>Period</t>
  </si>
  <si>
    <t>Simple Interest</t>
  </si>
  <si>
    <t>Compound Interest</t>
  </si>
  <si>
    <t>Years required to double an investment</t>
  </si>
  <si>
    <t>Interest Rate</t>
  </si>
  <si>
    <t>Rule of 72</t>
  </si>
  <si>
    <t>Actual</t>
  </si>
  <si>
    <t>APR</t>
  </si>
  <si>
    <t>Nominal vs. Annual Percentage Rate (APR)</t>
  </si>
  <si>
    <t>Nominal Rate</t>
  </si>
  <si>
    <t>Compounding Period</t>
  </si>
  <si>
    <t>Number Compounding Periods</t>
  </si>
  <si>
    <t>Annual
Percentage 
Rate (APR)</t>
  </si>
  <si>
    <t>Daily</t>
  </si>
  <si>
    <t>Weekly</t>
  </si>
  <si>
    <t>Monthly</t>
  </si>
  <si>
    <t>Quarterly</t>
  </si>
  <si>
    <t>Effective Interest Rate</t>
  </si>
  <si>
    <t>APR, r</t>
  </si>
  <si>
    <t>compounded monthly</t>
  </si>
  <si>
    <t>EAR = i_a</t>
  </si>
  <si>
    <t>No. compounding 
periods, m</t>
  </si>
  <si>
    <t>FV_1</t>
  </si>
  <si>
    <t>i_month = r/m</t>
  </si>
  <si>
    <t>112.68 = 100*(1+i_a)</t>
  </si>
  <si>
    <t>Straight</t>
  </si>
  <si>
    <t>Using FV</t>
  </si>
  <si>
    <t>112.68/100 = (1+i_a)</t>
  </si>
  <si>
    <t>Period (month)</t>
  </si>
  <si>
    <t>Balance</t>
  </si>
  <si>
    <t>1.1268 -1 = i_a</t>
  </si>
  <si>
    <t>i_a = 0.1268 or 12.68%</t>
  </si>
  <si>
    <t>Nominal vs. Effect Functions</t>
  </si>
  <si>
    <t>Continuous Compounding</t>
  </si>
  <si>
    <t>Yearly</t>
  </si>
  <si>
    <t>Semi-Annual</t>
  </si>
  <si>
    <t>Continuous</t>
  </si>
  <si>
    <t>Compounding Periods:</t>
  </si>
  <si>
    <t>--</t>
  </si>
  <si>
    <t>Effective</t>
  </si>
  <si>
    <t>Period Rate</t>
  </si>
  <si>
    <t>EAR = APY</t>
  </si>
  <si>
    <t>Nominal or APR</t>
  </si>
  <si>
    <t>Power of Componding -- Effect of Interest Rate</t>
  </si>
  <si>
    <t>Investment Balance Analysis</t>
  </si>
  <si>
    <t>Power of Componding -- Effect of Compounding Periods</t>
  </si>
  <si>
    <t>No. Compounding Periods</t>
  </si>
  <si>
    <t>Effective Rate</t>
  </si>
  <si>
    <t>Future Value -- FV Function</t>
  </si>
  <si>
    <t>Suppose you invest $100 today in an account that earns 10% per year, how much will it be worth in 5 years?</t>
  </si>
  <si>
    <t>Investment (PV)</t>
  </si>
  <si>
    <t>Annual Interest Rate (RATE)</t>
  </si>
  <si>
    <t>No. of Years (NPER)</t>
  </si>
  <si>
    <t>Annual Investments (PMT)</t>
  </si>
  <si>
    <t>Investor</t>
  </si>
  <si>
    <t>Bank</t>
  </si>
  <si>
    <t>Future Value (FV)</t>
  </si>
  <si>
    <t>Present Value -- PV Function</t>
  </si>
  <si>
    <t>How much is $100 two years from now worth today, if your discount rate (i.e. opportunity cost) is 5% per year?</t>
  </si>
  <si>
    <t>Present Value (PV)</t>
  </si>
  <si>
    <t xml:space="preserve">Future Value -- FV Function </t>
  </si>
  <si>
    <t>Suppose you invest $1,000 today, plus $200 annually in an account that earns 10% per year, how much will it be worth in 5 years?</t>
  </si>
  <si>
    <t>Initial Investment (PV)</t>
  </si>
  <si>
    <t>Annual deposits (PMT)</t>
  </si>
  <si>
    <t>Number of Periods -- NPER Function</t>
  </si>
  <si>
    <t>Example 1:</t>
  </si>
  <si>
    <t>APR (monthly compounding)</t>
  </si>
  <si>
    <t>Monthly Payment</t>
  </si>
  <si>
    <t>Loan Amount</t>
  </si>
  <si>
    <t>No. Periods to Payoff Loan (NPER)</t>
  </si>
  <si>
    <t>Incorrect</t>
  </si>
  <si>
    <t>Example 2:</t>
  </si>
  <si>
    <t>APR 
(monthly compounding)</t>
  </si>
  <si>
    <t>Monthly Deposits</t>
  </si>
  <si>
    <t>Initial Deposit</t>
  </si>
  <si>
    <t>Desired Balance</t>
  </si>
  <si>
    <t>No. Periods to Reach Goal (NPER)</t>
  </si>
  <si>
    <t>months</t>
  </si>
  <si>
    <t>Rate Function</t>
  </si>
  <si>
    <t>At what interest rate could one pay off a $25,000 loan in 60 months by paying $475 monthly?</t>
  </si>
  <si>
    <t>Loan Term</t>
  </si>
  <si>
    <t>Annual Payments</t>
  </si>
  <si>
    <t>Monthly Rate</t>
  </si>
  <si>
    <t>EAR and APR Example</t>
  </si>
  <si>
    <t>Initial Investment</t>
  </si>
  <si>
    <t>i_weekly</t>
  </si>
  <si>
    <t>i_a</t>
  </si>
  <si>
    <t>EAR</t>
  </si>
  <si>
    <t>Weekly Rate</t>
  </si>
  <si>
    <t>Future Value_20</t>
  </si>
  <si>
    <t>No. Periods</t>
  </si>
  <si>
    <t>i_daily</t>
  </si>
  <si>
    <t>More Complex EAR and FV Example</t>
  </si>
  <si>
    <t>Compounded Monthly</t>
  </si>
  <si>
    <t>Term</t>
  </si>
  <si>
    <t>years</t>
  </si>
  <si>
    <t>EOY</t>
  </si>
  <si>
    <t>Cash Flow</t>
  </si>
  <si>
    <t>FV_EOY5</t>
  </si>
  <si>
    <t>Total</t>
  </si>
  <si>
    <t>More Complex APR, EAR, and Present Value Example.</t>
  </si>
  <si>
    <t>i_month</t>
  </si>
  <si>
    <t>Cash Flows</t>
  </si>
  <si>
    <t>Present Value</t>
  </si>
  <si>
    <t>Month</t>
  </si>
  <si>
    <t>The most we'd be willing to pay</t>
  </si>
  <si>
    <t>Using PV Formula Recursively</t>
  </si>
  <si>
    <t>PV_EOY6</t>
  </si>
  <si>
    <t>PV_EOY0</t>
  </si>
  <si>
    <t>Net Present Value Function (NPV Function)</t>
  </si>
  <si>
    <t>Discount Rate</t>
  </si>
  <si>
    <t>INCORRECT</t>
  </si>
  <si>
    <t>Not Including $0 CF</t>
  </si>
  <si>
    <t>Including CF_0 in NPV function</t>
  </si>
  <si>
    <t>NPV</t>
  </si>
  <si>
    <t>Present Value Patent CF</t>
  </si>
  <si>
    <t>Check:</t>
  </si>
  <si>
    <t>Using Dates for Net Present Value Function (XNPV Function)</t>
  </si>
  <si>
    <t>Daily Rate</t>
  </si>
  <si>
    <t>Date</t>
  </si>
  <si>
    <t>Day</t>
  </si>
  <si>
    <t>Annuity Example: Lottery Payout</t>
  </si>
  <si>
    <t>Lotto PV</t>
  </si>
  <si>
    <t>Yearly Disbursements</t>
  </si>
  <si>
    <t xml:space="preserve">     0     1      2     …                                19    20</t>
  </si>
  <si>
    <t>payments</t>
  </si>
  <si>
    <t>Annuity Example: Lottery</t>
  </si>
  <si>
    <t>Rate</t>
  </si>
  <si>
    <t>Finding Present Value using Cash Flow Structure</t>
  </si>
  <si>
    <t>Payouts</t>
  </si>
  <si>
    <t>PV_brute force</t>
  </si>
  <si>
    <t>PV???</t>
  </si>
  <si>
    <t>===</t>
  </si>
  <si>
    <t xml:space="preserve">     0      1      2     …                                      19</t>
  </si>
  <si>
    <t>Annuity Example: Down Payment Savings</t>
  </si>
  <si>
    <t>monthly compounding</t>
  </si>
  <si>
    <t>Future Value</t>
  </si>
  <si>
    <t>Savings Term</t>
  </si>
  <si>
    <t>Monthly Savings</t>
  </si>
  <si>
    <t>Monthly Savings (60)</t>
  </si>
  <si>
    <t>Perpetuity Example: Scholarship</t>
  </si>
  <si>
    <t>A</t>
  </si>
  <si>
    <t>Endowment</t>
  </si>
  <si>
    <t>Cash Flow Representations</t>
  </si>
  <si>
    <t>Simple &amp; Compounding Interest</t>
  </si>
  <si>
    <t>Nominal vs APR</t>
  </si>
  <si>
    <t>Nominal_Effective Annual Rate</t>
  </si>
  <si>
    <t>Rate -- Power of Compounding</t>
  </si>
  <si>
    <t xml:space="preserve">Future Value (FV) -- 2 </t>
  </si>
  <si>
    <t>NPER -- Example 1</t>
  </si>
  <si>
    <t>NPER -- Example 2</t>
  </si>
  <si>
    <t>RATE</t>
  </si>
  <si>
    <t>Quote, EAR, FV Example</t>
  </si>
  <si>
    <t>Mismatch quoted rate &amp; period</t>
  </si>
  <si>
    <t>More Complex Example</t>
  </si>
  <si>
    <t>More Complex Example (2)</t>
  </si>
  <si>
    <t>XNPV</t>
  </si>
  <si>
    <t>Example - Annuity Payout</t>
  </si>
  <si>
    <t>Example - Annuity</t>
  </si>
  <si>
    <t>Example -- Down Payment Savings</t>
  </si>
  <si>
    <t>Example -- Scholarship</t>
  </si>
  <si>
    <t>Worksheet</t>
  </si>
  <si>
    <t>Topics Covered</t>
  </si>
  <si>
    <t>Video Lesson</t>
  </si>
  <si>
    <t>Cash Flow Diagrams in Excel</t>
  </si>
  <si>
    <t>Types of Interest: Simple vs. Compound</t>
  </si>
  <si>
    <t>Nominal and Effective Interest Rates</t>
  </si>
  <si>
    <t xml:space="preserve"> The Power of Compounding</t>
  </si>
  <si>
    <t>  Basic Excel Financial functions I (FV, PV)</t>
  </si>
  <si>
    <t>Basic Excel Financial functions II (RATE, NPER)</t>
  </si>
  <si>
    <t xml:space="preserve"> Examples using APR, EAR, FV and PV Functions </t>
  </si>
  <si>
    <t>  Net Present Value (NPV, XNPV) Function</t>
  </si>
  <si>
    <t xml:space="preserve"> Annuities (PMT) &amp; Perpetuities</t>
  </si>
  <si>
    <t>Illustrating APR, EAR, FV, and PV Functions in Excel.</t>
  </si>
  <si>
    <t>Handling Cases of Mismatched Interest Rates and Periods.</t>
  </si>
  <si>
    <t>Exploring More Complex Financial Scenarios.</t>
  </si>
  <si>
    <t>Continuing with More Complex Financial Examples.</t>
  </si>
  <si>
    <t>Calculating Net Present Value (NPV) in Excel.</t>
  </si>
  <si>
    <t>Defining and comparing Simple vs. Compound Interest</t>
  </si>
  <si>
    <t>Overview of Cash Flow Diagrams, and how to construct them  in Excel</t>
  </si>
  <si>
    <t>Rule of 72 for Interest Rate Estimation</t>
  </si>
  <si>
    <t>Understanding Annual Percentage Rates and nominal interest rates</t>
  </si>
  <si>
    <t>An overview of Effective Interest Rates</t>
  </si>
  <si>
    <t>Calculating Nominal and Effective Annual Interest Rates using the NOMINAL &amp; EFFECT functions</t>
  </si>
  <si>
    <t>The role time and interest rate play on investment growth under compounding</t>
  </si>
  <si>
    <t>Calculating Future Values in Excel using the FV function</t>
  </si>
  <si>
    <t>Calculating Present Values in Excel using the PV function</t>
  </si>
  <si>
    <t>Advanced Future Value Calculations in Excel</t>
  </si>
  <si>
    <t>Calculating the Number of Periods Required to pay off a loan or save money using NPER function</t>
  </si>
  <si>
    <t>More Examples using NPER function</t>
  </si>
  <si>
    <t>Applying the RATE function</t>
  </si>
  <si>
    <t>Using Excel's XNPV Function for when using a ledger to track cash flows</t>
  </si>
  <si>
    <t>Calculating Annuity Payouts in Excel using PMT function</t>
  </si>
  <si>
    <t>Another example using PMT function</t>
  </si>
  <si>
    <t>Understading and calculating endowment needed to support a perpetuity.</t>
  </si>
  <si>
    <t>Introduction to Time Value of Money and Excel's Financial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</si>
</sst>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0.000%"/>
    <numFmt numFmtId="168" formatCode="&quot;$&quot;#,##0.00"/>
    <numFmt numFmtId="169" formatCode="0.0%"/>
    <numFmt numFmtId="170" formatCode="0.00000000000000%"/>
    <numFmt numFmtId="171" formatCode="0.0000%"/>
    <numFmt numFmtId="172" formatCode="0.0"/>
    <numFmt numFmtId="173" formatCode="0.00000%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rgb="FF363636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Source Sans Pro"/>
      <family val="2"/>
    </font>
    <font>
      <sz val="16"/>
      <color rgb="FF000000"/>
      <name val="Source Sans Pro"/>
      <family val="2"/>
    </font>
    <font>
      <u/>
      <sz val="11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3"/>
      </patternFill>
    </fill>
    <fill>
      <patternFill patternType="solid">
        <fgColor theme="2"/>
        <bgColor indexed="64"/>
      </patternFill>
    </fill>
    <fill>
      <patternFill patternType="solid">
        <fgColor rgb="FFA5300F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A5300F"/>
      </left>
      <right/>
      <top style="medium">
        <color rgb="FFA5300F"/>
      </top>
      <bottom/>
      <diagonal/>
    </border>
    <border>
      <left/>
      <right/>
      <top style="medium">
        <color rgb="FFA5300F"/>
      </top>
      <bottom/>
      <diagonal/>
    </border>
    <border>
      <left/>
      <right style="medium">
        <color rgb="FFA5300F"/>
      </right>
      <top style="medium">
        <color rgb="FFA5300F"/>
      </top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3" borderId="7" applyNumberFormat="0" applyAlignment="0" applyProtection="0"/>
    <xf numFmtId="0" fontId="4" fillId="0" borderId="8" applyNumberFormat="0" applyFill="0" applyAlignment="0" applyProtection="0"/>
    <xf numFmtId="0" fontId="5" fillId="0" borderId="0"/>
    <xf numFmtId="0" fontId="2" fillId="0" borderId="0"/>
    <xf numFmtId="9" fontId="5" fillId="0" borderId="0" applyFont="0" applyFill="0" applyBorder="0" applyAlignment="0" applyProtection="0"/>
    <xf numFmtId="0" fontId="12" fillId="11" borderId="0" applyNumberFormat="0" applyFont="0" applyBorder="0" applyAlignment="0" applyProtection="0"/>
    <xf numFmtId="0" fontId="14" fillId="3" borderId="7" applyNumberFormat="0" applyAlignment="0" applyProtection="0"/>
    <xf numFmtId="0" fontId="19" fillId="0" borderId="0" applyNumberFormat="0" applyFill="0" applyBorder="0" applyAlignment="0" applyProtection="0"/>
  </cellStyleXfs>
  <cellXfs count="1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66" fontId="0" fillId="0" borderId="3" xfId="0" applyNumberFormat="1" applyFont="1" applyBorder="1"/>
    <xf numFmtId="0" fontId="0" fillId="0" borderId="4" xfId="0" applyFont="1" applyBorder="1"/>
    <xf numFmtId="0" fontId="0" fillId="0" borderId="5" xfId="0" applyFont="1" applyBorder="1"/>
    <xf numFmtId="166" fontId="0" fillId="0" borderId="6" xfId="0" applyNumberFormat="1" applyFont="1" applyBorder="1"/>
    <xf numFmtId="0" fontId="6" fillId="0" borderId="9" xfId="4" applyFont="1" applyBorder="1"/>
    <xf numFmtId="0" fontId="5" fillId="0" borderId="9" xfId="4" applyBorder="1" applyAlignment="1">
      <alignment horizontal="center"/>
    </xf>
    <xf numFmtId="0" fontId="6" fillId="0" borderId="9" xfId="4" applyFont="1" applyBorder="1" applyAlignment="1"/>
    <xf numFmtId="0" fontId="5" fillId="0" borderId="0" xfId="4"/>
    <xf numFmtId="0" fontId="5" fillId="0" borderId="0" xfId="4" applyAlignment="1">
      <alignment horizontal="center"/>
    </xf>
    <xf numFmtId="0" fontId="5" fillId="0" borderId="0" xfId="4" applyAlignment="1"/>
    <xf numFmtId="0" fontId="7" fillId="0" borderId="0" xfId="4" applyFont="1"/>
    <xf numFmtId="9" fontId="5" fillId="0" borderId="0" xfId="4" applyNumberFormat="1" applyAlignment="1">
      <alignment horizontal="center"/>
    </xf>
    <xf numFmtId="9" fontId="5" fillId="0" borderId="0" xfId="4" applyNumberFormat="1"/>
    <xf numFmtId="166" fontId="5" fillId="0" borderId="0" xfId="4" applyNumberFormat="1" applyAlignment="1">
      <alignment horizontal="center"/>
    </xf>
    <xf numFmtId="166" fontId="5" fillId="0" borderId="0" xfId="4" applyNumberFormat="1"/>
    <xf numFmtId="0" fontId="8" fillId="4" borderId="0" xfId="4" applyFont="1" applyFill="1" applyAlignment="1">
      <alignment horizontal="right"/>
    </xf>
    <xf numFmtId="0" fontId="8" fillId="4" borderId="0" xfId="4" applyFont="1" applyFill="1" applyAlignment="1">
      <alignment horizontal="center"/>
    </xf>
    <xf numFmtId="0" fontId="8" fillId="4" borderId="0" xfId="4" applyFont="1" applyFill="1" applyAlignment="1">
      <alignment horizontal="center" wrapText="1"/>
    </xf>
    <xf numFmtId="164" fontId="5" fillId="0" borderId="0" xfId="4" applyNumberFormat="1"/>
    <xf numFmtId="166" fontId="5" fillId="0" borderId="0" xfId="4" quotePrefix="1" applyNumberFormat="1" applyAlignment="1">
      <alignment horizontal="center"/>
    </xf>
    <xf numFmtId="165" fontId="5" fillId="0" borderId="0" xfId="4" applyNumberFormat="1"/>
    <xf numFmtId="0" fontId="6" fillId="0" borderId="9" xfId="4" applyFont="1" applyBorder="1" applyAlignment="1">
      <alignment horizontal="left"/>
    </xf>
    <xf numFmtId="0" fontId="2" fillId="0" borderId="0" xfId="5"/>
    <xf numFmtId="0" fontId="9" fillId="5" borderId="10" xfId="5" applyFont="1" applyFill="1" applyBorder="1" applyAlignment="1">
      <alignment horizontal="center"/>
    </xf>
    <xf numFmtId="9" fontId="2" fillId="0" borderId="10" xfId="5" applyNumberFormat="1" applyBorder="1" applyAlignment="1">
      <alignment horizontal="center"/>
    </xf>
    <xf numFmtId="2" fontId="2" fillId="0" borderId="10" xfId="5" applyNumberFormat="1" applyBorder="1"/>
    <xf numFmtId="0" fontId="2" fillId="0" borderId="0" xfId="5" applyAlignment="1">
      <alignment horizontal="center"/>
    </xf>
    <xf numFmtId="2" fontId="2" fillId="0" borderId="0" xfId="5" applyNumberFormat="1" applyFill="1" applyBorder="1"/>
    <xf numFmtId="0" fontId="5" fillId="0" borderId="0" xfId="4" applyFill="1" applyAlignment="1"/>
    <xf numFmtId="0" fontId="5" fillId="0" borderId="0" xfId="4" applyFill="1"/>
    <xf numFmtId="0" fontId="5" fillId="4" borderId="0" xfId="4" applyFill="1" applyAlignment="1">
      <alignment wrapText="1"/>
    </xf>
    <xf numFmtId="0" fontId="5" fillId="0" borderId="0" xfId="4" applyAlignment="1">
      <alignment wrapText="1"/>
    </xf>
    <xf numFmtId="0" fontId="5" fillId="0" borderId="0" xfId="4" applyFill="1" applyAlignment="1">
      <alignment wrapText="1"/>
    </xf>
    <xf numFmtId="0" fontId="5" fillId="0" borderId="0" xfId="4" applyFill="1" applyAlignment="1">
      <alignment horizontal="center"/>
    </xf>
    <xf numFmtId="166" fontId="5" fillId="0" borderId="0" xfId="4" applyNumberFormat="1" applyFill="1" applyAlignment="1">
      <alignment horizontal="center"/>
    </xf>
    <xf numFmtId="165" fontId="5" fillId="0" borderId="0" xfId="4" applyNumberFormat="1" applyFill="1" applyAlignment="1"/>
    <xf numFmtId="166" fontId="5" fillId="0" borderId="0" xfId="4" applyNumberFormat="1" applyFill="1"/>
    <xf numFmtId="165" fontId="5" fillId="0" borderId="0" xfId="4" applyNumberFormat="1" applyFill="1"/>
    <xf numFmtId="0" fontId="5" fillId="6" borderId="0" xfId="4" applyFill="1" applyAlignment="1">
      <alignment wrapText="1"/>
    </xf>
    <xf numFmtId="0" fontId="10" fillId="0" borderId="9" xfId="4" applyFont="1" applyBorder="1"/>
    <xf numFmtId="0" fontId="11" fillId="7" borderId="11" xfId="4" applyFont="1" applyFill="1" applyBorder="1" applyAlignment="1">
      <alignment horizontal="left" vertical="center" wrapText="1" readingOrder="1"/>
    </xf>
    <xf numFmtId="0" fontId="11" fillId="7" borderId="12" xfId="4" applyFont="1" applyFill="1" applyBorder="1" applyAlignment="1">
      <alignment horizontal="left" vertical="center" wrapText="1" readingOrder="1"/>
    </xf>
    <xf numFmtId="0" fontId="11" fillId="7" borderId="13" xfId="4" applyFont="1" applyFill="1" applyBorder="1" applyAlignment="1">
      <alignment horizontal="left" vertical="center" wrapText="1" readingOrder="1"/>
    </xf>
    <xf numFmtId="167" fontId="12" fillId="8" borderId="0" xfId="4" applyNumberFormat="1" applyFont="1" applyFill="1" applyBorder="1" applyAlignment="1">
      <alignment vertical="top" wrapText="1"/>
    </xf>
    <xf numFmtId="0" fontId="12" fillId="8" borderId="0" xfId="4" applyFont="1" applyFill="1" applyBorder="1" applyAlignment="1">
      <alignment vertical="top" wrapText="1"/>
    </xf>
    <xf numFmtId="0" fontId="12" fillId="8" borderId="0" xfId="4" applyFont="1" applyFill="1" applyBorder="1" applyAlignment="1">
      <alignment horizontal="center" vertical="top" wrapText="1"/>
    </xf>
    <xf numFmtId="10" fontId="12" fillId="8" borderId="0" xfId="6" applyNumberFormat="1" applyFont="1" applyFill="1" applyBorder="1" applyAlignment="1">
      <alignment vertical="top" wrapText="1"/>
    </xf>
    <xf numFmtId="167" fontId="12" fillId="9" borderId="0" xfId="4" applyNumberFormat="1" applyFont="1" applyFill="1" applyBorder="1" applyAlignment="1">
      <alignment vertical="top" wrapText="1"/>
    </xf>
    <xf numFmtId="0" fontId="12" fillId="9" borderId="0" xfId="4" applyFont="1" applyFill="1" applyBorder="1" applyAlignment="1">
      <alignment vertical="top" wrapText="1"/>
    </xf>
    <xf numFmtId="0" fontId="12" fillId="9" borderId="0" xfId="4" applyFont="1" applyFill="1" applyBorder="1" applyAlignment="1">
      <alignment horizontal="center" vertical="top" wrapText="1"/>
    </xf>
    <xf numFmtId="10" fontId="12" fillId="9" borderId="0" xfId="6" applyNumberFormat="1" applyFont="1" applyFill="1" applyBorder="1" applyAlignment="1">
      <alignment vertical="top" wrapText="1"/>
    </xf>
    <xf numFmtId="166" fontId="5" fillId="10" borderId="0" xfId="4" applyNumberFormat="1" applyFill="1"/>
    <xf numFmtId="0" fontId="5" fillId="0" borderId="0" xfId="4" quotePrefix="1"/>
    <xf numFmtId="9" fontId="5" fillId="10" borderId="0" xfId="4" applyNumberFormat="1" applyFill="1"/>
    <xf numFmtId="10" fontId="0" fillId="0" borderId="0" xfId="6" applyNumberFormat="1" applyFont="1"/>
    <xf numFmtId="1" fontId="5" fillId="10" borderId="0" xfId="4" applyNumberFormat="1" applyFill="1" applyAlignment="1">
      <alignment vertical="center"/>
    </xf>
    <xf numFmtId="168" fontId="5" fillId="0" borderId="0" xfId="4" applyNumberFormat="1"/>
    <xf numFmtId="10" fontId="0" fillId="10" borderId="0" xfId="6" applyNumberFormat="1" applyFont="1" applyFill="1"/>
    <xf numFmtId="0" fontId="13" fillId="4" borderId="0" xfId="4" applyFont="1" applyFill="1"/>
    <xf numFmtId="0" fontId="5" fillId="0" borderId="9" xfId="4" applyBorder="1"/>
    <xf numFmtId="0" fontId="7" fillId="0" borderId="0" xfId="4" applyFont="1" applyAlignment="1">
      <alignment horizontal="right"/>
    </xf>
    <xf numFmtId="169" fontId="0" fillId="10" borderId="0" xfId="6" applyNumberFormat="1" applyFont="1" applyFill="1"/>
    <xf numFmtId="0" fontId="13" fillId="4" borderId="0" xfId="4" applyFont="1" applyFill="1" applyAlignment="1">
      <alignment horizontal="center"/>
    </xf>
    <xf numFmtId="0" fontId="5" fillId="0" borderId="0" xfId="4" quotePrefix="1" applyAlignment="1">
      <alignment horizontal="center"/>
    </xf>
    <xf numFmtId="170" fontId="5" fillId="0" borderId="0" xfId="4" applyNumberFormat="1"/>
    <xf numFmtId="10" fontId="3" fillId="3" borderId="0" xfId="2" applyNumberFormat="1" applyBorder="1" applyAlignment="1">
      <alignment horizontal="center"/>
    </xf>
    <xf numFmtId="169" fontId="2" fillId="0" borderId="0" xfId="6" applyNumberFormat="1" applyFont="1" applyAlignment="1">
      <alignment horizontal="center"/>
    </xf>
    <xf numFmtId="171" fontId="2" fillId="0" borderId="0" xfId="6" applyNumberFormat="1" applyFont="1" applyAlignment="1">
      <alignment horizontal="center"/>
    </xf>
    <xf numFmtId="171" fontId="2" fillId="0" borderId="0" xfId="6" quotePrefix="1" applyNumberFormat="1" applyFont="1" applyAlignment="1">
      <alignment horizontal="center"/>
    </xf>
    <xf numFmtId="0" fontId="5" fillId="0" borderId="0" xfId="4" applyAlignment="1">
      <alignment horizontal="right"/>
    </xf>
    <xf numFmtId="167" fontId="2" fillId="0" borderId="0" xfId="6" applyNumberFormat="1" applyFont="1" applyAlignment="1">
      <alignment horizontal="center"/>
    </xf>
    <xf numFmtId="9" fontId="13" fillId="4" borderId="0" xfId="4" applyNumberFormat="1" applyFont="1" applyFill="1" applyAlignment="1">
      <alignment wrapText="1"/>
    </xf>
    <xf numFmtId="9" fontId="13" fillId="4" borderId="0" xfId="4" applyNumberFormat="1" applyFont="1" applyFill="1"/>
    <xf numFmtId="2" fontId="5" fillId="0" borderId="0" xfId="4" applyNumberFormat="1" applyAlignment="1">
      <alignment wrapText="1"/>
    </xf>
    <xf numFmtId="2" fontId="5" fillId="0" borderId="0" xfId="4" applyNumberFormat="1"/>
    <xf numFmtId="10" fontId="13" fillId="4" borderId="0" xfId="6" applyNumberFormat="1" applyFont="1" applyFill="1"/>
    <xf numFmtId="0" fontId="10" fillId="0" borderId="9" xfId="0" applyFont="1" applyBorder="1"/>
    <xf numFmtId="0" fontId="0" fillId="0" borderId="0" xfId="0" applyAlignment="1">
      <alignment horizontal="right"/>
    </xf>
    <xf numFmtId="0" fontId="0" fillId="11" borderId="0" xfId="7" applyFont="1"/>
    <xf numFmtId="9" fontId="0" fillId="11" borderId="0" xfId="7" applyNumberFormat="1" applyFont="1"/>
    <xf numFmtId="165" fontId="14" fillId="3" borderId="0" xfId="8" applyNumberFormat="1" applyBorder="1"/>
    <xf numFmtId="168" fontId="14" fillId="3" borderId="0" xfId="8" applyNumberFormat="1" applyBorder="1"/>
    <xf numFmtId="0" fontId="2" fillId="0" borderId="0" xfId="0" applyFont="1"/>
    <xf numFmtId="0" fontId="4" fillId="0" borderId="0" xfId="0" applyFont="1"/>
    <xf numFmtId="0" fontId="15" fillId="0" borderId="0" xfId="0" applyFont="1" applyAlignment="1">
      <alignment vertical="center" wrapText="1"/>
    </xf>
    <xf numFmtId="9" fontId="15" fillId="0" borderId="0" xfId="1" applyFont="1" applyAlignment="1">
      <alignment vertical="center" wrapText="1"/>
    </xf>
    <xf numFmtId="164" fontId="2" fillId="0" borderId="0" xfId="0" applyNumberFormat="1" applyFont="1"/>
    <xf numFmtId="164" fontId="15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quotePrefix="1" applyNumberFormat="1" applyFont="1"/>
    <xf numFmtId="172" fontId="2" fillId="0" borderId="0" xfId="0" applyNumberFormat="1" applyFont="1"/>
    <xf numFmtId="0" fontId="0" fillId="0" borderId="0" xfId="0" quotePrefix="1" applyFont="1"/>
    <xf numFmtId="1" fontId="0" fillId="0" borderId="0" xfId="0" quotePrefix="1" applyNumberFormat="1" applyFont="1"/>
    <xf numFmtId="0" fontId="16" fillId="0" borderId="9" xfId="0" applyFont="1" applyBorder="1"/>
    <xf numFmtId="167" fontId="0" fillId="0" borderId="0" xfId="0" applyNumberFormat="1"/>
    <xf numFmtId="10" fontId="0" fillId="0" borderId="0" xfId="1" applyNumberFormat="1" applyFont="1"/>
    <xf numFmtId="10" fontId="5" fillId="0" borderId="0" xfId="4" applyNumberFormat="1"/>
    <xf numFmtId="171" fontId="0" fillId="10" borderId="0" xfId="6" applyNumberFormat="1" applyFont="1" applyFill="1"/>
    <xf numFmtId="0" fontId="5" fillId="0" borderId="0" xfId="4" applyAlignment="1">
      <alignment horizontal="left" indent="1"/>
    </xf>
    <xf numFmtId="10" fontId="3" fillId="3" borderId="9" xfId="6" applyNumberFormat="1" applyFont="1" applyFill="1" applyBorder="1"/>
    <xf numFmtId="166" fontId="3" fillId="3" borderId="9" xfId="2" applyNumberFormat="1" applyBorder="1"/>
    <xf numFmtId="167" fontId="3" fillId="3" borderId="9" xfId="6" applyNumberFormat="1" applyFont="1" applyFill="1" applyBorder="1"/>
    <xf numFmtId="173" fontId="0" fillId="0" borderId="0" xfId="6" applyNumberFormat="1" applyFont="1"/>
    <xf numFmtId="10" fontId="3" fillId="3" borderId="9" xfId="6" quotePrefix="1" applyNumberFormat="1" applyFont="1" applyFill="1" applyBorder="1"/>
    <xf numFmtId="171" fontId="5" fillId="0" borderId="0" xfId="4" applyNumberFormat="1"/>
    <xf numFmtId="169" fontId="3" fillId="3" borderId="9" xfId="6" quotePrefix="1" applyNumberFormat="1" applyFont="1" applyFill="1" applyBorder="1"/>
    <xf numFmtId="0" fontId="0" fillId="0" borderId="0" xfId="0" applyFill="1" applyBorder="1"/>
    <xf numFmtId="9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Fill="1" applyBorder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12" borderId="0" xfId="0" applyFont="1" applyFill="1" applyBorder="1"/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quotePrefix="1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8" xfId="3" applyAlignment="1">
      <alignment horizontal="right"/>
    </xf>
    <xf numFmtId="168" fontId="4" fillId="3" borderId="8" xfId="3" applyNumberForma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/>
    </xf>
    <xf numFmtId="171" fontId="0" fillId="0" borderId="0" xfId="1" applyNumberFormat="1" applyFont="1"/>
    <xf numFmtId="167" fontId="0" fillId="0" borderId="0" xfId="1" applyNumberFormat="1" applyFont="1"/>
    <xf numFmtId="0" fontId="1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4" fillId="0" borderId="8" xfId="3"/>
    <xf numFmtId="168" fontId="4" fillId="0" borderId="8" xfId="3" quotePrefix="1" applyNumberFormat="1"/>
    <xf numFmtId="168" fontId="0" fillId="0" borderId="0" xfId="0" quotePrefix="1" applyNumberFormat="1"/>
    <xf numFmtId="168" fontId="4" fillId="0" borderId="8" xfId="3" applyNumberFormat="1"/>
    <xf numFmtId="168" fontId="4" fillId="0" borderId="8" xfId="3" applyNumberFormat="1" applyAlignment="1">
      <alignment horizontal="right"/>
    </xf>
    <xf numFmtId="168" fontId="4" fillId="0" borderId="0" xfId="3" applyNumberFormat="1" applyBorder="1"/>
    <xf numFmtId="0" fontId="17" fillId="0" borderId="9" xfId="4" applyFont="1" applyBorder="1"/>
    <xf numFmtId="0" fontId="5" fillId="0" borderId="0" xfId="4" applyAlignment="1">
      <alignment horizontal="left"/>
    </xf>
    <xf numFmtId="168" fontId="3" fillId="3" borderId="0" xfId="2" applyNumberFormat="1" applyBorder="1"/>
    <xf numFmtId="0" fontId="5" fillId="0" borderId="0" xfId="4" quotePrefix="1" applyFont="1"/>
    <xf numFmtId="165" fontId="5" fillId="0" borderId="0" xfId="4" quotePrefix="1" applyNumberFormat="1"/>
    <xf numFmtId="168" fontId="5" fillId="6" borderId="0" xfId="4" applyNumberFormat="1" applyFill="1"/>
    <xf numFmtId="0" fontId="18" fillId="0" borderId="9" xfId="4" applyFont="1" applyBorder="1"/>
    <xf numFmtId="0" fontId="20" fillId="4" borderId="0" xfId="0" applyFont="1" applyFill="1" applyAlignment="1"/>
    <xf numFmtId="0" fontId="21" fillId="4" borderId="0" xfId="0" applyFont="1" applyFill="1" applyAlignment="1"/>
    <xf numFmtId="0" fontId="22" fillId="0" borderId="0" xfId="0" applyFont="1" applyAlignment="1"/>
    <xf numFmtId="0" fontId="19" fillId="0" borderId="0" xfId="9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4" applyAlignment="1">
      <alignment horizontal="right"/>
    </xf>
    <xf numFmtId="0" fontId="13" fillId="4" borderId="0" xfId="4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0">
    <cellStyle name="Hyperlink" xfId="9" builtinId="8"/>
    <cellStyle name="Normal" xfId="0" builtinId="0"/>
    <cellStyle name="Normal 2" xfId="4" xr:uid="{9DF32090-D6EB-4ED8-963E-A052698AC893}"/>
    <cellStyle name="Normal 2 2" xfId="5" xr:uid="{4ECC5CD9-B96C-4AF5-8331-6E4DF696D1E8}"/>
    <cellStyle name="Output" xfId="2" builtinId="21"/>
    <cellStyle name="Output 2" xfId="8" xr:uid="{CE5E9236-AB0A-47CA-944A-3B0CA72CB850}"/>
    <cellStyle name="Percent" xfId="1" builtinId="5"/>
    <cellStyle name="Percent 2" xfId="6" xr:uid="{AD463B8D-C541-4FC3-BE6A-5D593DFA345C}"/>
    <cellStyle name="Total" xfId="3" builtinId="25"/>
    <cellStyle name="Yellow" xfId="7" xr:uid="{357E252B-4832-465C-8DFA-E4FE4C4B4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21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6.xml"/><Relationship Id="rId34" Type="http://schemas.openxmlformats.org/officeDocument/2006/relationships/styles" Target="style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20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29" Type="http://schemas.openxmlformats.org/officeDocument/2006/relationships/worksheet" Target="worksheets/sheet2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9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8.xml"/><Relationship Id="rId28" Type="http://schemas.openxmlformats.org/officeDocument/2006/relationships/worksheet" Target="worksheets/sheet23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4.xml"/><Relationship Id="rId31" Type="http://schemas.openxmlformats.org/officeDocument/2006/relationships/worksheet" Target="worksheets/sheet2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7.xml"/><Relationship Id="rId27" Type="http://schemas.openxmlformats.org/officeDocument/2006/relationships/worksheet" Target="worksheets/sheet22.xml"/><Relationship Id="rId30" Type="http://schemas.openxmlformats.org/officeDocument/2006/relationships/worksheet" Target="worksheets/sheet25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Representations'!$C$5</c:f>
              <c:strCache>
                <c:ptCount val="1"/>
                <c:pt idx="0">
                  <c:v>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Representations'!$B$6:$B$12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'Cash Flow Representations'!$C$6:$C$12</c:f>
              <c:numCache>
                <c:formatCode>"$"#,##0</c:formatCode>
                <c:ptCount val="7"/>
                <c:pt idx="0">
                  <c:v>25000</c:v>
                </c:pt>
                <c:pt idx="1">
                  <c:v>0</c:v>
                </c:pt>
                <c:pt idx="2">
                  <c:v>-6000</c:v>
                </c:pt>
                <c:pt idx="3">
                  <c:v>-6000</c:v>
                </c:pt>
                <c:pt idx="4">
                  <c:v>-6000</c:v>
                </c:pt>
                <c:pt idx="5">
                  <c:v>-6000</c:v>
                </c:pt>
                <c:pt idx="6">
                  <c:v>-6000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3FF-A5AB-45B53114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00880"/>
        <c:axId val="320198480"/>
      </c:barChart>
      <c:catAx>
        <c:axId val="2230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320198480"/>
        <c:crosses val="autoZero"/>
        <c:auto val="1"/>
        <c:lblAlgn val="ctr"/>
        <c:lblOffset val="100"/>
        <c:noMultiLvlLbl val="0"/>
      </c:catAx>
      <c:valAx>
        <c:axId val="32019848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230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Account Balance under </a:t>
            </a:r>
            <a:r>
              <a:rPr lang="en-US" sz="2000" b="1">
                <a:solidFill>
                  <a:schemeClr val="bg2"/>
                </a:solidFill>
              </a:rPr>
              <a:t>Simple</a:t>
            </a:r>
            <a:r>
              <a:rPr lang="en-US" sz="2000"/>
              <a:t> Interest</a:t>
            </a:r>
          </a:p>
          <a:p>
            <a:pPr>
              <a:defRPr sz="2000"/>
            </a:pPr>
            <a:r>
              <a:rPr lang="en-US" sz="2000"/>
              <a:t>P = $10,000; r = 12%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 vs. Compounding Interest'!$G$4</c:f>
              <c:strCache>
                <c:ptCount val="1"/>
                <c:pt idx="0">
                  <c:v>Simple Interest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'Simple vs. Compounding Interest'!$F$5:$F$45</c:f>
              <c:numCache>
                <c:formatCode>General</c:formatCode>
                <c:ptCount val="41"/>
                <c:pt idx="0">
                  <c:v>2023</c:v>
                </c:pt>
                <c:pt idx="1">
                  <c:v>2024</c:v>
                </c:pt>
                <c:pt idx="2">
                  <c:v>2024</c:v>
                </c:pt>
                <c:pt idx="3">
                  <c:v>2025</c:v>
                </c:pt>
                <c:pt idx="4">
                  <c:v>2025</c:v>
                </c:pt>
                <c:pt idx="5">
                  <c:v>2026</c:v>
                </c:pt>
                <c:pt idx="6">
                  <c:v>2026</c:v>
                </c:pt>
                <c:pt idx="7">
                  <c:v>2027</c:v>
                </c:pt>
                <c:pt idx="8">
                  <c:v>2027</c:v>
                </c:pt>
                <c:pt idx="9">
                  <c:v>2028</c:v>
                </c:pt>
                <c:pt idx="10">
                  <c:v>2028</c:v>
                </c:pt>
                <c:pt idx="11">
                  <c:v>2029</c:v>
                </c:pt>
                <c:pt idx="12">
                  <c:v>2029</c:v>
                </c:pt>
                <c:pt idx="13">
                  <c:v>2030</c:v>
                </c:pt>
                <c:pt idx="14">
                  <c:v>2030</c:v>
                </c:pt>
                <c:pt idx="15">
                  <c:v>2031</c:v>
                </c:pt>
                <c:pt idx="16">
                  <c:v>2031</c:v>
                </c:pt>
                <c:pt idx="17">
                  <c:v>2032</c:v>
                </c:pt>
                <c:pt idx="18">
                  <c:v>2032</c:v>
                </c:pt>
                <c:pt idx="19">
                  <c:v>2033</c:v>
                </c:pt>
                <c:pt idx="20">
                  <c:v>2033</c:v>
                </c:pt>
                <c:pt idx="21">
                  <c:v>2034</c:v>
                </c:pt>
                <c:pt idx="22">
                  <c:v>2034</c:v>
                </c:pt>
                <c:pt idx="23">
                  <c:v>2035</c:v>
                </c:pt>
                <c:pt idx="24">
                  <c:v>2035</c:v>
                </c:pt>
                <c:pt idx="25">
                  <c:v>2036</c:v>
                </c:pt>
                <c:pt idx="26">
                  <c:v>2036</c:v>
                </c:pt>
                <c:pt idx="27">
                  <c:v>2037</c:v>
                </c:pt>
                <c:pt idx="28">
                  <c:v>2037</c:v>
                </c:pt>
                <c:pt idx="29">
                  <c:v>2038</c:v>
                </c:pt>
                <c:pt idx="30">
                  <c:v>2038</c:v>
                </c:pt>
                <c:pt idx="31">
                  <c:v>2039</c:v>
                </c:pt>
                <c:pt idx="32">
                  <c:v>2039</c:v>
                </c:pt>
                <c:pt idx="33">
                  <c:v>2040</c:v>
                </c:pt>
                <c:pt idx="34">
                  <c:v>2040</c:v>
                </c:pt>
                <c:pt idx="35">
                  <c:v>2041</c:v>
                </c:pt>
                <c:pt idx="36">
                  <c:v>2041</c:v>
                </c:pt>
                <c:pt idx="37">
                  <c:v>2042</c:v>
                </c:pt>
                <c:pt idx="38">
                  <c:v>2042</c:v>
                </c:pt>
                <c:pt idx="39">
                  <c:v>2043</c:v>
                </c:pt>
                <c:pt idx="40">
                  <c:v>2043</c:v>
                </c:pt>
              </c:numCache>
            </c:numRef>
          </c:cat>
          <c:val>
            <c:numRef>
              <c:f>'Simple vs. Compounding Interest'!$G$5:$G$45</c:f>
              <c:numCache>
                <c:formatCode>"$"#,##0</c:formatCode>
                <c:ptCount val="41"/>
                <c:pt idx="0">
                  <c:v>10000</c:v>
                </c:pt>
                <c:pt idx="1">
                  <c:v>10000</c:v>
                </c:pt>
                <c:pt idx="2">
                  <c:v>11200</c:v>
                </c:pt>
                <c:pt idx="3">
                  <c:v>11200</c:v>
                </c:pt>
                <c:pt idx="4">
                  <c:v>12400</c:v>
                </c:pt>
                <c:pt idx="5">
                  <c:v>12400</c:v>
                </c:pt>
                <c:pt idx="6">
                  <c:v>13600</c:v>
                </c:pt>
                <c:pt idx="7">
                  <c:v>13600</c:v>
                </c:pt>
                <c:pt idx="8">
                  <c:v>14800</c:v>
                </c:pt>
                <c:pt idx="9">
                  <c:v>14800</c:v>
                </c:pt>
                <c:pt idx="10">
                  <c:v>16000</c:v>
                </c:pt>
                <c:pt idx="11">
                  <c:v>16000</c:v>
                </c:pt>
                <c:pt idx="12">
                  <c:v>17200</c:v>
                </c:pt>
                <c:pt idx="13">
                  <c:v>17200</c:v>
                </c:pt>
                <c:pt idx="14">
                  <c:v>18400</c:v>
                </c:pt>
                <c:pt idx="15">
                  <c:v>18400</c:v>
                </c:pt>
                <c:pt idx="16">
                  <c:v>19600</c:v>
                </c:pt>
                <c:pt idx="17">
                  <c:v>19600</c:v>
                </c:pt>
                <c:pt idx="18">
                  <c:v>20800</c:v>
                </c:pt>
                <c:pt idx="19">
                  <c:v>20800</c:v>
                </c:pt>
                <c:pt idx="20">
                  <c:v>22000</c:v>
                </c:pt>
                <c:pt idx="21">
                  <c:v>22000</c:v>
                </c:pt>
                <c:pt idx="22">
                  <c:v>23200</c:v>
                </c:pt>
                <c:pt idx="23">
                  <c:v>23200</c:v>
                </c:pt>
                <c:pt idx="24">
                  <c:v>24400</c:v>
                </c:pt>
                <c:pt idx="25">
                  <c:v>24400</c:v>
                </c:pt>
                <c:pt idx="26">
                  <c:v>25600</c:v>
                </c:pt>
                <c:pt idx="27">
                  <c:v>25600</c:v>
                </c:pt>
                <c:pt idx="28">
                  <c:v>26800</c:v>
                </c:pt>
                <c:pt idx="29">
                  <c:v>26800</c:v>
                </c:pt>
                <c:pt idx="30">
                  <c:v>28000</c:v>
                </c:pt>
                <c:pt idx="31">
                  <c:v>28000</c:v>
                </c:pt>
                <c:pt idx="32">
                  <c:v>29200</c:v>
                </c:pt>
                <c:pt idx="33">
                  <c:v>29200</c:v>
                </c:pt>
                <c:pt idx="34">
                  <c:v>30400</c:v>
                </c:pt>
                <c:pt idx="35">
                  <c:v>30400</c:v>
                </c:pt>
                <c:pt idx="36">
                  <c:v>31600</c:v>
                </c:pt>
                <c:pt idx="37">
                  <c:v>31600</c:v>
                </c:pt>
                <c:pt idx="38">
                  <c:v>32800</c:v>
                </c:pt>
                <c:pt idx="39">
                  <c:v>32800</c:v>
                </c:pt>
                <c:pt idx="40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D-4508-AD63-E820FAA3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42704"/>
        <c:axId val="582845328"/>
      </c:lineChart>
      <c:dateAx>
        <c:axId val="5828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82845328"/>
        <c:crosses val="autoZero"/>
        <c:auto val="0"/>
        <c:lblOffset val="100"/>
        <c:baseTimeUnit val="days"/>
      </c:dateAx>
      <c:valAx>
        <c:axId val="582845328"/>
        <c:scaling>
          <c:orientation val="minMax"/>
          <c:max val="35000"/>
          <c:min val="75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8284270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G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Account Balance under </a:t>
            </a:r>
            <a:r>
              <a:rPr lang="en-US" sz="1800" b="1" i="0" baseline="0">
                <a:solidFill>
                  <a:srgbClr val="C00000"/>
                </a:solidFill>
                <a:effectLst/>
              </a:rPr>
              <a:t>Compound</a:t>
            </a:r>
            <a:r>
              <a:rPr lang="en-US" sz="1800" b="0" i="0" baseline="0">
                <a:effectLst/>
              </a:rPr>
              <a:t> Interest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P = $10,000; r = 12%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 vs. Compounding Interest'!$H$4</c:f>
              <c:strCache>
                <c:ptCount val="1"/>
                <c:pt idx="0">
                  <c:v>Compound Interest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'Simple vs. Compounding Interest'!$F$5:$F$45</c:f>
              <c:numCache>
                <c:formatCode>General</c:formatCode>
                <c:ptCount val="41"/>
                <c:pt idx="0">
                  <c:v>2023</c:v>
                </c:pt>
                <c:pt idx="1">
                  <c:v>2024</c:v>
                </c:pt>
                <c:pt idx="2">
                  <c:v>2024</c:v>
                </c:pt>
                <c:pt idx="3">
                  <c:v>2025</c:v>
                </c:pt>
                <c:pt idx="4">
                  <c:v>2025</c:v>
                </c:pt>
                <c:pt idx="5">
                  <c:v>2026</c:v>
                </c:pt>
                <c:pt idx="6">
                  <c:v>2026</c:v>
                </c:pt>
                <c:pt idx="7">
                  <c:v>2027</c:v>
                </c:pt>
                <c:pt idx="8">
                  <c:v>2027</c:v>
                </c:pt>
                <c:pt idx="9">
                  <c:v>2028</c:v>
                </c:pt>
                <c:pt idx="10">
                  <c:v>2028</c:v>
                </c:pt>
                <c:pt idx="11">
                  <c:v>2029</c:v>
                </c:pt>
                <c:pt idx="12">
                  <c:v>2029</c:v>
                </c:pt>
                <c:pt idx="13">
                  <c:v>2030</c:v>
                </c:pt>
                <c:pt idx="14">
                  <c:v>2030</c:v>
                </c:pt>
                <c:pt idx="15">
                  <c:v>2031</c:v>
                </c:pt>
                <c:pt idx="16">
                  <c:v>2031</c:v>
                </c:pt>
                <c:pt idx="17">
                  <c:v>2032</c:v>
                </c:pt>
                <c:pt idx="18">
                  <c:v>2032</c:v>
                </c:pt>
                <c:pt idx="19">
                  <c:v>2033</c:v>
                </c:pt>
                <c:pt idx="20">
                  <c:v>2033</c:v>
                </c:pt>
                <c:pt idx="21">
                  <c:v>2034</c:v>
                </c:pt>
                <c:pt idx="22">
                  <c:v>2034</c:v>
                </c:pt>
                <c:pt idx="23">
                  <c:v>2035</c:v>
                </c:pt>
                <c:pt idx="24">
                  <c:v>2035</c:v>
                </c:pt>
                <c:pt idx="25">
                  <c:v>2036</c:v>
                </c:pt>
                <c:pt idx="26">
                  <c:v>2036</c:v>
                </c:pt>
                <c:pt idx="27">
                  <c:v>2037</c:v>
                </c:pt>
                <c:pt idx="28">
                  <c:v>2037</c:v>
                </c:pt>
                <c:pt idx="29">
                  <c:v>2038</c:v>
                </c:pt>
                <c:pt idx="30">
                  <c:v>2038</c:v>
                </c:pt>
                <c:pt idx="31">
                  <c:v>2039</c:v>
                </c:pt>
                <c:pt idx="32">
                  <c:v>2039</c:v>
                </c:pt>
                <c:pt idx="33">
                  <c:v>2040</c:v>
                </c:pt>
                <c:pt idx="34">
                  <c:v>2040</c:v>
                </c:pt>
                <c:pt idx="35">
                  <c:v>2041</c:v>
                </c:pt>
                <c:pt idx="36">
                  <c:v>2041</c:v>
                </c:pt>
                <c:pt idx="37">
                  <c:v>2042</c:v>
                </c:pt>
                <c:pt idx="38">
                  <c:v>2042</c:v>
                </c:pt>
                <c:pt idx="39">
                  <c:v>2043</c:v>
                </c:pt>
                <c:pt idx="40">
                  <c:v>2043</c:v>
                </c:pt>
              </c:numCache>
            </c:numRef>
          </c:cat>
          <c:val>
            <c:numRef>
              <c:f>'Simple vs. Compounding Interest'!$H$5:$H$45</c:f>
              <c:numCache>
                <c:formatCode>"$"#,##0</c:formatCode>
                <c:ptCount val="41"/>
                <c:pt idx="0">
                  <c:v>10000</c:v>
                </c:pt>
                <c:pt idx="1">
                  <c:v>10000</c:v>
                </c:pt>
                <c:pt idx="2">
                  <c:v>11200.000000000002</c:v>
                </c:pt>
                <c:pt idx="3">
                  <c:v>11200.000000000002</c:v>
                </c:pt>
                <c:pt idx="4">
                  <c:v>12544.000000000002</c:v>
                </c:pt>
                <c:pt idx="5">
                  <c:v>12544.000000000002</c:v>
                </c:pt>
                <c:pt idx="6">
                  <c:v>14049.280000000004</c:v>
                </c:pt>
                <c:pt idx="7">
                  <c:v>14049.280000000004</c:v>
                </c:pt>
                <c:pt idx="8">
                  <c:v>15735.193600000004</c:v>
                </c:pt>
                <c:pt idx="9">
                  <c:v>15735.193600000004</c:v>
                </c:pt>
                <c:pt idx="10">
                  <c:v>17623.416832000006</c:v>
                </c:pt>
                <c:pt idx="11">
                  <c:v>17623.416832000006</c:v>
                </c:pt>
                <c:pt idx="12">
                  <c:v>19738.226851840009</c:v>
                </c:pt>
                <c:pt idx="13">
                  <c:v>19738.226851840009</c:v>
                </c:pt>
                <c:pt idx="14">
                  <c:v>22106.814074060811</c:v>
                </c:pt>
                <c:pt idx="15">
                  <c:v>22106.814074060811</c:v>
                </c:pt>
                <c:pt idx="16">
                  <c:v>24759.631762948109</c:v>
                </c:pt>
                <c:pt idx="17">
                  <c:v>24759.631762948109</c:v>
                </c:pt>
                <c:pt idx="18">
                  <c:v>27730.787574501883</c:v>
                </c:pt>
                <c:pt idx="19">
                  <c:v>27730.787574501883</c:v>
                </c:pt>
                <c:pt idx="20">
                  <c:v>31058.482083442112</c:v>
                </c:pt>
                <c:pt idx="21">
                  <c:v>31058.482083442112</c:v>
                </c:pt>
                <c:pt idx="22">
                  <c:v>34785.499933455169</c:v>
                </c:pt>
                <c:pt idx="23">
                  <c:v>34785.499933455169</c:v>
                </c:pt>
                <c:pt idx="24">
                  <c:v>38959.759925469785</c:v>
                </c:pt>
                <c:pt idx="25">
                  <c:v>38959.759925469785</c:v>
                </c:pt>
                <c:pt idx="26">
                  <c:v>43634.931116526168</c:v>
                </c:pt>
                <c:pt idx="27">
                  <c:v>43634.931116526168</c:v>
                </c:pt>
                <c:pt idx="28">
                  <c:v>48871.122850509317</c:v>
                </c:pt>
                <c:pt idx="29">
                  <c:v>48871.122850509317</c:v>
                </c:pt>
                <c:pt idx="30">
                  <c:v>54735.657592570431</c:v>
                </c:pt>
                <c:pt idx="31">
                  <c:v>54735.657592570431</c:v>
                </c:pt>
                <c:pt idx="32">
                  <c:v>61303.936503678888</c:v>
                </c:pt>
                <c:pt idx="33">
                  <c:v>61303.936503678888</c:v>
                </c:pt>
                <c:pt idx="34">
                  <c:v>68660.408884120363</c:v>
                </c:pt>
                <c:pt idx="35">
                  <c:v>68660.408884120363</c:v>
                </c:pt>
                <c:pt idx="36">
                  <c:v>76899.657950214809</c:v>
                </c:pt>
                <c:pt idx="37">
                  <c:v>76899.657950214809</c:v>
                </c:pt>
                <c:pt idx="38">
                  <c:v>86127.616904240596</c:v>
                </c:pt>
                <c:pt idx="39">
                  <c:v>86127.616904240596</c:v>
                </c:pt>
                <c:pt idx="40">
                  <c:v>96462.93093274947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F-4A12-836C-BCEB67C0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80848"/>
        <c:axId val="581390360"/>
      </c:lineChart>
      <c:dateAx>
        <c:axId val="5813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81390360"/>
        <c:crosses val="autoZero"/>
        <c:auto val="0"/>
        <c:lblOffset val="100"/>
        <c:baseTimeUnit val="days"/>
      </c:dateAx>
      <c:valAx>
        <c:axId val="581390360"/>
        <c:scaling>
          <c:orientation val="minMax"/>
          <c:max val="1000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813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G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Account Balance</a:t>
            </a:r>
            <a:r>
              <a:rPr lang="en-US" sz="2400" baseline="0"/>
              <a:t> -- </a:t>
            </a:r>
            <a:r>
              <a:rPr lang="en-US" sz="2400" b="1" baseline="0">
                <a:solidFill>
                  <a:srgbClr val="BC0404"/>
                </a:solidFill>
              </a:rPr>
              <a:t>Compound</a:t>
            </a:r>
            <a:r>
              <a:rPr lang="en-US" sz="2400" baseline="0"/>
              <a:t> vs. </a:t>
            </a:r>
            <a:r>
              <a:rPr lang="en-US" sz="2400" b="1" baseline="0">
                <a:solidFill>
                  <a:schemeClr val="bg2"/>
                </a:solidFill>
              </a:rPr>
              <a:t>Simple</a:t>
            </a:r>
            <a:r>
              <a:rPr lang="en-US" sz="2400" baseline="0"/>
              <a:t> Interest</a:t>
            </a:r>
          </a:p>
          <a:p>
            <a:pPr>
              <a:defRPr sz="2400"/>
            </a:pPr>
            <a:r>
              <a:rPr lang="en-US" sz="2400" baseline="0"/>
              <a:t>P = $10,000; r = 12%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>
        <c:manualLayout>
          <c:layoutTarget val="inner"/>
          <c:xMode val="edge"/>
          <c:yMode val="edge"/>
          <c:x val="9.9605271258189604E-2"/>
          <c:y val="0.15612858908533958"/>
          <c:w val="0.87683644744364242"/>
          <c:h val="0.72373778868275163"/>
        </c:manualLayout>
      </c:layout>
      <c:lineChart>
        <c:grouping val="standard"/>
        <c:varyColors val="0"/>
        <c:ser>
          <c:idx val="0"/>
          <c:order val="0"/>
          <c:tx>
            <c:v>Simple Interest</c:v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'Simple vs. Compounding Interest'!$F$5:$F$45</c:f>
              <c:numCache>
                <c:formatCode>General</c:formatCode>
                <c:ptCount val="41"/>
                <c:pt idx="0">
                  <c:v>2023</c:v>
                </c:pt>
                <c:pt idx="1">
                  <c:v>2024</c:v>
                </c:pt>
                <c:pt idx="2">
                  <c:v>2024</c:v>
                </c:pt>
                <c:pt idx="3">
                  <c:v>2025</c:v>
                </c:pt>
                <c:pt idx="4">
                  <c:v>2025</c:v>
                </c:pt>
                <c:pt idx="5">
                  <c:v>2026</c:v>
                </c:pt>
                <c:pt idx="6">
                  <c:v>2026</c:v>
                </c:pt>
                <c:pt idx="7">
                  <c:v>2027</c:v>
                </c:pt>
                <c:pt idx="8">
                  <c:v>2027</c:v>
                </c:pt>
                <c:pt idx="9">
                  <c:v>2028</c:v>
                </c:pt>
                <c:pt idx="10">
                  <c:v>2028</c:v>
                </c:pt>
                <c:pt idx="11">
                  <c:v>2029</c:v>
                </c:pt>
                <c:pt idx="12">
                  <c:v>2029</c:v>
                </c:pt>
                <c:pt idx="13">
                  <c:v>2030</c:v>
                </c:pt>
                <c:pt idx="14">
                  <c:v>2030</c:v>
                </c:pt>
                <c:pt idx="15">
                  <c:v>2031</c:v>
                </c:pt>
                <c:pt idx="16">
                  <c:v>2031</c:v>
                </c:pt>
                <c:pt idx="17">
                  <c:v>2032</c:v>
                </c:pt>
                <c:pt idx="18">
                  <c:v>2032</c:v>
                </c:pt>
                <c:pt idx="19">
                  <c:v>2033</c:v>
                </c:pt>
                <c:pt idx="20">
                  <c:v>2033</c:v>
                </c:pt>
                <c:pt idx="21">
                  <c:v>2034</c:v>
                </c:pt>
                <c:pt idx="22">
                  <c:v>2034</c:v>
                </c:pt>
                <c:pt idx="23">
                  <c:v>2035</c:v>
                </c:pt>
                <c:pt idx="24">
                  <c:v>2035</c:v>
                </c:pt>
                <c:pt idx="25">
                  <c:v>2036</c:v>
                </c:pt>
                <c:pt idx="26">
                  <c:v>2036</c:v>
                </c:pt>
                <c:pt idx="27">
                  <c:v>2037</c:v>
                </c:pt>
                <c:pt idx="28">
                  <c:v>2037</c:v>
                </c:pt>
                <c:pt idx="29">
                  <c:v>2038</c:v>
                </c:pt>
                <c:pt idx="30">
                  <c:v>2038</c:v>
                </c:pt>
                <c:pt idx="31">
                  <c:v>2039</c:v>
                </c:pt>
                <c:pt idx="32">
                  <c:v>2039</c:v>
                </c:pt>
                <c:pt idx="33">
                  <c:v>2040</c:v>
                </c:pt>
                <c:pt idx="34">
                  <c:v>2040</c:v>
                </c:pt>
                <c:pt idx="35">
                  <c:v>2041</c:v>
                </c:pt>
                <c:pt idx="36">
                  <c:v>2041</c:v>
                </c:pt>
                <c:pt idx="37">
                  <c:v>2042</c:v>
                </c:pt>
                <c:pt idx="38">
                  <c:v>2042</c:v>
                </c:pt>
                <c:pt idx="39">
                  <c:v>2043</c:v>
                </c:pt>
                <c:pt idx="40">
                  <c:v>2043</c:v>
                </c:pt>
              </c:numCache>
            </c:numRef>
          </c:cat>
          <c:val>
            <c:numRef>
              <c:f>'Simple vs. Compounding Interest'!$G$5:$G$45</c:f>
              <c:numCache>
                <c:formatCode>"$"#,##0</c:formatCode>
                <c:ptCount val="41"/>
                <c:pt idx="0">
                  <c:v>10000</c:v>
                </c:pt>
                <c:pt idx="1">
                  <c:v>10000</c:v>
                </c:pt>
                <c:pt idx="2">
                  <c:v>11200</c:v>
                </c:pt>
                <c:pt idx="3">
                  <c:v>11200</c:v>
                </c:pt>
                <c:pt idx="4">
                  <c:v>12400</c:v>
                </c:pt>
                <c:pt idx="5">
                  <c:v>12400</c:v>
                </c:pt>
                <c:pt idx="6">
                  <c:v>13600</c:v>
                </c:pt>
                <c:pt idx="7">
                  <c:v>13600</c:v>
                </c:pt>
                <c:pt idx="8">
                  <c:v>14800</c:v>
                </c:pt>
                <c:pt idx="9">
                  <c:v>14800</c:v>
                </c:pt>
                <c:pt idx="10">
                  <c:v>16000</c:v>
                </c:pt>
                <c:pt idx="11">
                  <c:v>16000</c:v>
                </c:pt>
                <c:pt idx="12">
                  <c:v>17200</c:v>
                </c:pt>
                <c:pt idx="13">
                  <c:v>17200</c:v>
                </c:pt>
                <c:pt idx="14">
                  <c:v>18400</c:v>
                </c:pt>
                <c:pt idx="15">
                  <c:v>18400</c:v>
                </c:pt>
                <c:pt idx="16">
                  <c:v>19600</c:v>
                </c:pt>
                <c:pt idx="17">
                  <c:v>19600</c:v>
                </c:pt>
                <c:pt idx="18">
                  <c:v>20800</c:v>
                </c:pt>
                <c:pt idx="19">
                  <c:v>20800</c:v>
                </c:pt>
                <c:pt idx="20">
                  <c:v>22000</c:v>
                </c:pt>
                <c:pt idx="21">
                  <c:v>22000</c:v>
                </c:pt>
                <c:pt idx="22">
                  <c:v>23200</c:v>
                </c:pt>
                <c:pt idx="23">
                  <c:v>23200</c:v>
                </c:pt>
                <c:pt idx="24">
                  <c:v>24400</c:v>
                </c:pt>
                <c:pt idx="25">
                  <c:v>24400</c:v>
                </c:pt>
                <c:pt idx="26">
                  <c:v>25600</c:v>
                </c:pt>
                <c:pt idx="27">
                  <c:v>25600</c:v>
                </c:pt>
                <c:pt idx="28">
                  <c:v>26800</c:v>
                </c:pt>
                <c:pt idx="29">
                  <c:v>26800</c:v>
                </c:pt>
                <c:pt idx="30">
                  <c:v>28000</c:v>
                </c:pt>
                <c:pt idx="31">
                  <c:v>28000</c:v>
                </c:pt>
                <c:pt idx="32">
                  <c:v>29200</c:v>
                </c:pt>
                <c:pt idx="33">
                  <c:v>29200</c:v>
                </c:pt>
                <c:pt idx="34">
                  <c:v>30400</c:v>
                </c:pt>
                <c:pt idx="35">
                  <c:v>30400</c:v>
                </c:pt>
                <c:pt idx="36">
                  <c:v>31600</c:v>
                </c:pt>
                <c:pt idx="37">
                  <c:v>31600</c:v>
                </c:pt>
                <c:pt idx="38">
                  <c:v>32800</c:v>
                </c:pt>
                <c:pt idx="39">
                  <c:v>32800</c:v>
                </c:pt>
                <c:pt idx="40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4-400D-8DEE-E97856511870}"/>
            </c:ext>
          </c:extLst>
        </c:ser>
        <c:ser>
          <c:idx val="1"/>
          <c:order val="1"/>
          <c:tx>
            <c:v>Compound Interest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'Simple vs. Compounding Interest'!$F$5:$F$45</c:f>
              <c:numCache>
                <c:formatCode>General</c:formatCode>
                <c:ptCount val="41"/>
                <c:pt idx="0">
                  <c:v>2023</c:v>
                </c:pt>
                <c:pt idx="1">
                  <c:v>2024</c:v>
                </c:pt>
                <c:pt idx="2">
                  <c:v>2024</c:v>
                </c:pt>
                <c:pt idx="3">
                  <c:v>2025</c:v>
                </c:pt>
                <c:pt idx="4">
                  <c:v>2025</c:v>
                </c:pt>
                <c:pt idx="5">
                  <c:v>2026</c:v>
                </c:pt>
                <c:pt idx="6">
                  <c:v>2026</c:v>
                </c:pt>
                <c:pt idx="7">
                  <c:v>2027</c:v>
                </c:pt>
                <c:pt idx="8">
                  <c:v>2027</c:v>
                </c:pt>
                <c:pt idx="9">
                  <c:v>2028</c:v>
                </c:pt>
                <c:pt idx="10">
                  <c:v>2028</c:v>
                </c:pt>
                <c:pt idx="11">
                  <c:v>2029</c:v>
                </c:pt>
                <c:pt idx="12">
                  <c:v>2029</c:v>
                </c:pt>
                <c:pt idx="13">
                  <c:v>2030</c:v>
                </c:pt>
                <c:pt idx="14">
                  <c:v>2030</c:v>
                </c:pt>
                <c:pt idx="15">
                  <c:v>2031</c:v>
                </c:pt>
                <c:pt idx="16">
                  <c:v>2031</c:v>
                </c:pt>
                <c:pt idx="17">
                  <c:v>2032</c:v>
                </c:pt>
                <c:pt idx="18">
                  <c:v>2032</c:v>
                </c:pt>
                <c:pt idx="19">
                  <c:v>2033</c:v>
                </c:pt>
                <c:pt idx="20">
                  <c:v>2033</c:v>
                </c:pt>
                <c:pt idx="21">
                  <c:v>2034</c:v>
                </c:pt>
                <c:pt idx="22">
                  <c:v>2034</c:v>
                </c:pt>
                <c:pt idx="23">
                  <c:v>2035</c:v>
                </c:pt>
                <c:pt idx="24">
                  <c:v>2035</c:v>
                </c:pt>
                <c:pt idx="25">
                  <c:v>2036</c:v>
                </c:pt>
                <c:pt idx="26">
                  <c:v>2036</c:v>
                </c:pt>
                <c:pt idx="27">
                  <c:v>2037</c:v>
                </c:pt>
                <c:pt idx="28">
                  <c:v>2037</c:v>
                </c:pt>
                <c:pt idx="29">
                  <c:v>2038</c:v>
                </c:pt>
                <c:pt idx="30">
                  <c:v>2038</c:v>
                </c:pt>
                <c:pt idx="31">
                  <c:v>2039</c:v>
                </c:pt>
                <c:pt idx="32">
                  <c:v>2039</c:v>
                </c:pt>
                <c:pt idx="33">
                  <c:v>2040</c:v>
                </c:pt>
                <c:pt idx="34">
                  <c:v>2040</c:v>
                </c:pt>
                <c:pt idx="35">
                  <c:v>2041</c:v>
                </c:pt>
                <c:pt idx="36">
                  <c:v>2041</c:v>
                </c:pt>
                <c:pt idx="37">
                  <c:v>2042</c:v>
                </c:pt>
                <c:pt idx="38">
                  <c:v>2042</c:v>
                </c:pt>
                <c:pt idx="39">
                  <c:v>2043</c:v>
                </c:pt>
                <c:pt idx="40">
                  <c:v>2043</c:v>
                </c:pt>
              </c:numCache>
            </c:numRef>
          </c:cat>
          <c:val>
            <c:numRef>
              <c:f>'Simple vs. Compounding Interest'!$H$5:$H$45</c:f>
              <c:numCache>
                <c:formatCode>"$"#,##0</c:formatCode>
                <c:ptCount val="41"/>
                <c:pt idx="0">
                  <c:v>10000</c:v>
                </c:pt>
                <c:pt idx="1">
                  <c:v>10000</c:v>
                </c:pt>
                <c:pt idx="2">
                  <c:v>11200.000000000002</c:v>
                </c:pt>
                <c:pt idx="3">
                  <c:v>11200.000000000002</c:v>
                </c:pt>
                <c:pt idx="4">
                  <c:v>12544.000000000002</c:v>
                </c:pt>
                <c:pt idx="5">
                  <c:v>12544.000000000002</c:v>
                </c:pt>
                <c:pt idx="6">
                  <c:v>14049.280000000004</c:v>
                </c:pt>
                <c:pt idx="7">
                  <c:v>14049.280000000004</c:v>
                </c:pt>
                <c:pt idx="8">
                  <c:v>15735.193600000004</c:v>
                </c:pt>
                <c:pt idx="9">
                  <c:v>15735.193600000004</c:v>
                </c:pt>
                <c:pt idx="10">
                  <c:v>17623.416832000006</c:v>
                </c:pt>
                <c:pt idx="11">
                  <c:v>17623.416832000006</c:v>
                </c:pt>
                <c:pt idx="12">
                  <c:v>19738.226851840009</c:v>
                </c:pt>
                <c:pt idx="13">
                  <c:v>19738.226851840009</c:v>
                </c:pt>
                <c:pt idx="14">
                  <c:v>22106.814074060811</c:v>
                </c:pt>
                <c:pt idx="15">
                  <c:v>22106.814074060811</c:v>
                </c:pt>
                <c:pt idx="16">
                  <c:v>24759.631762948109</c:v>
                </c:pt>
                <c:pt idx="17">
                  <c:v>24759.631762948109</c:v>
                </c:pt>
                <c:pt idx="18">
                  <c:v>27730.787574501883</c:v>
                </c:pt>
                <c:pt idx="19">
                  <c:v>27730.787574501883</c:v>
                </c:pt>
                <c:pt idx="20">
                  <c:v>31058.482083442112</c:v>
                </c:pt>
                <c:pt idx="21">
                  <c:v>31058.482083442112</c:v>
                </c:pt>
                <c:pt idx="22">
                  <c:v>34785.499933455169</c:v>
                </c:pt>
                <c:pt idx="23">
                  <c:v>34785.499933455169</c:v>
                </c:pt>
                <c:pt idx="24">
                  <c:v>38959.759925469785</c:v>
                </c:pt>
                <c:pt idx="25">
                  <c:v>38959.759925469785</c:v>
                </c:pt>
                <c:pt idx="26">
                  <c:v>43634.931116526168</c:v>
                </c:pt>
                <c:pt idx="27">
                  <c:v>43634.931116526168</c:v>
                </c:pt>
                <c:pt idx="28">
                  <c:v>48871.122850509317</c:v>
                </c:pt>
                <c:pt idx="29">
                  <c:v>48871.122850509317</c:v>
                </c:pt>
                <c:pt idx="30">
                  <c:v>54735.657592570431</c:v>
                </c:pt>
                <c:pt idx="31">
                  <c:v>54735.657592570431</c:v>
                </c:pt>
                <c:pt idx="32">
                  <c:v>61303.936503678888</c:v>
                </c:pt>
                <c:pt idx="33">
                  <c:v>61303.936503678888</c:v>
                </c:pt>
                <c:pt idx="34">
                  <c:v>68660.408884120363</c:v>
                </c:pt>
                <c:pt idx="35">
                  <c:v>68660.408884120363</c:v>
                </c:pt>
                <c:pt idx="36">
                  <c:v>76899.657950214809</c:v>
                </c:pt>
                <c:pt idx="37">
                  <c:v>76899.657950214809</c:v>
                </c:pt>
                <c:pt idx="38">
                  <c:v>86127.616904240596</c:v>
                </c:pt>
                <c:pt idx="39">
                  <c:v>86127.616904240596</c:v>
                </c:pt>
                <c:pt idx="40">
                  <c:v>96462.93093274947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4-400D-8DEE-E9785651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08504"/>
        <c:axId val="637903912"/>
      </c:lineChart>
      <c:dateAx>
        <c:axId val="63790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37903912"/>
        <c:crosses val="autoZero"/>
        <c:auto val="0"/>
        <c:lblOffset val="100"/>
        <c:baseTimeUnit val="days"/>
        <c:majorUnit val="3"/>
        <c:majorTimeUnit val="days"/>
      </c:dateAx>
      <c:valAx>
        <c:axId val="63790391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63790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Years to Double Investment </a:t>
            </a:r>
          </a:p>
          <a:p>
            <a:pPr>
              <a:defRPr/>
            </a:pPr>
            <a:r>
              <a:rPr lang="en-US"/>
              <a:t>given Annual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'Rule of 72'!$C$3</c:f>
              <c:strCache>
                <c:ptCount val="1"/>
                <c:pt idx="0">
                  <c:v>Rule of 72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'Rule of 72'!$B$4:$B$17</c:f>
              <c:numCache>
                <c:formatCode>0%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'Rule of 72'!$C$4:$C$17</c:f>
              <c:numCache>
                <c:formatCode>0.00</c:formatCode>
                <c:ptCount val="14"/>
                <c:pt idx="0">
                  <c:v>72</c:v>
                </c:pt>
                <c:pt idx="1">
                  <c:v>36</c:v>
                </c:pt>
                <c:pt idx="2">
                  <c:v>24</c:v>
                </c:pt>
                <c:pt idx="3">
                  <c:v>18</c:v>
                </c:pt>
                <c:pt idx="4">
                  <c:v>14.4</c:v>
                </c:pt>
                <c:pt idx="5">
                  <c:v>12</c:v>
                </c:pt>
                <c:pt idx="6">
                  <c:v>10.285714285714285</c:v>
                </c:pt>
                <c:pt idx="7">
                  <c:v>9</c:v>
                </c:pt>
                <c:pt idx="8">
                  <c:v>8</c:v>
                </c:pt>
                <c:pt idx="9">
                  <c:v>7.2</c:v>
                </c:pt>
                <c:pt idx="10">
                  <c:v>4.8</c:v>
                </c:pt>
                <c:pt idx="11">
                  <c:v>3.6</c:v>
                </c:pt>
                <c:pt idx="12">
                  <c:v>2.88</c:v>
                </c:pt>
                <c:pt idx="1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0-446C-AF87-05D21DD7E6D9}"/>
            </c:ext>
          </c:extLst>
        </c:ser>
        <c:ser>
          <c:idx val="1"/>
          <c:order val="1"/>
          <c:tx>
            <c:strRef>
              <c:f>'Rule of 72'!$D$3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'Rule of 72'!$B$4:$B$17</c:f>
              <c:numCache>
                <c:formatCode>0%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'Rule of 72'!$D$4:$D$17</c:f>
              <c:numCache>
                <c:formatCode>0.00</c:formatCode>
                <c:ptCount val="14"/>
                <c:pt idx="0">
                  <c:v>69.660716893574829</c:v>
                </c:pt>
                <c:pt idx="1">
                  <c:v>35.002788781146499</c:v>
                </c:pt>
                <c:pt idx="2">
                  <c:v>23.449772250437736</c:v>
                </c:pt>
                <c:pt idx="3">
                  <c:v>17.672987685129698</c:v>
                </c:pt>
                <c:pt idx="4">
                  <c:v>14.206699082890461</c:v>
                </c:pt>
                <c:pt idx="5">
                  <c:v>11.895661045941877</c:v>
                </c:pt>
                <c:pt idx="6">
                  <c:v>10.244768351058712</c:v>
                </c:pt>
                <c:pt idx="7">
                  <c:v>9.0064683420005878</c:v>
                </c:pt>
                <c:pt idx="8">
                  <c:v>8.0432317269320475</c:v>
                </c:pt>
                <c:pt idx="9">
                  <c:v>7.2725408973417123</c:v>
                </c:pt>
                <c:pt idx="10">
                  <c:v>4.9594844546403909</c:v>
                </c:pt>
                <c:pt idx="11">
                  <c:v>3.8017840169239308</c:v>
                </c:pt>
                <c:pt idx="12">
                  <c:v>3.1062837195053898</c:v>
                </c:pt>
                <c:pt idx="13">
                  <c:v>2.6419267958111399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0-446C-AF87-05D21DD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66120"/>
        <c:axId val="825464552"/>
      </c:lineChart>
      <c:catAx>
        <c:axId val="82546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825464552"/>
        <c:crosses val="autoZero"/>
        <c:auto val="1"/>
        <c:lblAlgn val="ctr"/>
        <c:lblOffset val="100"/>
        <c:noMultiLvlLbl val="0"/>
      </c:catAx>
      <c:valAx>
        <c:axId val="825464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825466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Compounding</a:t>
            </a:r>
            <a:r>
              <a:rPr lang="en-US" sz="2400" baseline="0"/>
              <a:t> -- Same compounding period &amp; Horizon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-- Power of Compounding'!$C$7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2D-4064-975D-0ACA62F1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'Rate -- Power of Compounding'!$B$8:$B$27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'Rate -- Power of Compounding'!$C$8:$C$27</c:f>
              <c:numCache>
                <c:formatCode>"$"#,##0_);[Red]\("$"#,##0\)</c:formatCode>
                <c:ptCount val="20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11576.250000000002</c:v>
                </c:pt>
                <c:pt idx="4">
                  <c:v>12155.0625</c:v>
                </c:pt>
                <c:pt idx="5">
                  <c:v>12762.815625000001</c:v>
                </c:pt>
                <c:pt idx="6">
                  <c:v>13400.956406249999</c:v>
                </c:pt>
                <c:pt idx="7">
                  <c:v>14071.004226562502</c:v>
                </c:pt>
                <c:pt idx="8">
                  <c:v>14774.554437890625</c:v>
                </c:pt>
                <c:pt idx="9">
                  <c:v>15513.282159785158</c:v>
                </c:pt>
                <c:pt idx="10">
                  <c:v>16288.946267774416</c:v>
                </c:pt>
                <c:pt idx="11">
                  <c:v>17103.393581163138</c:v>
                </c:pt>
                <c:pt idx="12">
                  <c:v>17958.563260221294</c:v>
                </c:pt>
                <c:pt idx="13">
                  <c:v>18856.491423232361</c:v>
                </c:pt>
                <c:pt idx="14">
                  <c:v>19799.315994393972</c:v>
                </c:pt>
                <c:pt idx="15">
                  <c:v>20789.281794113678</c:v>
                </c:pt>
                <c:pt idx="16">
                  <c:v>21828.74588381936</c:v>
                </c:pt>
                <c:pt idx="17">
                  <c:v>22920.183178010331</c:v>
                </c:pt>
                <c:pt idx="18">
                  <c:v>24066.192336910848</c:v>
                </c:pt>
                <c:pt idx="19">
                  <c:v>25269.501953756389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2D-4064-975D-0ACA62F1A29E}"/>
            </c:ext>
          </c:extLst>
        </c:ser>
        <c:ser>
          <c:idx val="1"/>
          <c:order val="1"/>
          <c:tx>
            <c:strRef>
              <c:f>'Rate -- Power of Compounding'!$D$7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2D-4064-975D-0ACA62F1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'Rate -- Power of Compounding'!$B$8:$B$27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'Rate -- Power of Compounding'!$D$8:$D$27</c:f>
              <c:numCache>
                <c:formatCode>"$"#,##0_);[Red]\("$"#,##0\)</c:formatCode>
                <c:ptCount val="20"/>
                <c:pt idx="0">
                  <c:v>10000</c:v>
                </c:pt>
                <c:pt idx="1">
                  <c:v>11000</c:v>
                </c:pt>
                <c:pt idx="2">
                  <c:v>12100.000000000002</c:v>
                </c:pt>
                <c:pt idx="3">
                  <c:v>13310.000000000004</c:v>
                </c:pt>
                <c:pt idx="4">
                  <c:v>14641.000000000004</c:v>
                </c:pt>
                <c:pt idx="5">
                  <c:v>16105.100000000006</c:v>
                </c:pt>
                <c:pt idx="6">
                  <c:v>17715.610000000008</c:v>
                </c:pt>
                <c:pt idx="7">
                  <c:v>19487.171000000013</c:v>
                </c:pt>
                <c:pt idx="8">
                  <c:v>21435.888100000011</c:v>
                </c:pt>
                <c:pt idx="9">
                  <c:v>23579.476910000016</c:v>
                </c:pt>
                <c:pt idx="10">
                  <c:v>25937.424601000017</c:v>
                </c:pt>
                <c:pt idx="11">
                  <c:v>28531.167061100026</c:v>
                </c:pt>
                <c:pt idx="12">
                  <c:v>31384.283767210025</c:v>
                </c:pt>
                <c:pt idx="13">
                  <c:v>34522.712143931029</c:v>
                </c:pt>
                <c:pt idx="14">
                  <c:v>37974.983358324142</c:v>
                </c:pt>
                <c:pt idx="15">
                  <c:v>41772.481694156551</c:v>
                </c:pt>
                <c:pt idx="16">
                  <c:v>45949.729863572211</c:v>
                </c:pt>
                <c:pt idx="17">
                  <c:v>50544.702849929432</c:v>
                </c:pt>
                <c:pt idx="18">
                  <c:v>55599.173134922377</c:v>
                </c:pt>
                <c:pt idx="19">
                  <c:v>61159.09044841463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2D-4064-975D-0ACA62F1A29E}"/>
            </c:ext>
          </c:extLst>
        </c:ser>
        <c:ser>
          <c:idx val="2"/>
          <c:order val="2"/>
          <c:tx>
            <c:strRef>
              <c:f>'Rate -- Power of Compounding'!$E$7</c:f>
              <c:strCache>
                <c:ptCount val="1"/>
                <c:pt idx="0">
                  <c:v>12%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2D-4064-975D-0ACA62F1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'Rate -- Power of Compounding'!$B$8:$B$27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'Rate -- Power of Compounding'!$E$8:$E$27</c:f>
              <c:numCache>
                <c:formatCode>"$"#,##0_);[Red]\("$"#,##0\)</c:formatCode>
                <c:ptCount val="20"/>
                <c:pt idx="0">
                  <c:v>10000</c:v>
                </c:pt>
                <c:pt idx="1">
                  <c:v>11200.000000000002</c:v>
                </c:pt>
                <c:pt idx="2">
                  <c:v>12544.000000000002</c:v>
                </c:pt>
                <c:pt idx="3">
                  <c:v>14049.280000000004</c:v>
                </c:pt>
                <c:pt idx="4">
                  <c:v>15735.193600000004</c:v>
                </c:pt>
                <c:pt idx="5">
                  <c:v>17623.416832000006</c:v>
                </c:pt>
                <c:pt idx="6">
                  <c:v>19738.226851840009</c:v>
                </c:pt>
                <c:pt idx="7">
                  <c:v>22106.814074060811</c:v>
                </c:pt>
                <c:pt idx="8">
                  <c:v>24759.631762948109</c:v>
                </c:pt>
                <c:pt idx="9">
                  <c:v>27730.787574501883</c:v>
                </c:pt>
                <c:pt idx="10">
                  <c:v>31058.482083442112</c:v>
                </c:pt>
                <c:pt idx="11">
                  <c:v>34785.499933455169</c:v>
                </c:pt>
                <c:pt idx="12">
                  <c:v>38959.759925469785</c:v>
                </c:pt>
                <c:pt idx="13">
                  <c:v>43634.931116526168</c:v>
                </c:pt>
                <c:pt idx="14">
                  <c:v>48871.122850509317</c:v>
                </c:pt>
                <c:pt idx="15">
                  <c:v>54735.657592570431</c:v>
                </c:pt>
                <c:pt idx="16">
                  <c:v>61303.936503678888</c:v>
                </c:pt>
                <c:pt idx="17">
                  <c:v>68660.408884120363</c:v>
                </c:pt>
                <c:pt idx="18">
                  <c:v>76899.657950214809</c:v>
                </c:pt>
                <c:pt idx="19">
                  <c:v>86127.616904240596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52D-4064-975D-0ACA62F1A29E}"/>
            </c:ext>
          </c:extLst>
        </c:ser>
        <c:ser>
          <c:idx val="3"/>
          <c:order val="3"/>
          <c:tx>
            <c:strRef>
              <c:f>'Rate -- Power of Compounding'!$F$7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2D-4064-975D-0ACA62F1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'Rate -- Power of Compounding'!$B$8:$B$27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'Rate -- Power of Compounding'!$F$8:$F$27</c:f>
              <c:numCache>
                <c:formatCode>"$"#,##0_);[Red]\("$"#,##0\)</c:formatCode>
                <c:ptCount val="20"/>
                <c:pt idx="0">
                  <c:v>10000</c:v>
                </c:pt>
                <c:pt idx="1">
                  <c:v>11500</c:v>
                </c:pt>
                <c:pt idx="2">
                  <c:v>13224.999999999998</c:v>
                </c:pt>
                <c:pt idx="3">
                  <c:v>15208.749999999995</c:v>
                </c:pt>
                <c:pt idx="4">
                  <c:v>17490.062499999993</c:v>
                </c:pt>
                <c:pt idx="5">
                  <c:v>20113.571874999994</c:v>
                </c:pt>
                <c:pt idx="6">
                  <c:v>23130.607656249991</c:v>
                </c:pt>
                <c:pt idx="7">
                  <c:v>26600.198804687483</c:v>
                </c:pt>
                <c:pt idx="8">
                  <c:v>30590.228625390602</c:v>
                </c:pt>
                <c:pt idx="9">
                  <c:v>35178.762919199195</c:v>
                </c:pt>
                <c:pt idx="10">
                  <c:v>40455.57735707907</c:v>
                </c:pt>
                <c:pt idx="11">
                  <c:v>46523.913960640923</c:v>
                </c:pt>
                <c:pt idx="12">
                  <c:v>53502.501054737055</c:v>
                </c:pt>
                <c:pt idx="13">
                  <c:v>61527.876212947616</c:v>
                </c:pt>
                <c:pt idx="14">
                  <c:v>70757.057644889748</c:v>
                </c:pt>
                <c:pt idx="15">
                  <c:v>81370.616291623199</c:v>
                </c:pt>
                <c:pt idx="16">
                  <c:v>93576.208735366657</c:v>
                </c:pt>
                <c:pt idx="17">
                  <c:v>107612.64004567165</c:v>
                </c:pt>
                <c:pt idx="18">
                  <c:v>123754.53605252238</c:v>
                </c:pt>
                <c:pt idx="19">
                  <c:v>142317.71646040073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52D-4064-975D-0ACA62F1A29E}"/>
            </c:ext>
          </c:extLst>
        </c:ser>
        <c:ser>
          <c:idx val="4"/>
          <c:order val="4"/>
          <c:tx>
            <c:strRef>
              <c:f>'Rate -- Power of Compounding'!$G$7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2D-4064-975D-0ACA62F1A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'Rate -- Power of Compounding'!$B$8:$B$27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'Rate -- Power of Compounding'!$G$8:$G$27</c:f>
              <c:numCache>
                <c:formatCode>"$"#,##0_);[Red]\("$"#,##0\)</c:formatCode>
                <c:ptCount val="20"/>
                <c:pt idx="0">
                  <c:v>10000</c:v>
                </c:pt>
                <c:pt idx="1">
                  <c:v>12000</c:v>
                </c:pt>
                <c:pt idx="2">
                  <c:v>14400</c:v>
                </c:pt>
                <c:pt idx="3">
                  <c:v>17280</c:v>
                </c:pt>
                <c:pt idx="4">
                  <c:v>20736</c:v>
                </c:pt>
                <c:pt idx="5">
                  <c:v>24883.199999999997</c:v>
                </c:pt>
                <c:pt idx="6">
                  <c:v>29859.839999999997</c:v>
                </c:pt>
                <c:pt idx="7">
                  <c:v>35831.807999999997</c:v>
                </c:pt>
                <c:pt idx="8">
                  <c:v>42998.169599999994</c:v>
                </c:pt>
                <c:pt idx="9">
                  <c:v>51597.803519999994</c:v>
                </c:pt>
                <c:pt idx="10">
                  <c:v>61917.36422399999</c:v>
                </c:pt>
                <c:pt idx="11">
                  <c:v>74300.837068799985</c:v>
                </c:pt>
                <c:pt idx="12">
                  <c:v>89161.004482559976</c:v>
                </c:pt>
                <c:pt idx="13">
                  <c:v>106993.20537907198</c:v>
                </c:pt>
                <c:pt idx="14">
                  <c:v>128391.84645488636</c:v>
                </c:pt>
                <c:pt idx="15">
                  <c:v>154070.21574586365</c:v>
                </c:pt>
                <c:pt idx="16">
                  <c:v>184884.25889503636</c:v>
                </c:pt>
                <c:pt idx="17">
                  <c:v>221861.11067404362</c:v>
                </c:pt>
                <c:pt idx="18">
                  <c:v>266233.33280885231</c:v>
                </c:pt>
                <c:pt idx="19">
                  <c:v>319479.9993706228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52D-4064-975D-0ACA62F1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907472"/>
        <c:axId val="734916328"/>
      </c:lineChart>
      <c:catAx>
        <c:axId val="7349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No. 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34916328"/>
        <c:crosses val="autoZero"/>
        <c:auto val="1"/>
        <c:lblAlgn val="ctr"/>
        <c:lblOffset val="100"/>
        <c:noMultiLvlLbl val="1"/>
      </c:catAx>
      <c:valAx>
        <c:axId val="73491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Investment Balance ($)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349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100"/>
              <a:t>Compounding</a:t>
            </a:r>
            <a:r>
              <a:rPr lang="en-US" sz="2100" baseline="0"/>
              <a:t> -- Different Compounding Periods/ year, r = 20%</a:t>
            </a:r>
            <a:endParaRPr lang="en-US" sz="2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'No. Compounding Periods Effect'!$C$6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FA-46B3-BF5A-D490A88A8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'No. Compounding Periods Effect'!$B$8:$B$47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'No. Compounding Periods Effect'!$C$8:$C$47</c:f>
              <c:numCache>
                <c:formatCode>"$"#,##0.00_);[Red]\("$"#,##0.00\)</c:formatCode>
                <c:ptCount val="40"/>
                <c:pt idx="0">
                  <c:v>12000</c:v>
                </c:pt>
                <c:pt idx="1">
                  <c:v>14400</c:v>
                </c:pt>
                <c:pt idx="2">
                  <c:v>17280</c:v>
                </c:pt>
                <c:pt idx="3">
                  <c:v>20736</c:v>
                </c:pt>
                <c:pt idx="4">
                  <c:v>24883.199999999997</c:v>
                </c:pt>
                <c:pt idx="5">
                  <c:v>29859.839999999997</c:v>
                </c:pt>
                <c:pt idx="6">
                  <c:v>35831.807999999997</c:v>
                </c:pt>
                <c:pt idx="7">
                  <c:v>42998.169599999994</c:v>
                </c:pt>
                <c:pt idx="8">
                  <c:v>51597.803519999994</c:v>
                </c:pt>
                <c:pt idx="9">
                  <c:v>61917.36422399999</c:v>
                </c:pt>
                <c:pt idx="10">
                  <c:v>74300.837068799985</c:v>
                </c:pt>
                <c:pt idx="11">
                  <c:v>89161.004482559976</c:v>
                </c:pt>
                <c:pt idx="12">
                  <c:v>106993.20537907198</c:v>
                </c:pt>
                <c:pt idx="13">
                  <c:v>128391.84645488636</c:v>
                </c:pt>
                <c:pt idx="14">
                  <c:v>154070.21574586365</c:v>
                </c:pt>
                <c:pt idx="15">
                  <c:v>184884.25889503636</c:v>
                </c:pt>
                <c:pt idx="16">
                  <c:v>221861.11067404362</c:v>
                </c:pt>
                <c:pt idx="17">
                  <c:v>266233.33280885231</c:v>
                </c:pt>
                <c:pt idx="18">
                  <c:v>319479.9993706228</c:v>
                </c:pt>
                <c:pt idx="19">
                  <c:v>383375.99924474739</c:v>
                </c:pt>
                <c:pt idx="20">
                  <c:v>460051.19909369684</c:v>
                </c:pt>
                <c:pt idx="21">
                  <c:v>552061.43891243613</c:v>
                </c:pt>
                <c:pt idx="22">
                  <c:v>662473.72669492336</c:v>
                </c:pt>
                <c:pt idx="23">
                  <c:v>794968.47203390801</c:v>
                </c:pt>
                <c:pt idx="24">
                  <c:v>953962.1664406897</c:v>
                </c:pt>
                <c:pt idx="25">
                  <c:v>1144754.5997288276</c:v>
                </c:pt>
                <c:pt idx="26">
                  <c:v>1373705.5196745931</c:v>
                </c:pt>
                <c:pt idx="27">
                  <c:v>1648446.6236095116</c:v>
                </c:pt>
                <c:pt idx="28">
                  <c:v>1978135.948331414</c:v>
                </c:pt>
                <c:pt idx="29">
                  <c:v>2373763.1379976966</c:v>
                </c:pt>
                <c:pt idx="30">
                  <c:v>2848515.7655972359</c:v>
                </c:pt>
                <c:pt idx="31">
                  <c:v>3418218.9187166826</c:v>
                </c:pt>
                <c:pt idx="32">
                  <c:v>4101862.7024600185</c:v>
                </c:pt>
                <c:pt idx="33">
                  <c:v>4922235.2429520227</c:v>
                </c:pt>
                <c:pt idx="34">
                  <c:v>5906682.2915424267</c:v>
                </c:pt>
                <c:pt idx="35">
                  <c:v>7088018.749850912</c:v>
                </c:pt>
                <c:pt idx="36">
                  <c:v>8505622.4998210948</c:v>
                </c:pt>
                <c:pt idx="37">
                  <c:v>10206746.999785313</c:v>
                </c:pt>
                <c:pt idx="38">
                  <c:v>12248096.399742376</c:v>
                </c:pt>
                <c:pt idx="39">
                  <c:v>14697715.679690851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A-46B3-BF5A-D490A88A8935}"/>
            </c:ext>
          </c:extLst>
        </c:ser>
        <c:ser>
          <c:idx val="1"/>
          <c:order val="1"/>
          <c:tx>
            <c:strRef>
              <c:f>'No. Compounding Periods Effect'!$D$6</c:f>
              <c:strCache>
                <c:ptCount val="1"/>
                <c:pt idx="0">
                  <c:v>2.00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FA-46B3-BF5A-D490A88A8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'No. Compounding Periods Effect'!$B$8:$B$47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'No. Compounding Periods Effect'!$D$8:$D$47</c:f>
              <c:numCache>
                <c:formatCode>"$"#,##0.00_);[Red]\("$"#,##0.00\)</c:formatCode>
                <c:ptCount val="40"/>
                <c:pt idx="0">
                  <c:v>12100.000000000002</c:v>
                </c:pt>
                <c:pt idx="1">
                  <c:v>14641.000000000004</c:v>
                </c:pt>
                <c:pt idx="2">
                  <c:v>17715.610000000008</c:v>
                </c:pt>
                <c:pt idx="3">
                  <c:v>21435.888100000011</c:v>
                </c:pt>
                <c:pt idx="4">
                  <c:v>25937.424601000017</c:v>
                </c:pt>
                <c:pt idx="5">
                  <c:v>31384.283767210025</c:v>
                </c:pt>
                <c:pt idx="6">
                  <c:v>37974.983358324142</c:v>
                </c:pt>
                <c:pt idx="7">
                  <c:v>45949.729863572211</c:v>
                </c:pt>
                <c:pt idx="8">
                  <c:v>55599.173134922377</c:v>
                </c:pt>
                <c:pt idx="9">
                  <c:v>67274.999493256095</c:v>
                </c:pt>
                <c:pt idx="10">
                  <c:v>81402.749386839889</c:v>
                </c:pt>
                <c:pt idx="11">
                  <c:v>98497.326758076262</c:v>
                </c:pt>
                <c:pt idx="12">
                  <c:v>119181.76537727231</c:v>
                </c:pt>
                <c:pt idx="13">
                  <c:v>144209.93610649952</c:v>
                </c:pt>
                <c:pt idx="14">
                  <c:v>174494.02268886444</c:v>
                </c:pt>
                <c:pt idx="15">
                  <c:v>211137.767453526</c:v>
                </c:pt>
                <c:pt idx="16">
                  <c:v>255476.6986187665</c:v>
                </c:pt>
                <c:pt idx="17">
                  <c:v>309126.8053287075</c:v>
                </c:pt>
                <c:pt idx="18">
                  <c:v>374043.43444773619</c:v>
                </c:pt>
                <c:pt idx="19">
                  <c:v>452592.55568176071</c:v>
                </c:pt>
                <c:pt idx="20">
                  <c:v>547636.99237493053</c:v>
                </c:pt>
                <c:pt idx="21">
                  <c:v>662640.76077366609</c:v>
                </c:pt>
                <c:pt idx="22">
                  <c:v>801795.32053613616</c:v>
                </c:pt>
                <c:pt idx="23">
                  <c:v>970172.33784872468</c:v>
                </c:pt>
                <c:pt idx="24">
                  <c:v>1173908.5287969571</c:v>
                </c:pt>
                <c:pt idx="25">
                  <c:v>1420429.3198443186</c:v>
                </c:pt>
                <c:pt idx="26">
                  <c:v>1718719.4770116257</c:v>
                </c:pt>
                <c:pt idx="27">
                  <c:v>2079650.5671840669</c:v>
                </c:pt>
                <c:pt idx="28">
                  <c:v>2516377.1862927214</c:v>
                </c:pt>
                <c:pt idx="29">
                  <c:v>3044816.3954141932</c:v>
                </c:pt>
                <c:pt idx="30">
                  <c:v>3684227.838451175</c:v>
                </c:pt>
                <c:pt idx="31">
                  <c:v>4457915.6845259219</c:v>
                </c:pt>
                <c:pt idx="32">
                  <c:v>5394077.9782763664</c:v>
                </c:pt>
                <c:pt idx="33">
                  <c:v>6526834.3537144037</c:v>
                </c:pt>
                <c:pt idx="34">
                  <c:v>7897469.5679944307</c:v>
                </c:pt>
                <c:pt idx="35">
                  <c:v>9555938.1772732623</c:v>
                </c:pt>
                <c:pt idx="36">
                  <c:v>11562685.194500647</c:v>
                </c:pt>
                <c:pt idx="37">
                  <c:v>13990849.085345786</c:v>
                </c:pt>
                <c:pt idx="38">
                  <c:v>16928927.393268406</c:v>
                </c:pt>
                <c:pt idx="39">
                  <c:v>20484002.145854771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FA-46B3-BF5A-D490A88A8935}"/>
            </c:ext>
          </c:extLst>
        </c:ser>
        <c:ser>
          <c:idx val="2"/>
          <c:order val="2"/>
          <c:tx>
            <c:strRef>
              <c:f>'No. Compounding Periods Effect'!$E$6</c:f>
              <c:strCache>
                <c:ptCount val="1"/>
                <c:pt idx="0">
                  <c:v>4.00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FA-46B3-BF5A-D490A88A8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'No. Compounding Periods Effect'!$B$8:$B$47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'No. Compounding Periods Effect'!$E$8:$E$47</c:f>
              <c:numCache>
                <c:formatCode>"$"#,##0.00_);[Red]\("$"#,##0.00\)</c:formatCode>
                <c:ptCount val="40"/>
                <c:pt idx="0">
                  <c:v>12155.0625</c:v>
                </c:pt>
                <c:pt idx="1">
                  <c:v>14774.554437890625</c:v>
                </c:pt>
                <c:pt idx="2">
                  <c:v>17958.563260221294</c:v>
                </c:pt>
                <c:pt idx="3">
                  <c:v>21828.74588381936</c:v>
                </c:pt>
                <c:pt idx="4">
                  <c:v>26532.97705144421</c:v>
                </c:pt>
                <c:pt idx="5">
                  <c:v>32250.999437137008</c:v>
                </c:pt>
                <c:pt idx="6">
                  <c:v>39201.291384586511</c:v>
                </c:pt>
                <c:pt idx="7">
                  <c:v>47649.414686036071</c:v>
                </c:pt>
                <c:pt idx="8">
                  <c:v>57918.16135971863</c:v>
                </c:pt>
                <c:pt idx="9">
                  <c:v>70399.887121246487</c:v>
                </c:pt>
                <c:pt idx="10">
                  <c:v>85571.502795169625</c:v>
                </c:pt>
                <c:pt idx="11">
                  <c:v>104012.69646942116</c:v>
                </c:pt>
                <c:pt idx="12">
                  <c:v>126428.08263793438</c:v>
                </c:pt>
                <c:pt idx="13">
                  <c:v>153674.1246219257</c:v>
                </c:pt>
                <c:pt idx="14">
                  <c:v>186791.85894122958</c:v>
                </c:pt>
                <c:pt idx="15">
                  <c:v>227046.67199218299</c:v>
                </c:pt>
                <c:pt idx="16">
                  <c:v>275976.64884819841</c:v>
                </c:pt>
                <c:pt idx="17">
                  <c:v>335451.34152904048</c:v>
                </c:pt>
                <c:pt idx="18">
                  <c:v>407743.20219943317</c:v>
                </c:pt>
                <c:pt idx="19">
                  <c:v>495614.41066842491</c:v>
                </c:pt>
                <c:pt idx="20">
                  <c:v>602422.41375753726</c:v>
                </c:pt>
                <c:pt idx="21">
                  <c:v>732248.20906237245</c:v>
                </c:pt>
                <c:pt idx="22">
                  <c:v>890052.2746666203</c:v>
                </c:pt>
                <c:pt idx="23">
                  <c:v>1081864.1026839938</c:v>
                </c:pt>
                <c:pt idx="24">
                  <c:v>1315012.5784630361</c:v>
                </c:pt>
                <c:pt idx="25">
                  <c:v>1598406.0079504361</c:v>
                </c:pt>
                <c:pt idx="26">
                  <c:v>1942872.4927013048</c:v>
                </c:pt>
                <c:pt idx="27">
                  <c:v>2361573.6578315161</c:v>
                </c:pt>
                <c:pt idx="28">
                  <c:v>2870507.5409295694</c:v>
                </c:pt>
                <c:pt idx="29">
                  <c:v>3489119.856672022</c:v>
                </c:pt>
                <c:pt idx="30">
                  <c:v>4241046.9927839469</c:v>
                </c:pt>
                <c:pt idx="31">
                  <c:v>5155019.1262725936</c:v>
                </c:pt>
                <c:pt idx="32">
                  <c:v>6265957.9668538766</c:v>
                </c:pt>
                <c:pt idx="33">
                  <c:v>7616311.0709481807</c:v>
                </c:pt>
                <c:pt idx="34">
                  <c:v>9257673.7086817063</c:v>
                </c:pt>
                <c:pt idx="35">
                  <c:v>11252760.253363295</c:v>
                </c:pt>
                <c:pt idx="36">
                  <c:v>13677800.41771467</c:v>
                </c:pt>
                <c:pt idx="37">
                  <c:v>16625451.893984791</c:v>
                </c:pt>
                <c:pt idx="38">
                  <c:v>20208340.686212853</c:v>
                </c:pt>
                <c:pt idx="39">
                  <c:v>24563364.406221014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FA-46B3-BF5A-D490A88A8935}"/>
            </c:ext>
          </c:extLst>
        </c:ser>
        <c:ser>
          <c:idx val="3"/>
          <c:order val="3"/>
          <c:tx>
            <c:strRef>
              <c:f>'No. Compounding Periods Effect'!$F$6</c:f>
              <c:strCache>
                <c:ptCount val="1"/>
                <c:pt idx="0">
                  <c:v>12.00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FA-46B3-BF5A-D490A88A8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'No. Compounding Periods Effect'!$B$8:$B$47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'No. Compounding Periods Effect'!$F$8:$F$47</c:f>
              <c:numCache>
                <c:formatCode>"$"#,##0.00_);[Red]\("$"#,##0.00\)</c:formatCode>
                <c:ptCount val="40"/>
                <c:pt idx="0">
                  <c:v>12193.910849052318</c:v>
                </c:pt>
                <c:pt idx="1">
                  <c:v>14869.146179463583</c:v>
                </c:pt>
                <c:pt idx="2">
                  <c:v>18131.304291390581</c:v>
                </c:pt>
                <c:pt idx="3">
                  <c:v>22109.150810625652</c:v>
                </c:pt>
                <c:pt idx="4">
                  <c:v>26959.701393302199</c:v>
                </c:pt>
                <c:pt idx="5">
                  <c:v>32874.419530699859</c:v>
                </c:pt>
                <c:pt idx="6">
                  <c:v>40086.774097169844</c:v>
                </c:pt>
                <c:pt idx="7">
                  <c:v>48881.454956698886</c:v>
                </c:pt>
                <c:pt idx="8">
                  <c:v>59605.610391395283</c:v>
                </c:pt>
                <c:pt idx="9">
                  <c:v>72682.549921602054</c:v>
                </c:pt>
                <c:pt idx="10">
                  <c:v>88628.453402580984</c:v>
                </c:pt>
                <c:pt idx="11">
                  <c:v>108072.74594804605</c:v>
                </c:pt>
                <c:pt idx="12">
                  <c:v>131782.94293027537</c:v>
                </c:pt>
                <c:pt idx="13">
                  <c:v>160694.94575175273</c:v>
                </c:pt>
                <c:pt idx="14">
                  <c:v>195949.98423901715</c:v>
                </c:pt>
                <c:pt idx="15">
                  <c:v>238939.66386837824</c:v>
                </c:pt>
                <c:pt idx="16">
                  <c:v>291360.89595135319</c:v>
                </c:pt>
                <c:pt idx="17">
                  <c:v>355282.87901308091</c:v>
                </c:pt>
                <c:pt idx="18">
                  <c:v>433228.77528801496</c:v>
                </c:pt>
                <c:pt idx="19">
                  <c:v>528275.3063106176</c:v>
                </c:pt>
                <c:pt idx="20">
                  <c:v>644174.19889074762</c:v>
                </c:pt>
                <c:pt idx="21">
                  <c:v>785500.27525334724</c:v>
                </c:pt>
                <c:pt idx="22">
                  <c:v>957832.03283453744</c:v>
                </c:pt>
                <c:pt idx="23">
                  <c:v>1167971.8416750904</c:v>
                </c:pt>
                <c:pt idx="24">
                  <c:v>1424214.4511589501</c:v>
                </c:pt>
                <c:pt idx="25">
                  <c:v>1736674.4047364215</c:v>
                </c:pt>
                <c:pt idx="26">
                  <c:v>2117685.286518693</c:v>
                </c:pt>
                <c:pt idx="27">
                  <c:v>2582286.5590158761</c:v>
                </c:pt>
                <c:pt idx="28">
                  <c:v>3148817.2087345668</c:v>
                </c:pt>
                <c:pt idx="29">
                  <c:v>3839639.6323271072</c:v>
                </c:pt>
                <c:pt idx="30">
                  <c:v>4682022.3369084774</c:v>
                </c:pt>
                <c:pt idx="31">
                  <c:v>5709216.2969533578</c:v>
                </c:pt>
                <c:pt idx="32">
                  <c:v>6961767.4543005852</c:v>
                </c:pt>
                <c:pt idx="33">
                  <c:v>8489117.1689575259</c:v>
                </c:pt>
                <c:pt idx="34">
                  <c:v>10351553.794542747</c:v>
                </c:pt>
                <c:pt idx="35">
                  <c:v>12622592.41198235</c:v>
                </c:pt>
                <c:pt idx="36">
                  <c:v>15391876.655563707</c:v>
                </c:pt>
                <c:pt idx="37">
                  <c:v>18768717.17375534</c:v>
                </c:pt>
                <c:pt idx="38">
                  <c:v>22886406.396784984</c:v>
                </c:pt>
                <c:pt idx="39">
                  <c:v>27907479.92575768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FA-46B3-BF5A-D490A88A8935}"/>
            </c:ext>
          </c:extLst>
        </c:ser>
        <c:ser>
          <c:idx val="4"/>
          <c:order val="4"/>
          <c:tx>
            <c:strRef>
              <c:f>'No. Compounding Periods Effect'!$G$6</c:f>
              <c:strCache>
                <c:ptCount val="1"/>
                <c:pt idx="0">
                  <c:v>Continuous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FA-46B3-BF5A-D490A88A8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'No. Compounding Periods Effect'!$B$8:$B$47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'No. Compounding Periods Effect'!$G$8:$G$47</c:f>
              <c:numCache>
                <c:formatCode>"$"#,##0.00_);[Red]\("$"#,##0.00\)</c:formatCode>
                <c:ptCount val="40"/>
                <c:pt idx="0">
                  <c:v>12478.259014344248</c:v>
                </c:pt>
                <c:pt idx="1">
                  <c:v>15570.694802906351</c:v>
                </c:pt>
                <c:pt idx="2">
                  <c:v>19429.516278396935</c:v>
                </c:pt>
                <c:pt idx="3">
                  <c:v>24244.653664525489</c:v>
                </c:pt>
                <c:pt idx="4">
                  <c:v>30253.106813901952</c:v>
                </c:pt>
                <c:pt idx="5">
                  <c:v>37750.610281249144</c:v>
                </c:pt>
                <c:pt idx="6">
                  <c:v>47106.189303899388</c:v>
                </c:pt>
                <c:pt idx="7">
                  <c:v>58780.323131278907</c:v>
                </c:pt>
                <c:pt idx="8">
                  <c:v>73347.609697894892</c:v>
                </c:pt>
                <c:pt idx="9">
                  <c:v>91525.047189336066</c:v>
                </c:pt>
                <c:pt idx="10">
                  <c:v>114207.32451286158</c:v>
                </c:pt>
                <c:pt idx="11">
                  <c:v>142510.85766067533</c:v>
                </c:pt>
                <c:pt idx="12">
                  <c:v>177828.73942462518</c:v>
                </c:pt>
                <c:pt idx="13">
                  <c:v>221899.30707348048</c:v>
                </c:pt>
                <c:pt idx="14">
                  <c:v>276891.70287664008</c:v>
                </c:pt>
                <c:pt idx="15">
                  <c:v>345512.63874175627</c:v>
                </c:pt>
                <c:pt idx="16">
                  <c:v>431139.61989491875</c:v>
                </c:pt>
                <c:pt idx="17">
                  <c:v>537987.18483947241</c:v>
                </c:pt>
                <c:pt idx="18">
                  <c:v>671314.34388248331</c:v>
                </c:pt>
                <c:pt idx="19">
                  <c:v>837683.42630101927</c:v>
                </c:pt>
                <c:pt idx="20">
                  <c:v>1045283.0765407466</c:v>
                </c:pt>
                <c:pt idx="21">
                  <c:v>1304331.297238607</c:v>
                </c:pt>
                <c:pt idx="22">
                  <c:v>1627578.3767458976</c:v>
                </c:pt>
                <c:pt idx="23">
                  <c:v>2030934.4551181272</c:v>
                </c:pt>
                <c:pt idx="24">
                  <c:v>2534252.6172120092</c:v>
                </c:pt>
                <c:pt idx="25">
                  <c:v>3162306.0565351248</c:v>
                </c:pt>
                <c:pt idx="26">
                  <c:v>3946007.4056074866</c:v>
                </c:pt>
                <c:pt idx="27">
                  <c:v>4923930.2479690779</c:v>
                </c:pt>
                <c:pt idx="28">
                  <c:v>6144207.7002722444</c:v>
                </c:pt>
                <c:pt idx="29">
                  <c:v>7666901.5121925529</c:v>
                </c:pt>
                <c:pt idx="30">
                  <c:v>9566958.2906606272</c:v>
                </c:pt>
                <c:pt idx="31">
                  <c:v>11937898.353029139</c:v>
                </c:pt>
                <c:pt idx="32">
                  <c:v>14896418.773601117</c:v>
                </c:pt>
                <c:pt idx="33">
                  <c:v>18588137.184313502</c:v>
                </c:pt>
                <c:pt idx="34">
                  <c:v>23194759.038002763</c:v>
                </c:pt>
                <c:pt idx="35">
                  <c:v>28943021.10515007</c:v>
                </c:pt>
                <c:pt idx="36">
                  <c:v>36115851.400769465</c:v>
                </c:pt>
                <c:pt idx="37">
                  <c:v>45066294.830236919</c:v>
                </c:pt>
                <c:pt idx="38">
                  <c:v>56234889.970849887</c:v>
                </c:pt>
                <c:pt idx="39">
                  <c:v>70171352.269941509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FA-46B3-BF5A-D490A88A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07472"/>
        <c:axId val="734916328"/>
      </c:scatterChart>
      <c:valAx>
        <c:axId val="7349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34916328"/>
        <c:crosses val="autoZero"/>
        <c:crossBetween val="midCat"/>
      </c:valAx>
      <c:valAx>
        <c:axId val="73491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Investment</a:t>
                </a:r>
                <a:r>
                  <a:rPr lang="en-US" sz="2000" b="1" baseline="0"/>
                  <a:t> Balance ($)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3490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BA983A-518E-45F0-8FFE-9ED23012A10F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0EDC8C-328D-4FD7-A188-B129A0C3AD66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C55F3E-1EAC-41DF-A66C-D6FD2B2DEBC7}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4DBDF-B0CD-4B39-91DC-0E33FBA48248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E035E0-0609-4C60-AE25-3DC24A843C97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496614</xdr:colOff>
      <xdr:row>2</xdr:row>
      <xdr:rowOff>55179</xdr:rowOff>
    </xdr:from>
    <xdr:to>
      <xdr:col>12</xdr:col>
      <xdr:colOff>191814</xdr:colOff>
      <xdr:row>17</xdr:row>
      <xdr:rowOff>39413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A09D1-8DCE-4F88-8597-FC09B6078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89338</xdr:colOff>
      <xdr:row>4</xdr:row>
      <xdr:rowOff>148118</xdr:rowOff>
    </xdr:from>
    <xdr:to>
      <xdr:col>10</xdr:col>
      <xdr:colOff>313279</xdr:colOff>
      <xdr:row>8</xdr:row>
      <xdr:rowOff>65303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2C5E4B-A462-42F2-80D2-ECC3157D2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958" y="963458"/>
          <a:ext cx="3271941" cy="648705"/>
        </a:xfrm>
        <a:prstGeom prst="rect">
          <a:avLst/>
        </a:prstGeom>
      </xdr:spPr>
    </xdr:pic>
    <xdr:clientData/>
  </xdr:twoCellAnchor>
  <xdr:twoCellAnchor editAs="oneCell">
    <xdr:from>
      <xdr:col>5</xdr:col>
      <xdr:colOff>47296</xdr:colOff>
      <xdr:row>10</xdr:row>
      <xdr:rowOff>27068</xdr:rowOff>
    </xdr:from>
    <xdr:to>
      <xdr:col>10</xdr:col>
      <xdr:colOff>585327</xdr:colOff>
      <xdr:row>16</xdr:row>
      <xdr:rowOff>123154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C85272-ABD9-447A-8171-77C8D0E8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4916" y="1939688"/>
          <a:ext cx="3586031" cy="12086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10511</xdr:colOff>
      <xdr:row>5</xdr:row>
      <xdr:rowOff>84559</xdr:rowOff>
    </xdr:from>
    <xdr:to>
      <xdr:col>10</xdr:col>
      <xdr:colOff>65273</xdr:colOff>
      <xdr:row>11</xdr:row>
      <xdr:rowOff>96271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71D7D-1AAA-4C94-8542-31211FEE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811" y="1082779"/>
          <a:ext cx="3102762" cy="11089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320659</xdr:colOff>
      <xdr:row>3</xdr:row>
      <xdr:rowOff>141889</xdr:rowOff>
    </xdr:from>
    <xdr:to>
      <xdr:col>10</xdr:col>
      <xdr:colOff>218413</xdr:colOff>
      <xdr:row>11</xdr:row>
      <xdr:rowOff>196960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D42B-B271-407B-A3E2-E6B52958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919" y="774349"/>
          <a:ext cx="2336154" cy="151811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161276</xdr:colOff>
      <xdr:row>3</xdr:row>
      <xdr:rowOff>152400</xdr:rowOff>
    </xdr:from>
    <xdr:to>
      <xdr:col>8</xdr:col>
      <xdr:colOff>562602</xdr:colOff>
      <xdr:row>5</xdr:row>
      <xdr:rowOff>136182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9C35FD-D486-4929-B27D-5FBFE1715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6016" y="784860"/>
          <a:ext cx="2557786" cy="3495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492095</xdr:colOff>
      <xdr:row>13</xdr:row>
      <xdr:rowOff>118946</xdr:rowOff>
    </xdr:from>
    <xdr:to>
      <xdr:col>4</xdr:col>
      <xdr:colOff>64514</xdr:colOff>
      <xdr:row>15</xdr:row>
      <xdr:rowOff>102729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976DE-FFCC-41A5-9A96-82B77A53F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935" y="2763086"/>
          <a:ext cx="2559459" cy="34954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262759</xdr:colOff>
      <xdr:row>6</xdr:row>
      <xdr:rowOff>36787</xdr:rowOff>
    </xdr:from>
    <xdr:to>
      <xdr:col>9</xdr:col>
      <xdr:colOff>384599</xdr:colOff>
      <xdr:row>7</xdr:row>
      <xdr:rowOff>150001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CD649-9240-4502-9C80-8EADABB6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2259" y="1179787"/>
          <a:ext cx="2560240" cy="2960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5</xdr:row>
      <xdr:rowOff>46886</xdr:rowOff>
    </xdr:from>
    <xdr:to>
      <xdr:col>13</xdr:col>
      <xdr:colOff>175586</xdr:colOff>
      <xdr:row>14</xdr:row>
      <xdr:rowOff>116311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62B633-C007-4F44-81AF-B4E01AFEC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1106066"/>
          <a:ext cx="4320866" cy="185250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256190</xdr:colOff>
      <xdr:row>2</xdr:row>
      <xdr:rowOff>178428</xdr:rowOff>
    </xdr:from>
    <xdr:to>
      <xdr:col>14</xdr:col>
      <xdr:colOff>457635</xdr:colOff>
      <xdr:row>16</xdr:row>
      <xdr:rowOff>90586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4F98D-0990-49DE-832E-B6F69B484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9950" y="643248"/>
          <a:ext cx="6236485" cy="26858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310057</xdr:colOff>
      <xdr:row>0</xdr:row>
      <xdr:rowOff>68317</xdr:rowOff>
    </xdr:from>
    <xdr:ext cx="2170384" cy="519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FDE8C7-D147-45FF-9036-1D954C95FF1E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𝑋𝑁𝑃𝑉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𝑑𝑎𝑖𝑙𝑦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FDE8C7-D147-45FF-9036-1D954C95FF1E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𝑋𝑁𝑃𝑉= ∑_(𝑡=1)^𝑇▒〖𝐶𝐹〗_𝑡/〖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(1+𝑟_𝑑𝑎𝑖𝑙𝑦)〗^((</a:t>
              </a:r>
              <a:r>
                <a:rPr lang="en-US" sz="1200" b="0" i="0">
                  <a:latin typeface="Cambria Math" panose="02040503050406030204" pitchFamily="18" charset="0"/>
                </a:rPr>
                <a:t>𝑑_𝑡−𝑑_1 ) ) 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291547</xdr:colOff>
      <xdr:row>12</xdr:row>
      <xdr:rowOff>92766</xdr:rowOff>
    </xdr:from>
    <xdr:to>
      <xdr:col>9</xdr:col>
      <xdr:colOff>79513</xdr:colOff>
      <xdr:row>12</xdr:row>
      <xdr:rowOff>106017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E9E5169-45F3-44C0-9948-EDB5EC4CC593}"/>
            </a:ext>
          </a:extLst>
        </xdr:cNvPr>
        <xdr:cNvCxnSpPr/>
      </xdr:nvCxnSpPr>
      <xdr:spPr>
        <a:xfrm flipV="1">
          <a:off x="4977847" y="2569266"/>
          <a:ext cx="2554026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303905</xdr:colOff>
      <xdr:row>12</xdr:row>
      <xdr:rowOff>102960</xdr:rowOff>
    </xdr:from>
    <xdr:to>
      <xdr:col>6</xdr:col>
      <xdr:colOff>303905</xdr:colOff>
      <xdr:row>14</xdr:row>
      <xdr:rowOff>170410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079DB8-C716-4077-96EA-EAA793027510}"/>
            </a:ext>
          </a:extLst>
        </xdr:cNvPr>
        <xdr:cNvCxnSpPr/>
      </xdr:nvCxnSpPr>
      <xdr:spPr>
        <a:xfrm>
          <a:off x="499020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586236</xdr:colOff>
      <xdr:row>12</xdr:row>
      <xdr:rowOff>102960</xdr:rowOff>
    </xdr:from>
    <xdr:to>
      <xdr:col>6</xdr:col>
      <xdr:colOff>586236</xdr:colOff>
      <xdr:row>14</xdr:row>
      <xdr:rowOff>170410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86EF09E-080E-43B6-813E-6F7B6E20DCBE}"/>
            </a:ext>
          </a:extLst>
        </xdr:cNvPr>
        <xdr:cNvCxnSpPr/>
      </xdr:nvCxnSpPr>
      <xdr:spPr>
        <a:xfrm>
          <a:off x="5272536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868568</xdr:colOff>
      <xdr:row>12</xdr:row>
      <xdr:rowOff>102960</xdr:rowOff>
    </xdr:from>
    <xdr:to>
      <xdr:col>6</xdr:col>
      <xdr:colOff>868568</xdr:colOff>
      <xdr:row>14</xdr:row>
      <xdr:rowOff>170410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4655D7D-1D17-4047-A9EB-8317B601B302}"/>
            </a:ext>
          </a:extLst>
        </xdr:cNvPr>
        <xdr:cNvCxnSpPr/>
      </xdr:nvCxnSpPr>
      <xdr:spPr>
        <a:xfrm>
          <a:off x="5554868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130482</xdr:colOff>
      <xdr:row>12</xdr:row>
      <xdr:rowOff>102960</xdr:rowOff>
    </xdr:from>
    <xdr:to>
      <xdr:col>7</xdr:col>
      <xdr:colOff>130482</xdr:colOff>
      <xdr:row>14</xdr:row>
      <xdr:rowOff>170410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A1104D-15A0-472F-AF38-33CD2D027F37}"/>
            </a:ext>
          </a:extLst>
        </xdr:cNvPr>
        <xdr:cNvCxnSpPr/>
      </xdr:nvCxnSpPr>
      <xdr:spPr>
        <a:xfrm>
          <a:off x="5837862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412813</xdr:colOff>
      <xdr:row>12</xdr:row>
      <xdr:rowOff>102960</xdr:rowOff>
    </xdr:from>
    <xdr:to>
      <xdr:col>7</xdr:col>
      <xdr:colOff>412813</xdr:colOff>
      <xdr:row>14</xdr:row>
      <xdr:rowOff>170410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F842229-1984-44BD-A06A-DDE860FD3E4E}"/>
            </a:ext>
          </a:extLst>
        </xdr:cNvPr>
        <xdr:cNvCxnSpPr/>
      </xdr:nvCxnSpPr>
      <xdr:spPr>
        <a:xfrm>
          <a:off x="6120193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695144</xdr:colOff>
      <xdr:row>12</xdr:row>
      <xdr:rowOff>102960</xdr:rowOff>
    </xdr:from>
    <xdr:to>
      <xdr:col>7</xdr:col>
      <xdr:colOff>695144</xdr:colOff>
      <xdr:row>14</xdr:row>
      <xdr:rowOff>170410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67A912A-F735-41A0-BDC9-05D781E3AA8B}"/>
            </a:ext>
          </a:extLst>
        </xdr:cNvPr>
        <xdr:cNvCxnSpPr/>
      </xdr:nvCxnSpPr>
      <xdr:spPr>
        <a:xfrm>
          <a:off x="6402524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977475</xdr:colOff>
      <xdr:row>12</xdr:row>
      <xdr:rowOff>102960</xdr:rowOff>
    </xdr:from>
    <xdr:to>
      <xdr:col>7</xdr:col>
      <xdr:colOff>977475</xdr:colOff>
      <xdr:row>14</xdr:row>
      <xdr:rowOff>170410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E49B269-CA76-4BAB-910B-F2BEA9FF4BC5}"/>
            </a:ext>
          </a:extLst>
        </xdr:cNvPr>
        <xdr:cNvCxnSpPr/>
      </xdr:nvCxnSpPr>
      <xdr:spPr>
        <a:xfrm>
          <a:off x="668485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186380</xdr:colOff>
      <xdr:row>12</xdr:row>
      <xdr:rowOff>102960</xdr:rowOff>
    </xdr:from>
    <xdr:to>
      <xdr:col>8</xdr:col>
      <xdr:colOff>186380</xdr:colOff>
      <xdr:row>14</xdr:row>
      <xdr:rowOff>170410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346C836-AA89-4260-AA2D-68D0AE39B0B9}"/>
            </a:ext>
          </a:extLst>
        </xdr:cNvPr>
        <xdr:cNvCxnSpPr/>
      </xdr:nvCxnSpPr>
      <xdr:spPr>
        <a:xfrm>
          <a:off x="696818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468710</xdr:colOff>
      <xdr:row>12</xdr:row>
      <xdr:rowOff>102960</xdr:rowOff>
    </xdr:from>
    <xdr:to>
      <xdr:col>8</xdr:col>
      <xdr:colOff>468710</xdr:colOff>
      <xdr:row>14</xdr:row>
      <xdr:rowOff>170410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C09DA6-1E3E-4035-8F08-4FDF4DA6DDDA}"/>
            </a:ext>
          </a:extLst>
        </xdr:cNvPr>
        <xdr:cNvCxnSpPr/>
      </xdr:nvCxnSpPr>
      <xdr:spPr>
        <a:xfrm>
          <a:off x="725051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6</xdr:col>
      <xdr:colOff>324676</xdr:colOff>
      <xdr:row>14</xdr:row>
      <xdr:rowOff>117985</xdr:rowOff>
    </xdr:from>
    <xdr:ext cx="46846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FC0043E-DC3A-4D4B-BCD6-647B24A5DE83}"/>
            </a:ext>
          </a:extLst>
        </xdr:cNvPr>
        <xdr:cNvSpPr txBox="1"/>
      </xdr:nvSpPr>
      <xdr:spPr>
        <a:xfrm>
          <a:off x="5010976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8</xdr:col>
      <xdr:colOff>185529</xdr:colOff>
      <xdr:row>14</xdr:row>
      <xdr:rowOff>117985</xdr:rowOff>
    </xdr:from>
    <xdr:ext cx="46846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343A954-9BC0-4633-9E10-536058E54DFB}"/>
            </a:ext>
          </a:extLst>
        </xdr:cNvPr>
        <xdr:cNvSpPr txBox="1"/>
      </xdr:nvSpPr>
      <xdr:spPr>
        <a:xfrm>
          <a:off x="6967329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7</xdr:col>
      <xdr:colOff>834885</xdr:colOff>
      <xdr:row>14</xdr:row>
      <xdr:rowOff>117985</xdr:rowOff>
    </xdr:from>
    <xdr:ext cx="46846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0920F0E-3336-4242-BF58-13EE09B14F0B}"/>
            </a:ext>
          </a:extLst>
        </xdr:cNvPr>
        <xdr:cNvSpPr txBox="1"/>
      </xdr:nvSpPr>
      <xdr:spPr>
        <a:xfrm>
          <a:off x="6542265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6</xdr:col>
      <xdr:colOff>775252</xdr:colOff>
      <xdr:row>14</xdr:row>
      <xdr:rowOff>39759</xdr:rowOff>
    </xdr:from>
    <xdr:ext cx="340093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26BDC68-B19F-40FF-B4D4-60EAE12FB2CB}"/>
            </a:ext>
          </a:extLst>
        </xdr:cNvPr>
        <xdr:cNvSpPr txBox="1"/>
      </xdr:nvSpPr>
      <xdr:spPr>
        <a:xfrm>
          <a:off x="5461552" y="2912499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  <xdr:twoCellAnchor>
    <xdr:from>
      <xdr:col>6</xdr:col>
      <xdr:colOff>303905</xdr:colOff>
      <xdr:row>4</xdr:row>
      <xdr:rowOff>178904</xdr:rowOff>
    </xdr:from>
    <xdr:to>
      <xdr:col>6</xdr:col>
      <xdr:colOff>303905</xdr:colOff>
      <xdr:row>13</xdr:row>
      <xdr:rowOff>16821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B894F1-DFFF-4739-B7BD-8F84909F8E01}"/>
            </a:ext>
          </a:extLst>
        </xdr:cNvPr>
        <xdr:cNvCxnSpPr/>
      </xdr:nvCxnSpPr>
      <xdr:spPr>
        <a:xfrm flipV="1">
          <a:off x="4990205" y="1070444"/>
          <a:ext cx="0" cy="1620997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585" cy="6275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BE6C6-B7A6-4EA0-8277-304526FEFF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343790</xdr:colOff>
      <xdr:row>11</xdr:row>
      <xdr:rowOff>33131</xdr:rowOff>
    </xdr:from>
    <xdr:to>
      <xdr:col>6</xdr:col>
      <xdr:colOff>343790</xdr:colOff>
      <xdr:row>15</xdr:row>
      <xdr:rowOff>190502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6388164-2E2C-44B2-9540-A8A494895326}"/>
            </a:ext>
          </a:extLst>
        </xdr:cNvPr>
        <xdr:cNvCxnSpPr/>
      </xdr:nvCxnSpPr>
      <xdr:spPr>
        <a:xfrm flipH="1" flipV="1">
          <a:off x="3841370" y="2311511"/>
          <a:ext cx="0" cy="9498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337929</xdr:colOff>
      <xdr:row>15</xdr:row>
      <xdr:rowOff>180732</xdr:rowOff>
    </xdr:from>
    <xdr:to>
      <xdr:col>9</xdr:col>
      <xdr:colOff>300466</xdr:colOff>
      <xdr:row>15</xdr:row>
      <xdr:rowOff>180732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C93412-836B-4680-B4D6-3C47614B6574}"/>
            </a:ext>
          </a:extLst>
        </xdr:cNvPr>
        <xdr:cNvCxnSpPr/>
      </xdr:nvCxnSpPr>
      <xdr:spPr>
        <a:xfrm flipV="1">
          <a:off x="3835509" y="3251592"/>
          <a:ext cx="2728597" cy="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185530</xdr:colOff>
      <xdr:row>15</xdr:row>
      <xdr:rowOff>53010</xdr:rowOff>
    </xdr:from>
    <xdr:to>
      <xdr:col>15</xdr:col>
      <xdr:colOff>231913</xdr:colOff>
      <xdr:row>15</xdr:row>
      <xdr:rowOff>66261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1887512-1DD3-44F4-991B-545CF81DC202}"/>
            </a:ext>
          </a:extLst>
        </xdr:cNvPr>
        <xdr:cNvCxnSpPr/>
      </xdr:nvCxnSpPr>
      <xdr:spPr>
        <a:xfrm flipV="1">
          <a:off x="7790290" y="3123870"/>
          <a:ext cx="2553363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197888</xdr:colOff>
      <xdr:row>15</xdr:row>
      <xdr:rowOff>63204</xdr:rowOff>
    </xdr:from>
    <xdr:to>
      <xdr:col>11</xdr:col>
      <xdr:colOff>197888</xdr:colOff>
      <xdr:row>17</xdr:row>
      <xdr:rowOff>130653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A6E4CC6-130D-4C15-A578-9D365EE66DBE}"/>
            </a:ext>
          </a:extLst>
        </xdr:cNvPr>
        <xdr:cNvCxnSpPr/>
      </xdr:nvCxnSpPr>
      <xdr:spPr>
        <a:xfrm>
          <a:off x="780264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480219</xdr:colOff>
      <xdr:row>15</xdr:row>
      <xdr:rowOff>63204</xdr:rowOff>
    </xdr:from>
    <xdr:to>
      <xdr:col>11</xdr:col>
      <xdr:colOff>480219</xdr:colOff>
      <xdr:row>17</xdr:row>
      <xdr:rowOff>130653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F678450-8D17-4A86-B82D-D7261206984F}"/>
            </a:ext>
          </a:extLst>
        </xdr:cNvPr>
        <xdr:cNvCxnSpPr/>
      </xdr:nvCxnSpPr>
      <xdr:spPr>
        <a:xfrm>
          <a:off x="8084979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93316</xdr:colOff>
      <xdr:row>15</xdr:row>
      <xdr:rowOff>63204</xdr:rowOff>
    </xdr:from>
    <xdr:to>
      <xdr:col>12</xdr:col>
      <xdr:colOff>93316</xdr:colOff>
      <xdr:row>17</xdr:row>
      <xdr:rowOff>130653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6132405-7E52-4F83-AEBD-65C88C94E64C}"/>
            </a:ext>
          </a:extLst>
        </xdr:cNvPr>
        <xdr:cNvCxnSpPr/>
      </xdr:nvCxnSpPr>
      <xdr:spPr>
        <a:xfrm>
          <a:off x="8368636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375647</xdr:colOff>
      <xdr:row>15</xdr:row>
      <xdr:rowOff>63204</xdr:rowOff>
    </xdr:from>
    <xdr:to>
      <xdr:col>12</xdr:col>
      <xdr:colOff>375647</xdr:colOff>
      <xdr:row>17</xdr:row>
      <xdr:rowOff>130653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316C08D-D4E8-4840-B82A-A45FFFDEA014}"/>
            </a:ext>
          </a:extLst>
        </xdr:cNvPr>
        <xdr:cNvCxnSpPr/>
      </xdr:nvCxnSpPr>
      <xdr:spPr>
        <a:xfrm>
          <a:off x="8650967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657978</xdr:colOff>
      <xdr:row>15</xdr:row>
      <xdr:rowOff>63204</xdr:rowOff>
    </xdr:from>
    <xdr:to>
      <xdr:col>12</xdr:col>
      <xdr:colOff>657978</xdr:colOff>
      <xdr:row>17</xdr:row>
      <xdr:rowOff>130653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73B738F-3B7E-474E-B3EA-13A6AF095C1D}"/>
            </a:ext>
          </a:extLst>
        </xdr:cNvPr>
        <xdr:cNvCxnSpPr/>
      </xdr:nvCxnSpPr>
      <xdr:spPr>
        <a:xfrm>
          <a:off x="893329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271074</xdr:colOff>
      <xdr:row>15</xdr:row>
      <xdr:rowOff>63204</xdr:rowOff>
    </xdr:from>
    <xdr:to>
      <xdr:col>13</xdr:col>
      <xdr:colOff>271074</xdr:colOff>
      <xdr:row>17</xdr:row>
      <xdr:rowOff>130653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0A428C6-79A9-4956-9E71-4C7C40FF16BC}"/>
            </a:ext>
          </a:extLst>
        </xdr:cNvPr>
        <xdr:cNvCxnSpPr/>
      </xdr:nvCxnSpPr>
      <xdr:spPr>
        <a:xfrm>
          <a:off x="9216954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553405</xdr:colOff>
      <xdr:row>15</xdr:row>
      <xdr:rowOff>63204</xdr:rowOff>
    </xdr:from>
    <xdr:to>
      <xdr:col>13</xdr:col>
      <xdr:colOff>553405</xdr:colOff>
      <xdr:row>17</xdr:row>
      <xdr:rowOff>130653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EF9C557-0F32-4684-8F60-4D8B25FF97DE}"/>
            </a:ext>
          </a:extLst>
        </xdr:cNvPr>
        <xdr:cNvCxnSpPr/>
      </xdr:nvCxnSpPr>
      <xdr:spPr>
        <a:xfrm>
          <a:off x="9499285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166501</xdr:colOff>
      <xdr:row>15</xdr:row>
      <xdr:rowOff>63204</xdr:rowOff>
    </xdr:from>
    <xdr:to>
      <xdr:col>14</xdr:col>
      <xdr:colOff>166501</xdr:colOff>
      <xdr:row>17</xdr:row>
      <xdr:rowOff>130653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B7C6939-419D-4899-8143-81E02EDDAE6D}"/>
            </a:ext>
          </a:extLst>
        </xdr:cNvPr>
        <xdr:cNvCxnSpPr/>
      </xdr:nvCxnSpPr>
      <xdr:spPr>
        <a:xfrm>
          <a:off x="978294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448831</xdr:colOff>
      <xdr:row>15</xdr:row>
      <xdr:rowOff>63204</xdr:rowOff>
    </xdr:from>
    <xdr:to>
      <xdr:col>14</xdr:col>
      <xdr:colOff>448831</xdr:colOff>
      <xdr:row>17</xdr:row>
      <xdr:rowOff>130653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F6E5F70-BA11-4739-AB0F-3E2C82E46A77}"/>
            </a:ext>
          </a:extLst>
        </xdr:cNvPr>
        <xdr:cNvCxnSpPr/>
      </xdr:nvCxnSpPr>
      <xdr:spPr>
        <a:xfrm>
          <a:off x="1006527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10</xdr:col>
      <xdr:colOff>463825</xdr:colOff>
      <xdr:row>17</xdr:row>
      <xdr:rowOff>78228</xdr:rowOff>
    </xdr:from>
    <xdr:ext cx="5439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53AC796-A838-4621-BB1A-DFE1FFF39DB4}"/>
            </a:ext>
          </a:extLst>
        </xdr:cNvPr>
        <xdr:cNvSpPr txBox="1"/>
      </xdr:nvSpPr>
      <xdr:spPr>
        <a:xfrm>
          <a:off x="739802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11</xdr:col>
      <xdr:colOff>218659</xdr:colOff>
      <xdr:row>17</xdr:row>
      <xdr:rowOff>78228</xdr:rowOff>
    </xdr:from>
    <xdr:ext cx="5439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021B568-0A57-45CA-A78A-D48E916C6B52}"/>
            </a:ext>
          </a:extLst>
        </xdr:cNvPr>
        <xdr:cNvSpPr txBox="1"/>
      </xdr:nvSpPr>
      <xdr:spPr>
        <a:xfrm>
          <a:off x="7823419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14</xdr:col>
      <xdr:colOff>165650</xdr:colOff>
      <xdr:row>17</xdr:row>
      <xdr:rowOff>78228</xdr:rowOff>
    </xdr:from>
    <xdr:ext cx="5439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680F653-5BF1-44DA-80D6-6D43D23DA545}"/>
            </a:ext>
          </a:extLst>
        </xdr:cNvPr>
        <xdr:cNvSpPr txBox="1"/>
      </xdr:nvSpPr>
      <xdr:spPr>
        <a:xfrm>
          <a:off x="9782090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13</xdr:col>
      <xdr:colOff>410815</xdr:colOff>
      <xdr:row>17</xdr:row>
      <xdr:rowOff>78228</xdr:rowOff>
    </xdr:from>
    <xdr:ext cx="5439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E999D4-39E8-4098-8662-6FA08BF9D38D}"/>
            </a:ext>
          </a:extLst>
        </xdr:cNvPr>
        <xdr:cNvSpPr txBox="1"/>
      </xdr:nvSpPr>
      <xdr:spPr>
        <a:xfrm>
          <a:off x="935669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12</xdr:col>
      <xdr:colOff>0</xdr:colOff>
      <xdr:row>17</xdr:row>
      <xdr:rowOff>2</xdr:rowOff>
    </xdr:from>
    <xdr:ext cx="340093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DAF6ED0-545E-4F41-8219-F37CF614FF11}"/>
            </a:ext>
          </a:extLst>
        </xdr:cNvPr>
        <xdr:cNvSpPr txBox="1"/>
      </xdr:nvSpPr>
      <xdr:spPr>
        <a:xfrm>
          <a:off x="8275320" y="3467102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60" cy="62882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A579C-5B04-4AE8-85B5-4D01B4C90C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4121-8B1B-4F89-B20E-FAE9BDCAD0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1</xdr:row>
      <xdr:rowOff>137160</xdr:rowOff>
    </xdr:from>
    <xdr:to>
      <xdr:col>15</xdr:col>
      <xdr:colOff>91440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FE274-9600-4CB8-98EE-EDF2DC08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215462</xdr:colOff>
      <xdr:row>2</xdr:row>
      <xdr:rowOff>20665</xdr:rowOff>
    </xdr:from>
    <xdr:to>
      <xdr:col>10</xdr:col>
      <xdr:colOff>211113</xdr:colOff>
      <xdr:row>4</xdr:row>
      <xdr:rowOff>92059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1A86A3-0927-4B3B-BEBC-5C3B3FA30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4122" y="363565"/>
          <a:ext cx="2007331" cy="4676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137159</xdr:colOff>
      <xdr:row>2</xdr:row>
      <xdr:rowOff>68580</xdr:rowOff>
    </xdr:from>
    <xdr:to>
      <xdr:col>11</xdr:col>
      <xdr:colOff>1310640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E696A-A369-4AE6-9E6F-0A3025A88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76" t="-9430" r="34352" b="-611"/>
        <a:stretch/>
      </xdr:blipFill>
      <xdr:spPr>
        <a:xfrm>
          <a:off x="11612879" y="533400"/>
          <a:ext cx="1173481" cy="266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585" cy="6275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892D5-E741-40FA-B6F6-C7E840CDF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585" cy="62756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4681F-A3C8-48D9-93C2-FA3BDD2F8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3EB4-94E7-4FD5-B0EC-589FF7D7E1EB}">
  <dimension ref="A1:I27"/>
  <sheetViews>
    <sheetView showGridLines="0" workbookViewId="0">
      <selection activeCell="B1" sqref="B1"/>
    </sheetView>
  </sheetViews>
  <sheetFormatPr defaultRowHeight="15" x14ac:dyDescent="0.25"/>
  <cols>
    <col min="1" max="1" width="5.28515625" customWidth="1"/>
    <col min="2" max="2" width="31.28515625" customWidth="1"/>
    <col min="3" max="3" width="39.7109375" bestFit="1" customWidth="1"/>
    <col min="4" max="4" width="81.140625" bestFit="1" customWidth="1"/>
  </cols>
  <sheetData>
    <row r="1" spans="1:9" ht="26.25" x14ac:dyDescent="0.4">
      <c r="A1" s="151"/>
      <c r="B1" s="152" t="s">
        <v>209</v>
      </c>
      <c r="C1" s="152"/>
      <c r="D1" s="151"/>
      <c r="E1" s="151"/>
      <c r="F1" s="151"/>
      <c r="G1" s="152"/>
      <c r="H1" s="152"/>
      <c r="I1" s="152"/>
    </row>
    <row r="4" spans="1:9" ht="18.75" x14ac:dyDescent="0.3">
      <c r="B4" s="153" t="s">
        <v>175</v>
      </c>
      <c r="C4" s="153" t="s">
        <v>177</v>
      </c>
      <c r="D4" s="153" t="s">
        <v>176</v>
      </c>
    </row>
    <row r="5" spans="1:9" x14ac:dyDescent="0.25">
      <c r="B5" s="154" t="s">
        <v>157</v>
      </c>
      <c r="C5" t="s">
        <v>178</v>
      </c>
      <c r="D5" t="s">
        <v>193</v>
      </c>
    </row>
    <row r="6" spans="1:9" x14ac:dyDescent="0.25">
      <c r="B6" s="154" t="s">
        <v>158</v>
      </c>
      <c r="C6" t="s">
        <v>179</v>
      </c>
      <c r="D6" t="s">
        <v>192</v>
      </c>
    </row>
    <row r="7" spans="1:9" x14ac:dyDescent="0.25">
      <c r="B7" s="154" t="s">
        <v>19</v>
      </c>
      <c r="C7" t="s">
        <v>179</v>
      </c>
      <c r="D7" t="s">
        <v>194</v>
      </c>
    </row>
    <row r="8" spans="1:9" x14ac:dyDescent="0.25">
      <c r="B8" s="154" t="s">
        <v>159</v>
      </c>
      <c r="C8" t="s">
        <v>180</v>
      </c>
      <c r="D8" t="s">
        <v>195</v>
      </c>
    </row>
    <row r="9" spans="1:9" x14ac:dyDescent="0.25">
      <c r="B9" s="154" t="s">
        <v>31</v>
      </c>
      <c r="C9" t="s">
        <v>180</v>
      </c>
      <c r="D9" t="s">
        <v>196</v>
      </c>
    </row>
    <row r="10" spans="1:9" x14ac:dyDescent="0.25">
      <c r="B10" s="154" t="s">
        <v>160</v>
      </c>
      <c r="C10" t="s">
        <v>180</v>
      </c>
      <c r="D10" t="s">
        <v>197</v>
      </c>
    </row>
    <row r="11" spans="1:9" x14ac:dyDescent="0.25">
      <c r="B11" s="154" t="s">
        <v>161</v>
      </c>
      <c r="C11" t="s">
        <v>181</v>
      </c>
      <c r="D11" t="s">
        <v>198</v>
      </c>
    </row>
    <row r="12" spans="1:9" x14ac:dyDescent="0.25">
      <c r="B12" s="154" t="s">
        <v>70</v>
      </c>
      <c r="C12" t="s">
        <v>182</v>
      </c>
      <c r="D12" t="s">
        <v>199</v>
      </c>
    </row>
    <row r="13" spans="1:9" x14ac:dyDescent="0.25">
      <c r="B13" s="154" t="s">
        <v>73</v>
      </c>
      <c r="C13" t="s">
        <v>182</v>
      </c>
      <c r="D13" t="s">
        <v>200</v>
      </c>
    </row>
    <row r="14" spans="1:9" x14ac:dyDescent="0.25">
      <c r="B14" s="154" t="s">
        <v>162</v>
      </c>
      <c r="C14" t="s">
        <v>182</v>
      </c>
      <c r="D14" t="s">
        <v>201</v>
      </c>
    </row>
    <row r="15" spans="1:9" x14ac:dyDescent="0.25">
      <c r="B15" s="154" t="s">
        <v>163</v>
      </c>
      <c r="C15" t="s">
        <v>183</v>
      </c>
      <c r="D15" t="s">
        <v>202</v>
      </c>
    </row>
    <row r="16" spans="1:9" x14ac:dyDescent="0.25">
      <c r="B16" s="154" t="s">
        <v>164</v>
      </c>
      <c r="C16" t="s">
        <v>183</v>
      </c>
      <c r="D16" t="s">
        <v>203</v>
      </c>
    </row>
    <row r="17" spans="2:4" x14ac:dyDescent="0.25">
      <c r="B17" s="154" t="s">
        <v>165</v>
      </c>
      <c r="C17" t="s">
        <v>183</v>
      </c>
      <c r="D17" t="s">
        <v>204</v>
      </c>
    </row>
    <row r="18" spans="2:4" x14ac:dyDescent="0.25">
      <c r="B18" s="154" t="s">
        <v>166</v>
      </c>
      <c r="C18" t="s">
        <v>184</v>
      </c>
      <c r="D18" t="s">
        <v>187</v>
      </c>
    </row>
    <row r="19" spans="2:4" x14ac:dyDescent="0.25">
      <c r="B19" s="154" t="s">
        <v>167</v>
      </c>
      <c r="C19" t="s">
        <v>184</v>
      </c>
      <c r="D19" t="s">
        <v>188</v>
      </c>
    </row>
    <row r="20" spans="2:4" x14ac:dyDescent="0.25">
      <c r="B20" s="154" t="s">
        <v>168</v>
      </c>
      <c r="C20" t="s">
        <v>184</v>
      </c>
      <c r="D20" t="s">
        <v>189</v>
      </c>
    </row>
    <row r="21" spans="2:4" x14ac:dyDescent="0.25">
      <c r="B21" s="154" t="s">
        <v>169</v>
      </c>
      <c r="C21" t="s">
        <v>184</v>
      </c>
      <c r="D21" t="s">
        <v>190</v>
      </c>
    </row>
    <row r="22" spans="2:4" x14ac:dyDescent="0.25">
      <c r="B22" s="154" t="s">
        <v>128</v>
      </c>
      <c r="C22" t="s">
        <v>185</v>
      </c>
      <c r="D22" t="s">
        <v>191</v>
      </c>
    </row>
    <row r="23" spans="2:4" x14ac:dyDescent="0.25">
      <c r="B23" s="154" t="s">
        <v>170</v>
      </c>
      <c r="C23" t="s">
        <v>185</v>
      </c>
      <c r="D23" t="s">
        <v>205</v>
      </c>
    </row>
    <row r="24" spans="2:4" x14ac:dyDescent="0.25">
      <c r="B24" s="154" t="s">
        <v>171</v>
      </c>
      <c r="C24" t="s">
        <v>186</v>
      </c>
      <c r="D24" t="s">
        <v>206</v>
      </c>
    </row>
    <row r="25" spans="2:4" x14ac:dyDescent="0.25">
      <c r="B25" s="154" t="s">
        <v>172</v>
      </c>
      <c r="C25" t="s">
        <v>186</v>
      </c>
      <c r="D25" t="s">
        <v>207</v>
      </c>
    </row>
    <row r="26" spans="2:4" x14ac:dyDescent="0.25">
      <c r="B26" s="154" t="s">
        <v>173</v>
      </c>
      <c r="C26" t="s">
        <v>186</v>
      </c>
      <c r="D26" t="s">
        <v>207</v>
      </c>
    </row>
    <row r="27" spans="2:4" x14ac:dyDescent="0.25">
      <c r="B27" s="154" t="s">
        <v>174</v>
      </c>
      <c r="C27" t="s">
        <v>186</v>
      </c>
      <c r="D27" t="s">
        <v>208</v>
      </c>
    </row>
  </sheetData>
  <hyperlinks>
    <hyperlink ref="B5" location="'Cash Flow Representations'!A1" display="Cash Flow Representations" xr:uid="{72E5EA57-8F67-4E61-A7CF-35DE17FEEA85}"/>
    <hyperlink ref="B6" location="'Simple &amp; Compounding Interest'!A1" display="Simple &amp; Compounding Interest" xr:uid="{D0A7C5C5-9A32-4891-944A-0530BCBA7237}"/>
    <hyperlink ref="B7" location="'Rule of 72'!A1" display="Rule of 72" xr:uid="{A2B12A63-94E0-4253-973C-7EB48C566E1D}"/>
    <hyperlink ref="B8" location="'Nominal vs APR'!A1" display="Nominal vs APR" xr:uid="{2C74E333-26EB-4A9D-A149-A26A8F17DD44}"/>
    <hyperlink ref="B9" location="'Effective Interest Rate'!A1" display="Effective Interest Rate" xr:uid="{D46F0EBF-6153-45F4-9E12-9FD32D478962}"/>
    <hyperlink ref="B10" location="'Nominal_Effective Annual Rate'!A1" display="Nominal_Effective Annual Rate" xr:uid="{1AAAB611-64CB-48ED-811D-6FC44EAB27FF}"/>
    <hyperlink ref="B11" location="'Rate -- Power of Compounding'!A1" display="Rate -- Power of Compounding" xr:uid="{EDAEB31A-B67B-4CAF-86EE-891C54BD8CC2}"/>
    <hyperlink ref="B12" location="'Future Value (FV)'!A1" display="Future Value (FV)" xr:uid="{862886D1-7CBC-4DFA-B0CE-18A6530154FD}"/>
    <hyperlink ref="B13" location="'Present Value (PV)'!A1" display="Present Value (PV)" xr:uid="{7F76570C-AC4A-487F-93A0-644B4E56A409}"/>
    <hyperlink ref="B14" location="'Future Value (FV) -- 2 '!A1" display="Future Value (FV) -- 2 " xr:uid="{1813E664-8F38-4BE2-8242-5C0D15FC7D8D}"/>
    <hyperlink ref="B15" location="'NPER -- Example 1'!A1" display="NPER -- Example 1" xr:uid="{1A4F278A-C528-4C8B-99FD-DE68CF06DDD4}"/>
    <hyperlink ref="B16" location="'NPER -- Example 2'!A1" display="NPER -- Example 2" xr:uid="{ED3CF6DE-A948-4840-BC5E-A1357CDAE87B}"/>
    <hyperlink ref="B17" location="RATE!A1" display="RATE" xr:uid="{4BF18E10-E4F1-4333-A945-373B24C296E6}"/>
    <hyperlink ref="B18" location="'Quote, EAR, FV Example'!A1" display="Quote, EAR, FV Example" xr:uid="{96464C19-AC33-456C-AC5C-424A62B2F637}"/>
    <hyperlink ref="B19" location="'Mismatch quoted rate &amp; period'!A1" display="Mismatch quoted rate &amp; period" xr:uid="{1BECB12B-ECD8-4362-94B1-F086AAE53713}"/>
    <hyperlink ref="B20" location="'More Complex Example'!A1" display="More Complex Example" xr:uid="{4CAB9431-363B-40D9-B327-3215869702BD}"/>
    <hyperlink ref="B21" location="'More Complex Example (2)'!A1" display="More Complex Example (2)" xr:uid="{FBE6B8AE-38F4-4254-8345-23D4264B50B1}"/>
    <hyperlink ref="B22" location="NPV!A1" display="NPV" xr:uid="{4690D2E1-5FF8-4A15-B9AD-0EB2910888AE}"/>
    <hyperlink ref="B23" location="XNPV!A1" display="XNPV" xr:uid="{9014E1AB-6EAB-4496-B0DB-F515257F4871}"/>
    <hyperlink ref="B24" location="'Example - Annuity Payout'!A1" display="Example - Annuity Payout" xr:uid="{27864C63-C093-4FAF-9A86-0A311F76B144}"/>
    <hyperlink ref="B25" location="'Example - Annuity'!A1" display="Example - Annuity" xr:uid="{B77D5C34-A5BF-4EE3-BC91-FFDEDCB599A7}"/>
    <hyperlink ref="B26" location="'Example -- Down Payment Savings'!A1" display="Example -- Down Payment Savings" xr:uid="{7E06895B-CAE1-4357-A001-941A1E56F9E5}"/>
    <hyperlink ref="B27" location="'Example -- Scholarship'!A1" display="Example -- Scholarship" xr:uid="{0D50B8E2-9A83-483E-8EAA-8B3FDB8CC96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61DD-616D-468F-BB66-6D6ECF874ADF}">
  <dimension ref="B1:L127"/>
  <sheetViews>
    <sheetView showGridLines="0" topLeftCell="A19" workbookViewId="0">
      <selection activeCell="F18" sqref="F18"/>
    </sheetView>
  </sheetViews>
  <sheetFormatPr defaultColWidth="8.85546875" defaultRowHeight="15.75" x14ac:dyDescent="0.25"/>
  <cols>
    <col min="1" max="1" width="8.85546875" style="13"/>
    <col min="2" max="2" width="26.85546875" style="13" customWidth="1"/>
    <col min="3" max="3" width="15.42578125" style="13" bestFit="1" customWidth="1"/>
    <col min="4" max="4" width="14.28515625" style="13" bestFit="1" customWidth="1"/>
    <col min="5" max="7" width="15.42578125" style="13" bestFit="1" customWidth="1"/>
    <col min="8" max="10" width="8.85546875" style="13"/>
    <col min="11" max="11" width="12.28515625" style="13" customWidth="1"/>
    <col min="12" max="16384" width="8.85546875" style="13"/>
  </cols>
  <sheetData>
    <row r="1" spans="2:12" ht="21" x14ac:dyDescent="0.35">
      <c r="B1" s="45" t="s">
        <v>59</v>
      </c>
      <c r="C1" s="65"/>
      <c r="D1" s="65"/>
      <c r="E1" s="65"/>
      <c r="F1" s="65"/>
      <c r="G1" s="65"/>
      <c r="H1" s="65"/>
      <c r="I1" s="65"/>
      <c r="J1" s="65"/>
      <c r="K1" s="65"/>
    </row>
    <row r="3" spans="2:12" x14ac:dyDescent="0.25">
      <c r="B3" s="13" t="s">
        <v>21</v>
      </c>
      <c r="C3" s="18">
        <v>0.2</v>
      </c>
    </row>
    <row r="4" spans="2:12" x14ac:dyDescent="0.25">
      <c r="B4" s="13" t="s">
        <v>13</v>
      </c>
      <c r="C4" s="20">
        <v>10000</v>
      </c>
    </row>
    <row r="5" spans="2:12" x14ac:dyDescent="0.25">
      <c r="K5" s="18"/>
    </row>
    <row r="6" spans="2:12" x14ac:dyDescent="0.25">
      <c r="B6" s="13" t="s">
        <v>60</v>
      </c>
      <c r="C6" s="79">
        <v>1</v>
      </c>
      <c r="D6" s="80">
        <v>2</v>
      </c>
      <c r="E6" s="80">
        <v>4</v>
      </c>
      <c r="F6" s="80">
        <v>12</v>
      </c>
      <c r="G6" s="80" t="s">
        <v>50</v>
      </c>
      <c r="K6" s="18"/>
    </row>
    <row r="7" spans="2:12" x14ac:dyDescent="0.25">
      <c r="B7" s="64" t="s">
        <v>61</v>
      </c>
      <c r="C7" s="81">
        <f>EFFECT($C$3, C$6)</f>
        <v>0.19999999999999996</v>
      </c>
      <c r="D7" s="81">
        <f t="shared" ref="D7:F7" si="0">EFFECT($C$3, D$6)</f>
        <v>0.21000000000000019</v>
      </c>
      <c r="E7" s="81">
        <f t="shared" si="0"/>
        <v>0.21550625000000001</v>
      </c>
      <c r="F7" s="81">
        <f t="shared" si="0"/>
        <v>0.21939108490523185</v>
      </c>
      <c r="G7" s="81">
        <f>EXP(C3)-1</f>
        <v>0.22140275816016985</v>
      </c>
    </row>
    <row r="8" spans="2:12" x14ac:dyDescent="0.25">
      <c r="B8" s="13">
        <v>1</v>
      </c>
      <c r="C8" s="26">
        <f>FV(C$7, $B8, 0, -$C$4)</f>
        <v>12000</v>
      </c>
      <c r="D8" s="26">
        <f t="shared" ref="D8:F23" si="1">FV(D$7, $B8, 0, -$C$4)</f>
        <v>12100.000000000002</v>
      </c>
      <c r="E8" s="26">
        <f t="shared" si="1"/>
        <v>12155.0625</v>
      </c>
      <c r="F8" s="26">
        <f t="shared" si="1"/>
        <v>12193.910849052318</v>
      </c>
      <c r="G8" s="26">
        <f>EXP(G$7*$B8)*$C$4</f>
        <v>12478.259014344248</v>
      </c>
      <c r="K8" s="60"/>
      <c r="L8" s="60"/>
    </row>
    <row r="9" spans="2:12" x14ac:dyDescent="0.25">
      <c r="B9" s="13">
        <v>2</v>
      </c>
      <c r="C9" s="26">
        <f t="shared" ref="C9:F47" si="2">FV(C$7, $B9, 0, -$C$4)</f>
        <v>14400</v>
      </c>
      <c r="D9" s="26">
        <f t="shared" si="1"/>
        <v>14641.000000000004</v>
      </c>
      <c r="E9" s="26">
        <f t="shared" si="1"/>
        <v>14774.554437890625</v>
      </c>
      <c r="F9" s="26">
        <f t="shared" si="1"/>
        <v>14869.146179463583</v>
      </c>
      <c r="G9" s="26">
        <f t="shared" ref="G9:G47" si="3">EXP(G$7*$B9)*$C$4</f>
        <v>15570.694802906351</v>
      </c>
      <c r="K9" s="60"/>
      <c r="L9" s="60"/>
    </row>
    <row r="10" spans="2:12" x14ac:dyDescent="0.25">
      <c r="B10" s="13">
        <v>3</v>
      </c>
      <c r="C10" s="26">
        <f t="shared" si="2"/>
        <v>17280</v>
      </c>
      <c r="D10" s="26">
        <f t="shared" si="1"/>
        <v>17715.610000000008</v>
      </c>
      <c r="E10" s="26">
        <f t="shared" si="1"/>
        <v>17958.563260221294</v>
      </c>
      <c r="F10" s="26">
        <f t="shared" si="1"/>
        <v>18131.304291390581</v>
      </c>
      <c r="G10" s="26">
        <f t="shared" si="3"/>
        <v>19429.516278396935</v>
      </c>
      <c r="K10" s="60"/>
      <c r="L10" s="60"/>
    </row>
    <row r="11" spans="2:12" x14ac:dyDescent="0.25">
      <c r="B11" s="13">
        <v>4</v>
      </c>
      <c r="C11" s="26">
        <f t="shared" si="2"/>
        <v>20736</v>
      </c>
      <c r="D11" s="26">
        <f t="shared" si="1"/>
        <v>21435.888100000011</v>
      </c>
      <c r="E11" s="26">
        <f t="shared" si="1"/>
        <v>21828.74588381936</v>
      </c>
      <c r="F11" s="26">
        <f t="shared" si="1"/>
        <v>22109.150810625652</v>
      </c>
      <c r="G11" s="26">
        <f t="shared" si="3"/>
        <v>24244.653664525489</v>
      </c>
    </row>
    <row r="12" spans="2:12" x14ac:dyDescent="0.25">
      <c r="B12" s="13">
        <v>5</v>
      </c>
      <c r="C12" s="26">
        <f t="shared" si="2"/>
        <v>24883.199999999997</v>
      </c>
      <c r="D12" s="26">
        <f t="shared" si="1"/>
        <v>25937.424601000017</v>
      </c>
      <c r="E12" s="26">
        <f t="shared" si="1"/>
        <v>26532.97705144421</v>
      </c>
      <c r="F12" s="26">
        <f t="shared" si="1"/>
        <v>26959.701393302199</v>
      </c>
      <c r="G12" s="26">
        <f t="shared" si="3"/>
        <v>30253.106813901952</v>
      </c>
    </row>
    <row r="13" spans="2:12" x14ac:dyDescent="0.25">
      <c r="B13" s="13">
        <v>6</v>
      </c>
      <c r="C13" s="26">
        <f t="shared" si="2"/>
        <v>29859.839999999997</v>
      </c>
      <c r="D13" s="26">
        <f t="shared" si="1"/>
        <v>31384.283767210025</v>
      </c>
      <c r="E13" s="26">
        <f t="shared" si="1"/>
        <v>32250.999437137008</v>
      </c>
      <c r="F13" s="26">
        <f t="shared" si="1"/>
        <v>32874.419530699859</v>
      </c>
      <c r="G13" s="26">
        <f t="shared" si="3"/>
        <v>37750.610281249144</v>
      </c>
    </row>
    <row r="14" spans="2:12" x14ac:dyDescent="0.25">
      <c r="B14" s="13">
        <v>7</v>
      </c>
      <c r="C14" s="26">
        <f t="shared" si="2"/>
        <v>35831.807999999997</v>
      </c>
      <c r="D14" s="26">
        <f t="shared" si="1"/>
        <v>37974.983358324142</v>
      </c>
      <c r="E14" s="26">
        <f t="shared" si="1"/>
        <v>39201.291384586511</v>
      </c>
      <c r="F14" s="26">
        <f t="shared" si="1"/>
        <v>40086.774097169844</v>
      </c>
      <c r="G14" s="26">
        <f t="shared" si="3"/>
        <v>47106.189303899388</v>
      </c>
    </row>
    <row r="15" spans="2:12" x14ac:dyDescent="0.25">
      <c r="B15" s="13">
        <v>8</v>
      </c>
      <c r="C15" s="26">
        <f t="shared" si="2"/>
        <v>42998.169599999994</v>
      </c>
      <c r="D15" s="26">
        <f t="shared" si="1"/>
        <v>45949.729863572211</v>
      </c>
      <c r="E15" s="26">
        <f t="shared" si="1"/>
        <v>47649.414686036071</v>
      </c>
      <c r="F15" s="26">
        <f t="shared" si="1"/>
        <v>48881.454956698886</v>
      </c>
      <c r="G15" s="26">
        <f t="shared" si="3"/>
        <v>58780.323131278907</v>
      </c>
    </row>
    <row r="16" spans="2:12" x14ac:dyDescent="0.25">
      <c r="B16" s="13">
        <v>9</v>
      </c>
      <c r="C16" s="26">
        <f t="shared" si="2"/>
        <v>51597.803519999994</v>
      </c>
      <c r="D16" s="26">
        <f t="shared" si="1"/>
        <v>55599.173134922377</v>
      </c>
      <c r="E16" s="26">
        <f t="shared" si="1"/>
        <v>57918.16135971863</v>
      </c>
      <c r="F16" s="26">
        <f t="shared" si="1"/>
        <v>59605.610391395283</v>
      </c>
      <c r="G16" s="26">
        <f t="shared" si="3"/>
        <v>73347.609697894892</v>
      </c>
    </row>
    <row r="17" spans="2:7" x14ac:dyDescent="0.25">
      <c r="B17" s="13">
        <v>10</v>
      </c>
      <c r="C17" s="26">
        <f t="shared" si="2"/>
        <v>61917.36422399999</v>
      </c>
      <c r="D17" s="26">
        <f t="shared" si="1"/>
        <v>67274.999493256095</v>
      </c>
      <c r="E17" s="26">
        <f t="shared" si="1"/>
        <v>70399.887121246487</v>
      </c>
      <c r="F17" s="26">
        <f t="shared" si="1"/>
        <v>72682.549921602054</v>
      </c>
      <c r="G17" s="26">
        <f t="shared" si="3"/>
        <v>91525.047189336066</v>
      </c>
    </row>
    <row r="18" spans="2:7" x14ac:dyDescent="0.25">
      <c r="B18" s="13">
        <v>11</v>
      </c>
      <c r="C18" s="26">
        <f t="shared" si="2"/>
        <v>74300.837068799985</v>
      </c>
      <c r="D18" s="26">
        <f t="shared" si="1"/>
        <v>81402.749386839889</v>
      </c>
      <c r="E18" s="26">
        <f t="shared" si="1"/>
        <v>85571.502795169625</v>
      </c>
      <c r="F18" s="26">
        <f t="shared" si="1"/>
        <v>88628.453402580984</v>
      </c>
      <c r="G18" s="26">
        <f t="shared" si="3"/>
        <v>114207.32451286158</v>
      </c>
    </row>
    <row r="19" spans="2:7" x14ac:dyDescent="0.25">
      <c r="B19" s="13">
        <v>12</v>
      </c>
      <c r="C19" s="26">
        <f t="shared" si="2"/>
        <v>89161.004482559976</v>
      </c>
      <c r="D19" s="26">
        <f t="shared" si="1"/>
        <v>98497.326758076262</v>
      </c>
      <c r="E19" s="26">
        <f t="shared" si="1"/>
        <v>104012.69646942116</v>
      </c>
      <c r="F19" s="26">
        <f t="shared" si="1"/>
        <v>108072.74594804605</v>
      </c>
      <c r="G19" s="26">
        <f t="shared" si="3"/>
        <v>142510.85766067533</v>
      </c>
    </row>
    <row r="20" spans="2:7" x14ac:dyDescent="0.25">
      <c r="B20" s="13">
        <v>13</v>
      </c>
      <c r="C20" s="26">
        <f t="shared" si="2"/>
        <v>106993.20537907198</v>
      </c>
      <c r="D20" s="26">
        <f t="shared" si="1"/>
        <v>119181.76537727231</v>
      </c>
      <c r="E20" s="26">
        <f t="shared" si="1"/>
        <v>126428.08263793438</v>
      </c>
      <c r="F20" s="26">
        <f t="shared" si="1"/>
        <v>131782.94293027537</v>
      </c>
      <c r="G20" s="26">
        <f t="shared" si="3"/>
        <v>177828.73942462518</v>
      </c>
    </row>
    <row r="21" spans="2:7" x14ac:dyDescent="0.25">
      <c r="B21" s="13">
        <v>14</v>
      </c>
      <c r="C21" s="26">
        <f t="shared" si="2"/>
        <v>128391.84645488636</v>
      </c>
      <c r="D21" s="26">
        <f t="shared" si="1"/>
        <v>144209.93610649952</v>
      </c>
      <c r="E21" s="26">
        <f t="shared" si="1"/>
        <v>153674.1246219257</v>
      </c>
      <c r="F21" s="26">
        <f t="shared" si="1"/>
        <v>160694.94575175273</v>
      </c>
      <c r="G21" s="26">
        <f t="shared" si="3"/>
        <v>221899.30707348048</v>
      </c>
    </row>
    <row r="22" spans="2:7" x14ac:dyDescent="0.25">
      <c r="B22" s="13">
        <v>15</v>
      </c>
      <c r="C22" s="26">
        <f t="shared" si="2"/>
        <v>154070.21574586365</v>
      </c>
      <c r="D22" s="26">
        <f t="shared" si="1"/>
        <v>174494.02268886444</v>
      </c>
      <c r="E22" s="26">
        <f t="shared" si="1"/>
        <v>186791.85894122958</v>
      </c>
      <c r="F22" s="26">
        <f t="shared" si="1"/>
        <v>195949.98423901715</v>
      </c>
      <c r="G22" s="26">
        <f t="shared" si="3"/>
        <v>276891.70287664008</v>
      </c>
    </row>
    <row r="23" spans="2:7" x14ac:dyDescent="0.25">
      <c r="B23" s="13">
        <v>16</v>
      </c>
      <c r="C23" s="26">
        <f t="shared" si="2"/>
        <v>184884.25889503636</v>
      </c>
      <c r="D23" s="26">
        <f t="shared" si="1"/>
        <v>211137.767453526</v>
      </c>
      <c r="E23" s="26">
        <f t="shared" si="1"/>
        <v>227046.67199218299</v>
      </c>
      <c r="F23" s="26">
        <f t="shared" si="1"/>
        <v>238939.66386837824</v>
      </c>
      <c r="G23" s="26">
        <f t="shared" si="3"/>
        <v>345512.63874175627</v>
      </c>
    </row>
    <row r="24" spans="2:7" x14ac:dyDescent="0.25">
      <c r="B24" s="13">
        <v>17</v>
      </c>
      <c r="C24" s="26">
        <f t="shared" si="2"/>
        <v>221861.11067404362</v>
      </c>
      <c r="D24" s="26">
        <f t="shared" si="2"/>
        <v>255476.6986187665</v>
      </c>
      <c r="E24" s="26">
        <f t="shared" si="2"/>
        <v>275976.64884819841</v>
      </c>
      <c r="F24" s="26">
        <f t="shared" si="2"/>
        <v>291360.89595135319</v>
      </c>
      <c r="G24" s="26">
        <f t="shared" si="3"/>
        <v>431139.61989491875</v>
      </c>
    </row>
    <row r="25" spans="2:7" x14ac:dyDescent="0.25">
      <c r="B25" s="13">
        <v>18</v>
      </c>
      <c r="C25" s="26">
        <f t="shared" si="2"/>
        <v>266233.33280885231</v>
      </c>
      <c r="D25" s="26">
        <f t="shared" si="2"/>
        <v>309126.8053287075</v>
      </c>
      <c r="E25" s="26">
        <f t="shared" si="2"/>
        <v>335451.34152904048</v>
      </c>
      <c r="F25" s="26">
        <f t="shared" si="2"/>
        <v>355282.87901308091</v>
      </c>
      <c r="G25" s="26">
        <f t="shared" si="3"/>
        <v>537987.18483947241</v>
      </c>
    </row>
    <row r="26" spans="2:7" x14ac:dyDescent="0.25">
      <c r="B26" s="13">
        <v>19</v>
      </c>
      <c r="C26" s="26">
        <f t="shared" si="2"/>
        <v>319479.9993706228</v>
      </c>
      <c r="D26" s="26">
        <f t="shared" si="2"/>
        <v>374043.43444773619</v>
      </c>
      <c r="E26" s="26">
        <f t="shared" si="2"/>
        <v>407743.20219943317</v>
      </c>
      <c r="F26" s="26">
        <f t="shared" si="2"/>
        <v>433228.77528801496</v>
      </c>
      <c r="G26" s="26">
        <f t="shared" si="3"/>
        <v>671314.34388248331</v>
      </c>
    </row>
    <row r="27" spans="2:7" x14ac:dyDescent="0.25">
      <c r="B27" s="13">
        <v>20</v>
      </c>
      <c r="C27" s="26">
        <f t="shared" si="2"/>
        <v>383375.99924474739</v>
      </c>
      <c r="D27" s="26">
        <f t="shared" si="2"/>
        <v>452592.55568176071</v>
      </c>
      <c r="E27" s="26">
        <f t="shared" si="2"/>
        <v>495614.41066842491</v>
      </c>
      <c r="F27" s="26">
        <f t="shared" si="2"/>
        <v>528275.3063106176</v>
      </c>
      <c r="G27" s="26">
        <f t="shared" si="3"/>
        <v>837683.42630101927</v>
      </c>
    </row>
    <row r="28" spans="2:7" x14ac:dyDescent="0.25">
      <c r="B28" s="13">
        <v>21</v>
      </c>
      <c r="C28" s="26">
        <f t="shared" si="2"/>
        <v>460051.19909369684</v>
      </c>
      <c r="D28" s="26">
        <f t="shared" si="2"/>
        <v>547636.99237493053</v>
      </c>
      <c r="E28" s="26">
        <f t="shared" si="2"/>
        <v>602422.41375753726</v>
      </c>
      <c r="F28" s="26">
        <f t="shared" si="2"/>
        <v>644174.19889074762</v>
      </c>
      <c r="G28" s="26">
        <f t="shared" si="3"/>
        <v>1045283.0765407466</v>
      </c>
    </row>
    <row r="29" spans="2:7" x14ac:dyDescent="0.25">
      <c r="B29" s="13">
        <v>22</v>
      </c>
      <c r="C29" s="26">
        <f t="shared" si="2"/>
        <v>552061.43891243613</v>
      </c>
      <c r="D29" s="26">
        <f t="shared" si="2"/>
        <v>662640.76077366609</v>
      </c>
      <c r="E29" s="26">
        <f t="shared" si="2"/>
        <v>732248.20906237245</v>
      </c>
      <c r="F29" s="26">
        <f t="shared" si="2"/>
        <v>785500.27525334724</v>
      </c>
      <c r="G29" s="26">
        <f t="shared" si="3"/>
        <v>1304331.297238607</v>
      </c>
    </row>
    <row r="30" spans="2:7" x14ac:dyDescent="0.25">
      <c r="B30" s="13">
        <v>23</v>
      </c>
      <c r="C30" s="26">
        <f t="shared" si="2"/>
        <v>662473.72669492336</v>
      </c>
      <c r="D30" s="26">
        <f t="shared" si="2"/>
        <v>801795.32053613616</v>
      </c>
      <c r="E30" s="26">
        <f t="shared" si="2"/>
        <v>890052.2746666203</v>
      </c>
      <c r="F30" s="26">
        <f t="shared" si="2"/>
        <v>957832.03283453744</v>
      </c>
      <c r="G30" s="26">
        <f t="shared" si="3"/>
        <v>1627578.3767458976</v>
      </c>
    </row>
    <row r="31" spans="2:7" x14ac:dyDescent="0.25">
      <c r="B31" s="13">
        <v>24</v>
      </c>
      <c r="C31" s="26">
        <f t="shared" si="2"/>
        <v>794968.47203390801</v>
      </c>
      <c r="D31" s="26">
        <f t="shared" si="2"/>
        <v>970172.33784872468</v>
      </c>
      <c r="E31" s="26">
        <f t="shared" si="2"/>
        <v>1081864.1026839938</v>
      </c>
      <c r="F31" s="26">
        <f t="shared" si="2"/>
        <v>1167971.8416750904</v>
      </c>
      <c r="G31" s="26">
        <f t="shared" si="3"/>
        <v>2030934.4551181272</v>
      </c>
    </row>
    <row r="32" spans="2:7" x14ac:dyDescent="0.25">
      <c r="B32" s="13">
        <v>25</v>
      </c>
      <c r="C32" s="26">
        <f t="shared" si="2"/>
        <v>953962.1664406897</v>
      </c>
      <c r="D32" s="26">
        <f t="shared" si="2"/>
        <v>1173908.5287969571</v>
      </c>
      <c r="E32" s="26">
        <f t="shared" si="2"/>
        <v>1315012.5784630361</v>
      </c>
      <c r="F32" s="26">
        <f t="shared" si="2"/>
        <v>1424214.4511589501</v>
      </c>
      <c r="G32" s="26">
        <f t="shared" si="3"/>
        <v>2534252.6172120092</v>
      </c>
    </row>
    <row r="33" spans="2:7" x14ac:dyDescent="0.25">
      <c r="B33" s="13">
        <v>26</v>
      </c>
      <c r="C33" s="26">
        <f t="shared" si="2"/>
        <v>1144754.5997288276</v>
      </c>
      <c r="D33" s="26">
        <f t="shared" si="2"/>
        <v>1420429.3198443186</v>
      </c>
      <c r="E33" s="26">
        <f t="shared" si="2"/>
        <v>1598406.0079504361</v>
      </c>
      <c r="F33" s="26">
        <f t="shared" si="2"/>
        <v>1736674.4047364215</v>
      </c>
      <c r="G33" s="26">
        <f t="shared" si="3"/>
        <v>3162306.0565351248</v>
      </c>
    </row>
    <row r="34" spans="2:7" x14ac:dyDescent="0.25">
      <c r="B34" s="13">
        <v>27</v>
      </c>
      <c r="C34" s="26">
        <f t="shared" si="2"/>
        <v>1373705.5196745931</v>
      </c>
      <c r="D34" s="26">
        <f t="shared" si="2"/>
        <v>1718719.4770116257</v>
      </c>
      <c r="E34" s="26">
        <f t="shared" si="2"/>
        <v>1942872.4927013048</v>
      </c>
      <c r="F34" s="26">
        <f t="shared" si="2"/>
        <v>2117685.286518693</v>
      </c>
      <c r="G34" s="26">
        <f t="shared" si="3"/>
        <v>3946007.4056074866</v>
      </c>
    </row>
    <row r="35" spans="2:7" x14ac:dyDescent="0.25">
      <c r="B35" s="13">
        <v>28</v>
      </c>
      <c r="C35" s="26">
        <f t="shared" si="2"/>
        <v>1648446.6236095116</v>
      </c>
      <c r="D35" s="26">
        <f t="shared" si="2"/>
        <v>2079650.5671840669</v>
      </c>
      <c r="E35" s="26">
        <f t="shared" si="2"/>
        <v>2361573.6578315161</v>
      </c>
      <c r="F35" s="26">
        <f t="shared" si="2"/>
        <v>2582286.5590158761</v>
      </c>
      <c r="G35" s="26">
        <f t="shared" si="3"/>
        <v>4923930.2479690779</v>
      </c>
    </row>
    <row r="36" spans="2:7" x14ac:dyDescent="0.25">
      <c r="B36" s="13">
        <v>29</v>
      </c>
      <c r="C36" s="26">
        <f t="shared" si="2"/>
        <v>1978135.948331414</v>
      </c>
      <c r="D36" s="26">
        <f t="shared" si="2"/>
        <v>2516377.1862927214</v>
      </c>
      <c r="E36" s="26">
        <f t="shared" si="2"/>
        <v>2870507.5409295694</v>
      </c>
      <c r="F36" s="26">
        <f t="shared" si="2"/>
        <v>3148817.2087345668</v>
      </c>
      <c r="G36" s="26">
        <f t="shared" si="3"/>
        <v>6144207.7002722444</v>
      </c>
    </row>
    <row r="37" spans="2:7" x14ac:dyDescent="0.25">
      <c r="B37" s="13">
        <v>30</v>
      </c>
      <c r="C37" s="26">
        <f t="shared" si="2"/>
        <v>2373763.1379976966</v>
      </c>
      <c r="D37" s="26">
        <f t="shared" si="2"/>
        <v>3044816.3954141932</v>
      </c>
      <c r="E37" s="26">
        <f t="shared" si="2"/>
        <v>3489119.856672022</v>
      </c>
      <c r="F37" s="26">
        <f t="shared" si="2"/>
        <v>3839639.6323271072</v>
      </c>
      <c r="G37" s="26">
        <f t="shared" si="3"/>
        <v>7666901.5121925529</v>
      </c>
    </row>
    <row r="38" spans="2:7" x14ac:dyDescent="0.25">
      <c r="B38" s="13">
        <v>31</v>
      </c>
      <c r="C38" s="26">
        <f t="shared" si="2"/>
        <v>2848515.7655972359</v>
      </c>
      <c r="D38" s="26">
        <f t="shared" si="2"/>
        <v>3684227.838451175</v>
      </c>
      <c r="E38" s="26">
        <f t="shared" si="2"/>
        <v>4241046.9927839469</v>
      </c>
      <c r="F38" s="26">
        <f t="shared" si="2"/>
        <v>4682022.3369084774</v>
      </c>
      <c r="G38" s="26">
        <f t="shared" si="3"/>
        <v>9566958.2906606272</v>
      </c>
    </row>
    <row r="39" spans="2:7" x14ac:dyDescent="0.25">
      <c r="B39" s="13">
        <v>32</v>
      </c>
      <c r="C39" s="26">
        <f t="shared" si="2"/>
        <v>3418218.9187166826</v>
      </c>
      <c r="D39" s="26">
        <f t="shared" si="2"/>
        <v>4457915.6845259219</v>
      </c>
      <c r="E39" s="26">
        <f t="shared" si="2"/>
        <v>5155019.1262725936</v>
      </c>
      <c r="F39" s="26">
        <f t="shared" si="2"/>
        <v>5709216.2969533578</v>
      </c>
      <c r="G39" s="26">
        <f t="shared" si="3"/>
        <v>11937898.353029139</v>
      </c>
    </row>
    <row r="40" spans="2:7" x14ac:dyDescent="0.25">
      <c r="B40" s="13">
        <v>33</v>
      </c>
      <c r="C40" s="26">
        <f t="shared" si="2"/>
        <v>4101862.7024600185</v>
      </c>
      <c r="D40" s="26">
        <f t="shared" si="2"/>
        <v>5394077.9782763664</v>
      </c>
      <c r="E40" s="26">
        <f t="shared" si="2"/>
        <v>6265957.9668538766</v>
      </c>
      <c r="F40" s="26">
        <f t="shared" si="2"/>
        <v>6961767.4543005852</v>
      </c>
      <c r="G40" s="26">
        <f t="shared" si="3"/>
        <v>14896418.773601117</v>
      </c>
    </row>
    <row r="41" spans="2:7" x14ac:dyDescent="0.25">
      <c r="B41" s="13">
        <v>34</v>
      </c>
      <c r="C41" s="26">
        <f t="shared" si="2"/>
        <v>4922235.2429520227</v>
      </c>
      <c r="D41" s="26">
        <f t="shared" si="2"/>
        <v>6526834.3537144037</v>
      </c>
      <c r="E41" s="26">
        <f t="shared" si="2"/>
        <v>7616311.0709481807</v>
      </c>
      <c r="F41" s="26">
        <f t="shared" si="2"/>
        <v>8489117.1689575259</v>
      </c>
      <c r="G41" s="26">
        <f t="shared" si="3"/>
        <v>18588137.184313502</v>
      </c>
    </row>
    <row r="42" spans="2:7" x14ac:dyDescent="0.25">
      <c r="B42" s="13">
        <v>35</v>
      </c>
      <c r="C42" s="26">
        <f t="shared" si="2"/>
        <v>5906682.2915424267</v>
      </c>
      <c r="D42" s="26">
        <f t="shared" si="2"/>
        <v>7897469.5679944307</v>
      </c>
      <c r="E42" s="26">
        <f t="shared" si="2"/>
        <v>9257673.7086817063</v>
      </c>
      <c r="F42" s="26">
        <f t="shared" si="2"/>
        <v>10351553.794542747</v>
      </c>
      <c r="G42" s="26">
        <f t="shared" si="3"/>
        <v>23194759.038002763</v>
      </c>
    </row>
    <row r="43" spans="2:7" x14ac:dyDescent="0.25">
      <c r="B43" s="13">
        <v>36</v>
      </c>
      <c r="C43" s="26">
        <f t="shared" si="2"/>
        <v>7088018.749850912</v>
      </c>
      <c r="D43" s="26">
        <f t="shared" si="2"/>
        <v>9555938.1772732623</v>
      </c>
      <c r="E43" s="26">
        <f t="shared" si="2"/>
        <v>11252760.253363295</v>
      </c>
      <c r="F43" s="26">
        <f t="shared" si="2"/>
        <v>12622592.41198235</v>
      </c>
      <c r="G43" s="26">
        <f t="shared" si="3"/>
        <v>28943021.10515007</v>
      </c>
    </row>
    <row r="44" spans="2:7" x14ac:dyDescent="0.25">
      <c r="B44" s="13">
        <v>37</v>
      </c>
      <c r="C44" s="26">
        <f t="shared" si="2"/>
        <v>8505622.4998210948</v>
      </c>
      <c r="D44" s="26">
        <f t="shared" si="2"/>
        <v>11562685.194500647</v>
      </c>
      <c r="E44" s="26">
        <f t="shared" si="2"/>
        <v>13677800.41771467</v>
      </c>
      <c r="F44" s="26">
        <f t="shared" si="2"/>
        <v>15391876.655563707</v>
      </c>
      <c r="G44" s="26">
        <f t="shared" si="3"/>
        <v>36115851.400769465</v>
      </c>
    </row>
    <row r="45" spans="2:7" x14ac:dyDescent="0.25">
      <c r="B45" s="13">
        <v>38</v>
      </c>
      <c r="C45" s="26">
        <f t="shared" si="2"/>
        <v>10206746.999785313</v>
      </c>
      <c r="D45" s="26">
        <f t="shared" si="2"/>
        <v>13990849.085345786</v>
      </c>
      <c r="E45" s="26">
        <f t="shared" si="2"/>
        <v>16625451.893984791</v>
      </c>
      <c r="F45" s="26">
        <f t="shared" si="2"/>
        <v>18768717.17375534</v>
      </c>
      <c r="G45" s="26">
        <f t="shared" si="3"/>
        <v>45066294.830236919</v>
      </c>
    </row>
    <row r="46" spans="2:7" x14ac:dyDescent="0.25">
      <c r="B46" s="13">
        <v>39</v>
      </c>
      <c r="C46" s="26">
        <f t="shared" si="2"/>
        <v>12248096.399742376</v>
      </c>
      <c r="D46" s="26">
        <f t="shared" si="2"/>
        <v>16928927.393268406</v>
      </c>
      <c r="E46" s="26">
        <f t="shared" si="2"/>
        <v>20208340.686212853</v>
      </c>
      <c r="F46" s="26">
        <f t="shared" si="2"/>
        <v>22886406.396784984</v>
      </c>
      <c r="G46" s="26">
        <f t="shared" si="3"/>
        <v>56234889.970849887</v>
      </c>
    </row>
    <row r="47" spans="2:7" x14ac:dyDescent="0.25">
      <c r="B47" s="13">
        <v>40</v>
      </c>
      <c r="C47" s="26">
        <f t="shared" si="2"/>
        <v>14697715.679690851</v>
      </c>
      <c r="D47" s="26">
        <f t="shared" si="2"/>
        <v>20484002.145854771</v>
      </c>
      <c r="E47" s="26">
        <f t="shared" si="2"/>
        <v>24563364.406221014</v>
      </c>
      <c r="F47" s="26">
        <f t="shared" si="2"/>
        <v>27907479.92575768</v>
      </c>
      <c r="G47" s="26">
        <f t="shared" si="3"/>
        <v>70171352.269941509</v>
      </c>
    </row>
    <row r="48" spans="2:7" x14ac:dyDescent="0.25">
      <c r="C48" s="26"/>
      <c r="D48" s="26"/>
      <c r="E48" s="26"/>
      <c r="F48" s="26"/>
    </row>
    <row r="49" spans="3:6" x14ac:dyDescent="0.25">
      <c r="C49" s="26"/>
      <c r="D49" s="26"/>
      <c r="E49" s="26"/>
      <c r="F49" s="26"/>
    </row>
    <row r="50" spans="3:6" x14ac:dyDescent="0.25">
      <c r="C50" s="26"/>
      <c r="D50" s="26"/>
      <c r="E50" s="26"/>
      <c r="F50" s="26"/>
    </row>
    <row r="51" spans="3:6" x14ac:dyDescent="0.25">
      <c r="C51" s="26"/>
      <c r="D51" s="26"/>
      <c r="E51" s="26"/>
      <c r="F51" s="26"/>
    </row>
    <row r="52" spans="3:6" x14ac:dyDescent="0.25">
      <c r="C52" s="26"/>
      <c r="D52" s="26"/>
      <c r="E52" s="26"/>
      <c r="F52" s="26"/>
    </row>
    <row r="53" spans="3:6" x14ac:dyDescent="0.25">
      <c r="C53" s="26"/>
      <c r="D53" s="26"/>
      <c r="E53" s="26"/>
      <c r="F53" s="26"/>
    </row>
    <row r="54" spans="3:6" x14ac:dyDescent="0.25">
      <c r="C54" s="26"/>
      <c r="D54" s="26"/>
      <c r="E54" s="26"/>
      <c r="F54" s="26"/>
    </row>
    <row r="55" spans="3:6" x14ac:dyDescent="0.25">
      <c r="C55" s="26"/>
      <c r="D55" s="26"/>
      <c r="E55" s="26"/>
      <c r="F55" s="26"/>
    </row>
    <row r="56" spans="3:6" x14ac:dyDescent="0.25">
      <c r="C56" s="26"/>
      <c r="D56" s="26"/>
      <c r="E56" s="26"/>
      <c r="F56" s="26"/>
    </row>
    <row r="57" spans="3:6" x14ac:dyDescent="0.25">
      <c r="C57" s="26"/>
      <c r="D57" s="26"/>
      <c r="E57" s="26"/>
      <c r="F57" s="26"/>
    </row>
    <row r="58" spans="3:6" x14ac:dyDescent="0.25">
      <c r="C58" s="26"/>
      <c r="D58" s="26"/>
      <c r="E58" s="26"/>
      <c r="F58" s="26"/>
    </row>
    <row r="59" spans="3:6" x14ac:dyDescent="0.25">
      <c r="C59" s="26"/>
      <c r="D59" s="26"/>
      <c r="E59" s="26"/>
      <c r="F59" s="26"/>
    </row>
    <row r="60" spans="3:6" x14ac:dyDescent="0.25">
      <c r="C60" s="26"/>
      <c r="D60" s="26"/>
      <c r="E60" s="26"/>
      <c r="F60" s="26"/>
    </row>
    <row r="61" spans="3:6" x14ac:dyDescent="0.25">
      <c r="C61" s="26"/>
      <c r="D61" s="26"/>
      <c r="E61" s="26"/>
      <c r="F61" s="26"/>
    </row>
    <row r="62" spans="3:6" x14ac:dyDescent="0.25">
      <c r="C62" s="26"/>
      <c r="D62" s="26"/>
      <c r="E62" s="26"/>
      <c r="F62" s="26"/>
    </row>
    <row r="63" spans="3:6" x14ac:dyDescent="0.25">
      <c r="C63" s="26"/>
      <c r="D63" s="26"/>
      <c r="E63" s="26"/>
      <c r="F63" s="26"/>
    </row>
    <row r="64" spans="3:6" x14ac:dyDescent="0.25">
      <c r="C64" s="26"/>
      <c r="D64" s="26"/>
      <c r="E64" s="26"/>
      <c r="F64" s="26"/>
    </row>
    <row r="65" spans="3:6" x14ac:dyDescent="0.25">
      <c r="C65" s="26"/>
      <c r="D65" s="26"/>
      <c r="E65" s="26"/>
      <c r="F65" s="26"/>
    </row>
    <row r="66" spans="3:6" x14ac:dyDescent="0.25">
      <c r="C66" s="26"/>
      <c r="D66" s="26"/>
      <c r="E66" s="26"/>
      <c r="F66" s="26"/>
    </row>
    <row r="67" spans="3:6" x14ac:dyDescent="0.25">
      <c r="C67" s="26"/>
      <c r="D67" s="26"/>
      <c r="E67" s="26"/>
      <c r="F67" s="26"/>
    </row>
    <row r="68" spans="3:6" x14ac:dyDescent="0.25">
      <c r="C68" s="26"/>
      <c r="D68" s="26"/>
      <c r="E68" s="26"/>
      <c r="F68" s="26"/>
    </row>
    <row r="69" spans="3:6" x14ac:dyDescent="0.25">
      <c r="C69" s="26"/>
      <c r="D69" s="26"/>
      <c r="E69" s="26"/>
      <c r="F69" s="26"/>
    </row>
    <row r="70" spans="3:6" x14ac:dyDescent="0.25">
      <c r="C70" s="26"/>
      <c r="D70" s="26"/>
      <c r="E70" s="26"/>
      <c r="F70" s="26"/>
    </row>
    <row r="71" spans="3:6" x14ac:dyDescent="0.25">
      <c r="C71" s="26"/>
      <c r="D71" s="26"/>
      <c r="E71" s="26"/>
      <c r="F71" s="26"/>
    </row>
    <row r="72" spans="3:6" x14ac:dyDescent="0.25">
      <c r="C72" s="26"/>
      <c r="D72" s="26"/>
      <c r="E72" s="26"/>
      <c r="F72" s="26"/>
    </row>
    <row r="73" spans="3:6" x14ac:dyDescent="0.25">
      <c r="C73" s="26"/>
      <c r="D73" s="26"/>
      <c r="E73" s="26"/>
      <c r="F73" s="26"/>
    </row>
    <row r="74" spans="3:6" x14ac:dyDescent="0.25">
      <c r="C74" s="26"/>
      <c r="D74" s="26"/>
      <c r="E74" s="26"/>
      <c r="F74" s="26"/>
    </row>
    <row r="75" spans="3:6" x14ac:dyDescent="0.25">
      <c r="C75" s="26"/>
      <c r="D75" s="26"/>
      <c r="E75" s="26"/>
      <c r="F75" s="26"/>
    </row>
    <row r="76" spans="3:6" x14ac:dyDescent="0.25">
      <c r="C76" s="26"/>
      <c r="D76" s="26"/>
      <c r="E76" s="26"/>
      <c r="F76" s="26"/>
    </row>
    <row r="77" spans="3:6" x14ac:dyDescent="0.25">
      <c r="C77" s="26"/>
      <c r="D77" s="26"/>
      <c r="E77" s="26"/>
      <c r="F77" s="26"/>
    </row>
    <row r="78" spans="3:6" x14ac:dyDescent="0.25">
      <c r="C78" s="26"/>
      <c r="D78" s="26"/>
      <c r="E78" s="26"/>
      <c r="F78" s="26"/>
    </row>
    <row r="79" spans="3:6" x14ac:dyDescent="0.25">
      <c r="C79" s="26"/>
      <c r="D79" s="26"/>
      <c r="E79" s="26"/>
      <c r="F79" s="26"/>
    </row>
    <row r="80" spans="3:6" x14ac:dyDescent="0.25">
      <c r="C80" s="26"/>
      <c r="D80" s="26"/>
      <c r="E80" s="26"/>
      <c r="F80" s="26"/>
    </row>
    <row r="81" spans="3:6" x14ac:dyDescent="0.25">
      <c r="C81" s="26"/>
      <c r="D81" s="26"/>
      <c r="E81" s="26"/>
      <c r="F81" s="26"/>
    </row>
    <row r="82" spans="3:6" x14ac:dyDescent="0.25">
      <c r="C82" s="26"/>
      <c r="D82" s="26"/>
      <c r="E82" s="26"/>
      <c r="F82" s="26"/>
    </row>
    <row r="83" spans="3:6" x14ac:dyDescent="0.25">
      <c r="C83" s="26"/>
      <c r="D83" s="26"/>
      <c r="E83" s="26"/>
      <c r="F83" s="26"/>
    </row>
    <row r="84" spans="3:6" x14ac:dyDescent="0.25">
      <c r="C84" s="26"/>
      <c r="D84" s="26"/>
      <c r="E84" s="26"/>
      <c r="F84" s="26"/>
    </row>
    <row r="85" spans="3:6" x14ac:dyDescent="0.25">
      <c r="C85" s="26"/>
      <c r="D85" s="26"/>
      <c r="E85" s="26"/>
      <c r="F85" s="26"/>
    </row>
    <row r="86" spans="3:6" x14ac:dyDescent="0.25">
      <c r="C86" s="26"/>
      <c r="D86" s="26"/>
      <c r="E86" s="26"/>
      <c r="F86" s="26"/>
    </row>
    <row r="87" spans="3:6" x14ac:dyDescent="0.25">
      <c r="C87" s="26"/>
      <c r="D87" s="26"/>
      <c r="E87" s="26"/>
      <c r="F87" s="26"/>
    </row>
    <row r="88" spans="3:6" x14ac:dyDescent="0.25">
      <c r="C88" s="26"/>
      <c r="D88" s="26"/>
      <c r="E88" s="26"/>
      <c r="F88" s="26"/>
    </row>
    <row r="89" spans="3:6" x14ac:dyDescent="0.25">
      <c r="C89" s="26"/>
      <c r="D89" s="26"/>
      <c r="E89" s="26"/>
      <c r="F89" s="26"/>
    </row>
    <row r="90" spans="3:6" x14ac:dyDescent="0.25">
      <c r="C90" s="26"/>
      <c r="D90" s="26"/>
      <c r="E90" s="26"/>
      <c r="F90" s="26"/>
    </row>
    <row r="91" spans="3:6" x14ac:dyDescent="0.25">
      <c r="C91" s="26"/>
      <c r="D91" s="26"/>
      <c r="E91" s="26"/>
      <c r="F91" s="26"/>
    </row>
    <row r="92" spans="3:6" x14ac:dyDescent="0.25">
      <c r="C92" s="26"/>
      <c r="D92" s="26"/>
      <c r="E92" s="26"/>
      <c r="F92" s="26"/>
    </row>
    <row r="93" spans="3:6" x14ac:dyDescent="0.25">
      <c r="C93" s="26"/>
      <c r="D93" s="26"/>
      <c r="E93" s="26"/>
      <c r="F93" s="26"/>
    </row>
    <row r="94" spans="3:6" x14ac:dyDescent="0.25">
      <c r="C94" s="26"/>
      <c r="D94" s="26"/>
      <c r="E94" s="26"/>
      <c r="F94" s="26"/>
    </row>
    <row r="95" spans="3:6" x14ac:dyDescent="0.25">
      <c r="C95" s="26"/>
      <c r="D95" s="26"/>
      <c r="E95" s="26"/>
      <c r="F95" s="26"/>
    </row>
    <row r="96" spans="3:6" x14ac:dyDescent="0.25">
      <c r="C96" s="26"/>
      <c r="D96" s="26"/>
      <c r="E96" s="26"/>
      <c r="F96" s="26"/>
    </row>
    <row r="97" spans="3:6" x14ac:dyDescent="0.25">
      <c r="C97" s="26"/>
      <c r="D97" s="26"/>
      <c r="E97" s="26"/>
      <c r="F97" s="26"/>
    </row>
    <row r="98" spans="3:6" x14ac:dyDescent="0.25">
      <c r="C98" s="26"/>
      <c r="D98" s="26"/>
      <c r="E98" s="26"/>
      <c r="F98" s="26"/>
    </row>
    <row r="99" spans="3:6" x14ac:dyDescent="0.25">
      <c r="C99" s="26"/>
      <c r="D99" s="26"/>
      <c r="E99" s="26"/>
      <c r="F99" s="26"/>
    </row>
    <row r="100" spans="3:6" x14ac:dyDescent="0.25">
      <c r="C100" s="26"/>
      <c r="D100" s="26"/>
      <c r="E100" s="26"/>
      <c r="F100" s="26"/>
    </row>
    <row r="101" spans="3:6" x14ac:dyDescent="0.25">
      <c r="C101" s="26"/>
      <c r="D101" s="26"/>
      <c r="E101" s="26"/>
      <c r="F101" s="26"/>
    </row>
    <row r="102" spans="3:6" x14ac:dyDescent="0.25">
      <c r="C102" s="26"/>
      <c r="D102" s="26"/>
      <c r="E102" s="26"/>
      <c r="F102" s="26"/>
    </row>
    <row r="103" spans="3:6" x14ac:dyDescent="0.25">
      <c r="C103" s="26"/>
      <c r="D103" s="26"/>
      <c r="E103" s="26"/>
      <c r="F103" s="26"/>
    </row>
    <row r="104" spans="3:6" x14ac:dyDescent="0.25">
      <c r="C104" s="26"/>
      <c r="D104" s="26"/>
      <c r="E104" s="26"/>
      <c r="F104" s="26"/>
    </row>
    <row r="105" spans="3:6" x14ac:dyDescent="0.25">
      <c r="C105" s="26"/>
      <c r="D105" s="26"/>
      <c r="E105" s="26"/>
      <c r="F105" s="26"/>
    </row>
    <row r="106" spans="3:6" x14ac:dyDescent="0.25">
      <c r="C106" s="26"/>
      <c r="D106" s="26"/>
      <c r="E106" s="26"/>
      <c r="F106" s="26"/>
    </row>
    <row r="107" spans="3:6" x14ac:dyDescent="0.25">
      <c r="C107" s="26"/>
      <c r="D107" s="26"/>
      <c r="E107" s="26"/>
      <c r="F107" s="26"/>
    </row>
    <row r="108" spans="3:6" x14ac:dyDescent="0.25">
      <c r="C108" s="26"/>
      <c r="D108" s="26"/>
      <c r="E108" s="26"/>
      <c r="F108" s="26"/>
    </row>
    <row r="109" spans="3:6" x14ac:dyDescent="0.25">
      <c r="C109" s="26"/>
      <c r="D109" s="26"/>
      <c r="E109" s="26"/>
      <c r="F109" s="26"/>
    </row>
    <row r="110" spans="3:6" x14ac:dyDescent="0.25">
      <c r="C110" s="26"/>
      <c r="D110" s="26"/>
      <c r="E110" s="26"/>
      <c r="F110" s="26"/>
    </row>
    <row r="111" spans="3:6" x14ac:dyDescent="0.25">
      <c r="C111" s="26"/>
      <c r="D111" s="26"/>
      <c r="E111" s="26"/>
      <c r="F111" s="26"/>
    </row>
    <row r="112" spans="3:6" x14ac:dyDescent="0.25">
      <c r="C112" s="26"/>
      <c r="D112" s="26"/>
      <c r="E112" s="26"/>
      <c r="F112" s="26"/>
    </row>
    <row r="113" spans="3:6" x14ac:dyDescent="0.25">
      <c r="C113" s="26"/>
      <c r="D113" s="26"/>
      <c r="E113" s="26"/>
      <c r="F113" s="26"/>
    </row>
    <row r="114" spans="3:6" x14ac:dyDescent="0.25">
      <c r="C114" s="26"/>
      <c r="D114" s="26"/>
      <c r="E114" s="26"/>
      <c r="F114" s="26"/>
    </row>
    <row r="115" spans="3:6" x14ac:dyDescent="0.25">
      <c r="C115" s="26"/>
      <c r="D115" s="26"/>
      <c r="E115" s="26"/>
      <c r="F115" s="26"/>
    </row>
    <row r="116" spans="3:6" x14ac:dyDescent="0.25">
      <c r="C116" s="26"/>
      <c r="D116" s="26"/>
      <c r="E116" s="26"/>
      <c r="F116" s="26"/>
    </row>
    <row r="117" spans="3:6" x14ac:dyDescent="0.25">
      <c r="C117" s="26"/>
      <c r="D117" s="26"/>
      <c r="E117" s="26"/>
      <c r="F117" s="26"/>
    </row>
    <row r="118" spans="3:6" x14ac:dyDescent="0.25">
      <c r="C118" s="26"/>
      <c r="D118" s="26"/>
      <c r="E118" s="26"/>
      <c r="F118" s="26"/>
    </row>
    <row r="119" spans="3:6" x14ac:dyDescent="0.25">
      <c r="C119" s="26"/>
      <c r="D119" s="26"/>
      <c r="E119" s="26"/>
      <c r="F119" s="26"/>
    </row>
    <row r="120" spans="3:6" x14ac:dyDescent="0.25">
      <c r="C120" s="26"/>
      <c r="D120" s="26"/>
      <c r="E120" s="26"/>
      <c r="F120" s="26"/>
    </row>
    <row r="121" spans="3:6" x14ac:dyDescent="0.25">
      <c r="C121" s="26"/>
      <c r="D121" s="26"/>
      <c r="E121" s="26"/>
      <c r="F121" s="26"/>
    </row>
    <row r="122" spans="3:6" x14ac:dyDescent="0.25">
      <c r="C122" s="26"/>
      <c r="D122" s="26"/>
      <c r="E122" s="26"/>
      <c r="F122" s="26"/>
    </row>
    <row r="123" spans="3:6" x14ac:dyDescent="0.25">
      <c r="C123" s="26"/>
      <c r="D123" s="26"/>
      <c r="E123" s="26"/>
      <c r="F123" s="26"/>
    </row>
    <row r="124" spans="3:6" x14ac:dyDescent="0.25">
      <c r="C124" s="26"/>
      <c r="D124" s="26"/>
      <c r="E124" s="26"/>
      <c r="F124" s="26"/>
    </row>
    <row r="125" spans="3:6" x14ac:dyDescent="0.25">
      <c r="C125" s="26"/>
      <c r="D125" s="26"/>
      <c r="E125" s="26"/>
      <c r="F125" s="26"/>
    </row>
    <row r="126" spans="3:6" x14ac:dyDescent="0.25">
      <c r="C126" s="26"/>
      <c r="D126" s="26"/>
      <c r="E126" s="26"/>
      <c r="F126" s="26"/>
    </row>
    <row r="127" spans="3:6" x14ac:dyDescent="0.25">
      <c r="C127" s="26"/>
      <c r="D127" s="26"/>
      <c r="E127" s="26"/>
      <c r="F12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F1FB-FA46-4876-86AE-CDB498A2304E}">
  <dimension ref="B1:L14"/>
  <sheetViews>
    <sheetView showGridLines="0" zoomScale="145" zoomScaleNormal="145" workbookViewId="0">
      <selection activeCell="N15" sqref="N15"/>
    </sheetView>
  </sheetViews>
  <sheetFormatPr defaultRowHeight="15" x14ac:dyDescent="0.25"/>
  <cols>
    <col min="1" max="1" width="3.28515625" customWidth="1"/>
    <col min="2" max="2" width="27.28515625" customWidth="1"/>
    <col min="4" max="4" width="4.42578125" customWidth="1"/>
    <col min="5" max="5" width="11.7109375" customWidth="1"/>
  </cols>
  <sheetData>
    <row r="1" spans="2:12" ht="21" x14ac:dyDescent="0.35">
      <c r="B1" s="82" t="s">
        <v>62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3" spans="2:12" x14ac:dyDescent="0.25">
      <c r="B3" t="s">
        <v>63</v>
      </c>
    </row>
    <row r="6" spans="2:12" x14ac:dyDescent="0.25">
      <c r="B6" s="83" t="s">
        <v>64</v>
      </c>
      <c r="C6" s="84">
        <v>-100</v>
      </c>
    </row>
    <row r="7" spans="2:12" x14ac:dyDescent="0.25">
      <c r="B7" s="83" t="s">
        <v>65</v>
      </c>
      <c r="C7" s="85">
        <v>0.1</v>
      </c>
    </row>
    <row r="8" spans="2:12" x14ac:dyDescent="0.25">
      <c r="B8" s="83" t="s">
        <v>66</v>
      </c>
      <c r="C8" s="84">
        <v>5</v>
      </c>
    </row>
    <row r="9" spans="2:12" x14ac:dyDescent="0.25">
      <c r="B9" s="83" t="s">
        <v>67</v>
      </c>
      <c r="C9" s="84">
        <v>0</v>
      </c>
    </row>
    <row r="13" spans="2:12" x14ac:dyDescent="0.25">
      <c r="C13" t="s">
        <v>68</v>
      </c>
      <c r="E13" t="s">
        <v>69</v>
      </c>
    </row>
    <row r="14" spans="2:12" ht="15.75" x14ac:dyDescent="0.25">
      <c r="B14" s="83" t="s">
        <v>70</v>
      </c>
      <c r="C14" s="86">
        <f>FV(C7, C8, C9, C6)</f>
        <v>161.05100000000004</v>
      </c>
      <c r="E14" s="87">
        <f>FV(10%, 5, 0, 100)</f>
        <v>-161.05100000000004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E103-6E67-4ED3-A09E-AC05CDDD14AA}">
  <dimension ref="B1:L14"/>
  <sheetViews>
    <sheetView showGridLines="0" zoomScale="145" zoomScaleNormal="145" workbookViewId="0">
      <selection activeCell="N15" sqref="N15"/>
    </sheetView>
  </sheetViews>
  <sheetFormatPr defaultRowHeight="15" x14ac:dyDescent="0.25"/>
  <cols>
    <col min="1" max="1" width="3.28515625" customWidth="1"/>
    <col min="2" max="2" width="27.28515625" customWidth="1"/>
  </cols>
  <sheetData>
    <row r="1" spans="2:12" ht="21" x14ac:dyDescent="0.35">
      <c r="B1" s="82" t="s">
        <v>71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3" spans="2:12" x14ac:dyDescent="0.25">
      <c r="B3" t="s">
        <v>72</v>
      </c>
    </row>
    <row r="6" spans="2:12" x14ac:dyDescent="0.25">
      <c r="B6" s="83" t="s">
        <v>70</v>
      </c>
      <c r="C6" s="84">
        <v>100</v>
      </c>
    </row>
    <row r="7" spans="2:12" x14ac:dyDescent="0.25">
      <c r="B7" s="83" t="s">
        <v>65</v>
      </c>
      <c r="C7" s="85">
        <v>0.05</v>
      </c>
    </row>
    <row r="8" spans="2:12" x14ac:dyDescent="0.25">
      <c r="B8" s="83" t="s">
        <v>66</v>
      </c>
      <c r="C8" s="84">
        <v>2</v>
      </c>
    </row>
    <row r="9" spans="2:12" x14ac:dyDescent="0.25">
      <c r="B9" s="83" t="s">
        <v>67</v>
      </c>
      <c r="C9" s="84">
        <v>0</v>
      </c>
    </row>
    <row r="14" spans="2:12" ht="15.75" x14ac:dyDescent="0.25">
      <c r="B14" s="83" t="s">
        <v>73</v>
      </c>
      <c r="C14" s="87">
        <f>PV(C7,C8,C9,C6)</f>
        <v>-90.702947845804985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3904-EB9D-4140-9CE2-C83C17649369}">
  <dimension ref="B1:L12"/>
  <sheetViews>
    <sheetView showGridLines="0" zoomScale="145" zoomScaleNormal="145" workbookViewId="0">
      <selection activeCell="C8" sqref="C8"/>
    </sheetView>
  </sheetViews>
  <sheetFormatPr defaultRowHeight="15" x14ac:dyDescent="0.25"/>
  <cols>
    <col min="1" max="1" width="4.7109375" customWidth="1"/>
    <col min="2" max="2" width="27" customWidth="1"/>
    <col min="3" max="3" width="10.7109375" bestFit="1" customWidth="1"/>
  </cols>
  <sheetData>
    <row r="1" spans="2:12" ht="21" x14ac:dyDescent="0.35">
      <c r="B1" s="82" t="s">
        <v>74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3" spans="2:12" x14ac:dyDescent="0.25">
      <c r="B3" t="s">
        <v>75</v>
      </c>
    </row>
    <row r="5" spans="2:12" x14ac:dyDescent="0.25">
      <c r="B5" s="83" t="s">
        <v>76</v>
      </c>
      <c r="C5" s="84">
        <v>-1000</v>
      </c>
    </row>
    <row r="6" spans="2:12" x14ac:dyDescent="0.25">
      <c r="B6" s="83" t="s">
        <v>65</v>
      </c>
      <c r="C6" s="85">
        <v>0.1</v>
      </c>
    </row>
    <row r="7" spans="2:12" x14ac:dyDescent="0.25">
      <c r="B7" s="83" t="s">
        <v>66</v>
      </c>
      <c r="C7" s="84">
        <v>5</v>
      </c>
    </row>
    <row r="8" spans="2:12" x14ac:dyDescent="0.25">
      <c r="B8" s="83" t="s">
        <v>77</v>
      </c>
      <c r="C8" s="84">
        <v>-200</v>
      </c>
    </row>
    <row r="12" spans="2:12" ht="15.75" x14ac:dyDescent="0.25">
      <c r="B12" s="83" t="s">
        <v>70</v>
      </c>
      <c r="C12" s="86">
        <f>FV(C6, C7, C8, C5)</f>
        <v>2831.5300000000016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D328-2891-48BE-995B-70A7AC9FE5E5}">
  <dimension ref="B1:L13"/>
  <sheetViews>
    <sheetView showGridLines="0" topLeftCell="A2" zoomScale="205" zoomScaleNormal="205" workbookViewId="0">
      <selection activeCell="B8" sqref="B8"/>
    </sheetView>
  </sheetViews>
  <sheetFormatPr defaultColWidth="9.28515625" defaultRowHeight="15" x14ac:dyDescent="0.25"/>
  <cols>
    <col min="1" max="1" width="3.5703125" style="88" customWidth="1"/>
    <col min="2" max="2" width="25.140625" style="88" bestFit="1" customWidth="1"/>
    <col min="3" max="3" width="9.28515625" style="88"/>
    <col min="4" max="4" width="9.5703125" style="88" bestFit="1" customWidth="1"/>
    <col min="5" max="6" width="2.7109375" style="88" customWidth="1"/>
    <col min="7" max="7" width="9.28515625" style="88"/>
    <col min="8" max="8" width="22.28515625" style="88" bestFit="1" customWidth="1"/>
    <col min="9" max="9" width="18.7109375" style="88" customWidth="1"/>
    <col min="10" max="16384" width="9.28515625" style="88"/>
  </cols>
  <sheetData>
    <row r="1" spans="2:12" ht="21" x14ac:dyDescent="0.35">
      <c r="B1" s="82" t="s">
        <v>78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4" spans="2:12" x14ac:dyDescent="0.25">
      <c r="B4" s="89" t="s">
        <v>79</v>
      </c>
      <c r="H4" s="89"/>
    </row>
    <row r="5" spans="2:12" ht="30" x14ac:dyDescent="0.25">
      <c r="B5" s="90" t="s">
        <v>80</v>
      </c>
      <c r="C5" s="91">
        <v>0.1</v>
      </c>
      <c r="H5" s="90"/>
      <c r="I5" s="91"/>
    </row>
    <row r="6" spans="2:12" x14ac:dyDescent="0.25">
      <c r="B6" s="88" t="s">
        <v>81</v>
      </c>
      <c r="C6" s="92">
        <v>350</v>
      </c>
      <c r="H6" s="90"/>
      <c r="I6" s="93"/>
    </row>
    <row r="7" spans="2:12" x14ac:dyDescent="0.25">
      <c r="B7" s="88" t="s">
        <v>82</v>
      </c>
      <c r="C7" s="92">
        <v>2500</v>
      </c>
      <c r="H7" s="90"/>
      <c r="I7" s="94"/>
    </row>
    <row r="8" spans="2:12" x14ac:dyDescent="0.25">
      <c r="H8" s="90"/>
      <c r="I8" s="92"/>
    </row>
    <row r="10" spans="2:12" x14ac:dyDescent="0.25">
      <c r="B10" s="95" t="s">
        <v>83</v>
      </c>
      <c r="D10" s="96">
        <f>NPER(C5/12, -C6, C7)</f>
        <v>7.3949155976598524</v>
      </c>
      <c r="E10" s="88" t="str">
        <f ca="1">_xlfn.FORMULATEXT(D10)</f>
        <v>=NPER(C5/12, -C6, C7)</v>
      </c>
      <c r="H10" s="95"/>
      <c r="I10" s="97"/>
      <c r="J10" s="98"/>
    </row>
    <row r="11" spans="2:12" x14ac:dyDescent="0.25">
      <c r="D11" s="96">
        <f>NPER(C5/12, C6, -C7)</f>
        <v>7.3949155976598524</v>
      </c>
      <c r="E11" s="88" t="str">
        <f ca="1">_xlfn.FORMULATEXT(D11)</f>
        <v>=NPER(C5/12, C6, -C7)</v>
      </c>
      <c r="I11" s="97"/>
      <c r="J11" s="98"/>
    </row>
    <row r="12" spans="2:12" x14ac:dyDescent="0.25">
      <c r="D12" s="98"/>
    </row>
    <row r="13" spans="2:12" x14ac:dyDescent="0.25">
      <c r="C13" s="95" t="s">
        <v>84</v>
      </c>
      <c r="D13" s="88">
        <f>-NPER(C5/12, C6,C7)</f>
        <v>6.9672183060480011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9D29-5468-4BF4-9E32-6A4A807568D8}">
  <dimension ref="B1:L12"/>
  <sheetViews>
    <sheetView showGridLines="0" topLeftCell="A7" zoomScale="205" zoomScaleNormal="205" workbookViewId="0">
      <selection activeCell="D10" sqref="D10"/>
    </sheetView>
  </sheetViews>
  <sheetFormatPr defaultColWidth="9.28515625" defaultRowHeight="15" x14ac:dyDescent="0.25"/>
  <cols>
    <col min="1" max="1" width="3.5703125" style="88" customWidth="1"/>
    <col min="2" max="2" width="25.140625" style="88" bestFit="1" customWidth="1"/>
    <col min="3" max="4" width="9.28515625" style="88"/>
    <col min="5" max="6" width="2.7109375" style="88" customWidth="1"/>
    <col min="7" max="7" width="9.28515625" style="88"/>
    <col min="8" max="8" width="22.28515625" style="88" bestFit="1" customWidth="1"/>
    <col min="9" max="9" width="18.7109375" style="88" customWidth="1"/>
    <col min="10" max="16384" width="9.28515625" style="88"/>
  </cols>
  <sheetData>
    <row r="1" spans="2:12" ht="21" x14ac:dyDescent="0.35">
      <c r="B1" s="82" t="s">
        <v>78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4" spans="2:12" x14ac:dyDescent="0.25">
      <c r="B4" s="89" t="s">
        <v>85</v>
      </c>
    </row>
    <row r="5" spans="2:12" ht="30" x14ac:dyDescent="0.25">
      <c r="B5" s="90" t="s">
        <v>86</v>
      </c>
      <c r="C5" s="91">
        <v>0.12</v>
      </c>
    </row>
    <row r="6" spans="2:12" x14ac:dyDescent="0.25">
      <c r="B6" s="90" t="s">
        <v>87</v>
      </c>
      <c r="C6" s="93">
        <v>100</v>
      </c>
    </row>
    <row r="7" spans="2:12" x14ac:dyDescent="0.25">
      <c r="B7" s="90" t="s">
        <v>88</v>
      </c>
      <c r="C7" s="94">
        <v>1000</v>
      </c>
    </row>
    <row r="8" spans="2:12" x14ac:dyDescent="0.25">
      <c r="B8" s="90" t="s">
        <v>89</v>
      </c>
      <c r="C8" s="92">
        <v>10000</v>
      </c>
    </row>
    <row r="10" spans="2:12" x14ac:dyDescent="0.25">
      <c r="B10" s="95" t="s">
        <v>90</v>
      </c>
      <c r="C10" s="97"/>
      <c r="D10" s="99">
        <f>NPER(C5/12, -C6, -C7, C8)</f>
        <v>60.082122853761661</v>
      </c>
      <c r="F10" s="95" t="s">
        <v>91</v>
      </c>
    </row>
    <row r="11" spans="2:12" x14ac:dyDescent="0.25">
      <c r="D11" s="98"/>
      <c r="I11" s="97"/>
      <c r="J11" s="98"/>
    </row>
    <row r="12" spans="2:12" x14ac:dyDescent="0.25">
      <c r="D12" s="9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70D1-00AC-4D09-B81A-AFF7FD859876}">
  <dimension ref="B1:L10"/>
  <sheetViews>
    <sheetView showGridLines="0" zoomScale="145" zoomScaleNormal="145" workbookViewId="0">
      <selection activeCell="C5" sqref="C5:C10"/>
    </sheetView>
  </sheetViews>
  <sheetFormatPr defaultRowHeight="15" x14ac:dyDescent="0.25"/>
  <cols>
    <col min="1" max="1" width="3.5703125" customWidth="1"/>
    <col min="2" max="2" width="22.5703125" customWidth="1"/>
  </cols>
  <sheetData>
    <row r="1" spans="2:12" ht="18.75" x14ac:dyDescent="0.3">
      <c r="B1" s="100" t="s">
        <v>92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3" spans="2:12" x14ac:dyDescent="0.25">
      <c r="B3" t="s">
        <v>93</v>
      </c>
    </row>
    <row r="5" spans="2:12" x14ac:dyDescent="0.25">
      <c r="B5" s="83" t="s">
        <v>82</v>
      </c>
      <c r="C5" s="84">
        <v>25000</v>
      </c>
    </row>
    <row r="6" spans="2:12" x14ac:dyDescent="0.25">
      <c r="B6" s="83" t="s">
        <v>94</v>
      </c>
      <c r="C6" s="84">
        <v>60</v>
      </c>
      <c r="D6" t="s">
        <v>91</v>
      </c>
    </row>
    <row r="7" spans="2:12" x14ac:dyDescent="0.25">
      <c r="B7" s="83" t="s">
        <v>95</v>
      </c>
      <c r="C7" s="84">
        <v>475</v>
      </c>
    </row>
    <row r="9" spans="2:12" x14ac:dyDescent="0.25">
      <c r="B9" s="83" t="s">
        <v>96</v>
      </c>
      <c r="C9" s="101">
        <f>RATE(C6, -C7, C5)</f>
        <v>4.4003937025499261E-3</v>
      </c>
    </row>
    <row r="10" spans="2:12" x14ac:dyDescent="0.25">
      <c r="B10" s="83" t="s">
        <v>21</v>
      </c>
      <c r="C10" s="102">
        <f>C9*12</f>
        <v>5.2804724430599109E-2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1A21-69C0-4839-8DE3-85DAC3EF65CF}">
  <dimension ref="B1:M17"/>
  <sheetViews>
    <sheetView showGridLines="0" zoomScale="145" zoomScaleNormal="145" workbookViewId="0">
      <selection activeCell="D2" sqref="D2"/>
    </sheetView>
  </sheetViews>
  <sheetFormatPr defaultColWidth="8.85546875" defaultRowHeight="15.75" x14ac:dyDescent="0.25"/>
  <cols>
    <col min="1" max="1" width="8.85546875" style="13"/>
    <col min="2" max="2" width="19.28515625" style="13" customWidth="1"/>
    <col min="3" max="3" width="9.28515625" style="13" bestFit="1" customWidth="1"/>
    <col min="4" max="4" width="8.85546875" style="13"/>
    <col min="5" max="5" width="10.7109375" style="13" bestFit="1" customWidth="1"/>
    <col min="6" max="16384" width="8.85546875" style="13"/>
  </cols>
  <sheetData>
    <row r="1" spans="2:13" ht="21" x14ac:dyDescent="0.35">
      <c r="B1" s="45" t="s">
        <v>97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4" spans="2:13" x14ac:dyDescent="0.25">
      <c r="B4" s="13" t="s">
        <v>98</v>
      </c>
      <c r="C4" s="20">
        <v>1000</v>
      </c>
    </row>
    <row r="5" spans="2:13" x14ac:dyDescent="0.25">
      <c r="B5" s="13" t="s">
        <v>99</v>
      </c>
      <c r="C5" s="103">
        <v>1.5E-3</v>
      </c>
    </row>
    <row r="7" spans="2:13" x14ac:dyDescent="0.25">
      <c r="B7" s="13" t="s">
        <v>21</v>
      </c>
      <c r="C7" s="104">
        <f>C5*52</f>
        <v>7.8E-2</v>
      </c>
      <c r="E7" s="105" t="s">
        <v>100</v>
      </c>
      <c r="F7" s="60">
        <f>(1+C5)^52-1</f>
        <v>8.105947801537372E-2</v>
      </c>
    </row>
    <row r="9" spans="2:13" x14ac:dyDescent="0.25">
      <c r="B9" s="13" t="s">
        <v>101</v>
      </c>
      <c r="C9" s="106">
        <f>EFFECT(C7, 52)</f>
        <v>8.105947801537372E-2</v>
      </c>
    </row>
    <row r="11" spans="2:13" x14ac:dyDescent="0.25">
      <c r="E11" s="13" t="s">
        <v>102</v>
      </c>
    </row>
    <row r="12" spans="2:13" x14ac:dyDescent="0.25">
      <c r="B12" s="13" t="s">
        <v>103</v>
      </c>
      <c r="C12" s="107">
        <f>FV(C9, 20, 0, -C4)</f>
        <v>4753.2622352515364</v>
      </c>
      <c r="E12" s="24">
        <f>FV(C5, 20*52, 0, -C4)</f>
        <v>4753.2622352515364</v>
      </c>
    </row>
    <row r="13" spans="2:13" x14ac:dyDescent="0.25">
      <c r="E13" s="13" t="s">
        <v>104</v>
      </c>
      <c r="F13" s="13">
        <f>52*20</f>
        <v>1040</v>
      </c>
    </row>
    <row r="15" spans="2:13" x14ac:dyDescent="0.25">
      <c r="B15" s="13" t="s">
        <v>105</v>
      </c>
      <c r="C15" s="108">
        <f>NOMINAL(C9, 365)/365</f>
        <v>2.1356131723027083E-4</v>
      </c>
    </row>
    <row r="17" spans="2:3" x14ac:dyDescent="0.25">
      <c r="B17" s="13" t="s">
        <v>21</v>
      </c>
      <c r="C17" s="109">
        <f>NOMINAL(C9, 365)</f>
        <v>7.7949880789048853E-2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6796-6658-41BF-BBE9-76EC436D01A9}">
  <dimension ref="B1:L12"/>
  <sheetViews>
    <sheetView showGridLines="0" zoomScale="145" zoomScaleNormal="145" workbookViewId="0">
      <selection activeCell="D2" sqref="D2"/>
    </sheetView>
  </sheetViews>
  <sheetFormatPr defaultColWidth="8.85546875" defaultRowHeight="15.75" x14ac:dyDescent="0.25"/>
  <cols>
    <col min="1" max="3" width="8.85546875" style="13"/>
    <col min="4" max="4" width="10.7109375" style="13" bestFit="1" customWidth="1"/>
    <col min="5" max="16384" width="8.85546875" style="13"/>
  </cols>
  <sheetData>
    <row r="1" spans="2:12" ht="21" x14ac:dyDescent="0.35">
      <c r="B1" s="45" t="s">
        <v>106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2:12" x14ac:dyDescent="0.25">
      <c r="B3" s="13" t="s">
        <v>21</v>
      </c>
      <c r="C3" s="18">
        <v>0.09</v>
      </c>
      <c r="D3" s="13" t="s">
        <v>107</v>
      </c>
    </row>
    <row r="4" spans="2:12" x14ac:dyDescent="0.25">
      <c r="B4" s="13" t="s">
        <v>108</v>
      </c>
      <c r="C4" s="13">
        <v>5</v>
      </c>
      <c r="D4" s="13" t="s">
        <v>109</v>
      </c>
    </row>
    <row r="5" spans="2:12" x14ac:dyDescent="0.25">
      <c r="B5" s="13" t="s">
        <v>101</v>
      </c>
      <c r="C5" s="60">
        <f>EFFECT(C3, 12)</f>
        <v>9.3806897670984268E-2</v>
      </c>
    </row>
    <row r="8" spans="2:12" x14ac:dyDescent="0.25">
      <c r="B8" s="13" t="s">
        <v>110</v>
      </c>
      <c r="C8" s="13" t="s">
        <v>111</v>
      </c>
      <c r="D8" s="14" t="s">
        <v>112</v>
      </c>
    </row>
    <row r="9" spans="2:12" x14ac:dyDescent="0.25">
      <c r="B9" s="14">
        <v>0</v>
      </c>
      <c r="C9" s="14">
        <v>1000</v>
      </c>
      <c r="D9" s="26">
        <f>FV($C$5, 5-B9, 0, -C9)</f>
        <v>1565.6810269415735</v>
      </c>
    </row>
    <row r="10" spans="2:12" x14ac:dyDescent="0.25">
      <c r="B10" s="14">
        <v>1</v>
      </c>
      <c r="C10" s="14">
        <v>0</v>
      </c>
      <c r="D10" s="26">
        <f>FV($C$5, 5-B10, 0, -C10)</f>
        <v>0</v>
      </c>
    </row>
    <row r="11" spans="2:12" x14ac:dyDescent="0.25">
      <c r="B11" s="14">
        <v>2</v>
      </c>
      <c r="C11" s="14">
        <v>1000</v>
      </c>
      <c r="D11" s="26">
        <f>FV($C$5, 5-B11, 0, -C11)</f>
        <v>1308.645370916538</v>
      </c>
    </row>
    <row r="12" spans="2:12" x14ac:dyDescent="0.25">
      <c r="C12" s="13" t="s">
        <v>113</v>
      </c>
      <c r="D12" s="26">
        <f>SUM(D9:D11)</f>
        <v>2874.3263978581117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226E-5B5D-4FFF-B9C0-73FFC2918A4A}">
  <dimension ref="B1:K14"/>
  <sheetViews>
    <sheetView showGridLines="0" zoomScale="145" zoomScaleNormal="145" workbookViewId="0">
      <selection activeCell="D2" sqref="D2"/>
    </sheetView>
  </sheetViews>
  <sheetFormatPr defaultColWidth="8.85546875" defaultRowHeight="15.75" x14ac:dyDescent="0.25"/>
  <cols>
    <col min="1" max="1" width="8.85546875" style="13"/>
    <col min="2" max="2" width="8.85546875" style="13" bestFit="1" customWidth="1"/>
    <col min="3" max="3" width="8.85546875" style="13"/>
    <col min="4" max="4" width="13.7109375" style="13" bestFit="1" customWidth="1"/>
    <col min="5" max="9" width="8.85546875" style="13"/>
    <col min="10" max="10" width="11.28515625" style="13" bestFit="1" customWidth="1"/>
    <col min="11" max="11" width="13.7109375" style="13" bestFit="1" customWidth="1"/>
    <col min="12" max="16384" width="8.85546875" style="13"/>
  </cols>
  <sheetData>
    <row r="1" spans="2:11" ht="21" x14ac:dyDescent="0.35">
      <c r="B1" s="45" t="s">
        <v>114</v>
      </c>
      <c r="C1" s="45"/>
      <c r="D1" s="45"/>
      <c r="E1" s="45"/>
      <c r="F1" s="45"/>
      <c r="G1" s="45"/>
      <c r="H1" s="45"/>
      <c r="I1" s="45"/>
      <c r="J1" s="45"/>
    </row>
    <row r="4" spans="2:11" x14ac:dyDescent="0.25">
      <c r="G4" s="13" t="s">
        <v>21</v>
      </c>
      <c r="H4" s="110">
        <f>C5*12</f>
        <v>5.8440000000000006E-2</v>
      </c>
    </row>
    <row r="5" spans="2:11" x14ac:dyDescent="0.25">
      <c r="B5" s="13" t="s">
        <v>115</v>
      </c>
      <c r="C5" s="111">
        <v>4.8700000000000002E-3</v>
      </c>
      <c r="G5" s="13" t="s">
        <v>101</v>
      </c>
      <c r="H5" s="110">
        <f>EFFECT(H4, 12)</f>
        <v>6.0031006301804579E-2</v>
      </c>
    </row>
    <row r="8" spans="2:11" x14ac:dyDescent="0.25">
      <c r="B8" s="64" t="s">
        <v>7</v>
      </c>
      <c r="C8" s="64" t="s">
        <v>116</v>
      </c>
      <c r="D8" s="64" t="s">
        <v>117</v>
      </c>
      <c r="I8" s="64" t="s">
        <v>118</v>
      </c>
      <c r="J8" s="64" t="s">
        <v>116</v>
      </c>
      <c r="K8" s="64" t="s">
        <v>117</v>
      </c>
    </row>
    <row r="9" spans="2:11" x14ac:dyDescent="0.25">
      <c r="B9" s="13">
        <v>0</v>
      </c>
      <c r="I9" s="13">
        <v>0</v>
      </c>
    </row>
    <row r="10" spans="2:11" x14ac:dyDescent="0.25">
      <c r="B10" s="13">
        <v>1</v>
      </c>
      <c r="C10" s="20">
        <v>2000</v>
      </c>
      <c r="D10" s="62">
        <f>PV($H$5, B10, 0, C10)</f>
        <v>-1886.7372634480978</v>
      </c>
      <c r="I10" s="13">
        <v>12</v>
      </c>
      <c r="J10" s="20">
        <v>2000</v>
      </c>
      <c r="K10" s="62">
        <f>PV($C$5, I10, 0, J10)</f>
        <v>-1886.7372634480978</v>
      </c>
    </row>
    <row r="11" spans="2:11" x14ac:dyDescent="0.25">
      <c r="B11" s="13">
        <v>2</v>
      </c>
      <c r="C11" s="20">
        <v>2000</v>
      </c>
      <c r="D11" s="62">
        <f t="shared" ref="D11:D13" si="0">PV($H$5, B11, 0, C11)</f>
        <v>-1779.8887506418084</v>
      </c>
      <c r="I11" s="13">
        <v>24</v>
      </c>
      <c r="J11" s="20">
        <v>2000</v>
      </c>
      <c r="K11" s="62">
        <f t="shared" ref="K11:K13" si="1">PV($C$5, I11, 0, J11)</f>
        <v>-1779.8887506418087</v>
      </c>
    </row>
    <row r="12" spans="2:11" x14ac:dyDescent="0.25">
      <c r="B12" s="13">
        <v>3</v>
      </c>
      <c r="C12" s="20">
        <v>4000</v>
      </c>
      <c r="D12" s="62">
        <f t="shared" si="0"/>
        <v>-3358.1824306279791</v>
      </c>
      <c r="I12" s="13">
        <v>36</v>
      </c>
      <c r="J12" s="20">
        <v>4000</v>
      </c>
      <c r="K12" s="62">
        <f t="shared" si="1"/>
        <v>-3358.1824306279796</v>
      </c>
    </row>
    <row r="13" spans="2:11" x14ac:dyDescent="0.25">
      <c r="B13" s="13">
        <v>4</v>
      </c>
      <c r="C13" s="20">
        <v>5000</v>
      </c>
      <c r="D13" s="62">
        <f t="shared" si="0"/>
        <v>-3960.0049558265714</v>
      </c>
      <c r="I13" s="13">
        <v>48</v>
      </c>
      <c r="J13" s="20">
        <v>5000</v>
      </c>
      <c r="K13" s="62">
        <f t="shared" si="1"/>
        <v>-3960.0049558265728</v>
      </c>
    </row>
    <row r="14" spans="2:11" x14ac:dyDescent="0.25">
      <c r="C14" s="13" t="s">
        <v>113</v>
      </c>
      <c r="D14" s="62">
        <f>SUM(D10:D13)</f>
        <v>-10984.813400544457</v>
      </c>
      <c r="E14" s="13" t="s">
        <v>119</v>
      </c>
      <c r="J14" s="13" t="s">
        <v>113</v>
      </c>
      <c r="K14" s="62">
        <f>SUM(K10:K13)</f>
        <v>-10984.813400544459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5D3F-9328-479C-B94D-7C642015559E}">
  <dimension ref="A4:C12"/>
  <sheetViews>
    <sheetView showGridLines="0" tabSelected="1" zoomScale="145" zoomScaleNormal="145" workbookViewId="0"/>
  </sheetViews>
  <sheetFormatPr defaultRowHeight="15" x14ac:dyDescent="0.25"/>
  <cols>
    <col min="1" max="1" width="15.42578125" bestFit="1" customWidth="1"/>
    <col min="2" max="2" width="10" bestFit="1" customWidth="1"/>
    <col min="3" max="3" width="12.42578125" customWidth="1"/>
  </cols>
  <sheetData>
    <row r="4" spans="1:3" x14ac:dyDescent="0.25">
      <c r="A4" s="1"/>
      <c r="B4" s="155" t="s">
        <v>10</v>
      </c>
      <c r="C4" s="156"/>
    </row>
    <row r="5" spans="1:3" x14ac:dyDescent="0.25">
      <c r="A5" s="1" t="s">
        <v>9</v>
      </c>
      <c r="B5" s="2" t="s">
        <v>7</v>
      </c>
      <c r="C5" s="3" t="s">
        <v>8</v>
      </c>
    </row>
    <row r="6" spans="1:3" x14ac:dyDescent="0.25">
      <c r="A6" s="4" t="s">
        <v>0</v>
      </c>
      <c r="B6" s="5">
        <v>0</v>
      </c>
      <c r="C6" s="6">
        <v>25000</v>
      </c>
    </row>
    <row r="7" spans="1:3" x14ac:dyDescent="0.25">
      <c r="A7" s="4" t="s">
        <v>1</v>
      </c>
      <c r="B7" s="5">
        <v>1</v>
      </c>
      <c r="C7" s="6">
        <v>0</v>
      </c>
    </row>
    <row r="8" spans="1:3" x14ac:dyDescent="0.25">
      <c r="A8" s="4" t="s">
        <v>2</v>
      </c>
      <c r="B8" s="5">
        <v>2</v>
      </c>
      <c r="C8" s="6">
        <v>-6000</v>
      </c>
    </row>
    <row r="9" spans="1:3" x14ac:dyDescent="0.25">
      <c r="A9" s="4" t="s">
        <v>3</v>
      </c>
      <c r="B9" s="5">
        <v>3</v>
      </c>
      <c r="C9" s="6">
        <v>-6000</v>
      </c>
    </row>
    <row r="10" spans="1:3" x14ac:dyDescent="0.25">
      <c r="A10" s="4" t="s">
        <v>4</v>
      </c>
      <c r="B10" s="5">
        <v>4</v>
      </c>
      <c r="C10" s="6">
        <v>-6000</v>
      </c>
    </row>
    <row r="11" spans="1:3" x14ac:dyDescent="0.25">
      <c r="A11" s="4" t="s">
        <v>5</v>
      </c>
      <c r="B11" s="5">
        <v>5</v>
      </c>
      <c r="C11" s="6">
        <v>-6000</v>
      </c>
    </row>
    <row r="12" spans="1:3" x14ac:dyDescent="0.25">
      <c r="A12" s="7" t="s">
        <v>6</v>
      </c>
      <c r="B12" s="8">
        <v>6</v>
      </c>
      <c r="C12" s="9">
        <v>-6000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F116-A031-4490-8B5D-73FC79E1E37D}">
  <dimension ref="B1:J19"/>
  <sheetViews>
    <sheetView showGridLines="0" zoomScale="145" zoomScaleNormal="145" workbookViewId="0">
      <selection activeCell="H17" sqref="H17"/>
    </sheetView>
  </sheetViews>
  <sheetFormatPr defaultColWidth="8.85546875" defaultRowHeight="15.75" x14ac:dyDescent="0.25"/>
  <cols>
    <col min="1" max="1" width="8.85546875" style="13"/>
    <col min="2" max="2" width="8.85546875" style="13" bestFit="1" customWidth="1"/>
    <col min="3" max="3" width="11.28515625" style="13" bestFit="1" customWidth="1"/>
    <col min="4" max="4" width="13.7109375" style="13" bestFit="1" customWidth="1"/>
    <col min="5" max="6" width="8.85546875" style="13"/>
    <col min="7" max="7" width="11.7109375" style="13" bestFit="1" customWidth="1"/>
    <col min="8" max="8" width="12.5703125" style="13" bestFit="1" customWidth="1"/>
    <col min="9" max="16384" width="8.85546875" style="13"/>
  </cols>
  <sheetData>
    <row r="1" spans="2:10" ht="21" x14ac:dyDescent="0.35">
      <c r="B1" s="45" t="s">
        <v>114</v>
      </c>
      <c r="C1" s="45"/>
      <c r="D1" s="45"/>
      <c r="E1" s="45"/>
      <c r="F1" s="45"/>
      <c r="G1" s="45"/>
      <c r="H1" s="45"/>
      <c r="I1" s="45"/>
      <c r="J1" s="45"/>
    </row>
    <row r="4" spans="2:10" x14ac:dyDescent="0.25">
      <c r="B4" s="13" t="s">
        <v>101</v>
      </c>
      <c r="C4" s="112">
        <v>0.06</v>
      </c>
    </row>
    <row r="7" spans="2:10" x14ac:dyDescent="0.25">
      <c r="B7" s="64" t="s">
        <v>7</v>
      </c>
      <c r="C7" s="64" t="s">
        <v>116</v>
      </c>
      <c r="D7" s="64" t="s">
        <v>117</v>
      </c>
      <c r="G7" s="158" t="s">
        <v>120</v>
      </c>
      <c r="H7" s="158"/>
      <c r="I7" s="158"/>
    </row>
    <row r="8" spans="2:10" x14ac:dyDescent="0.25">
      <c r="B8" s="13">
        <v>0</v>
      </c>
    </row>
    <row r="9" spans="2:10" x14ac:dyDescent="0.25">
      <c r="B9" s="13">
        <v>1</v>
      </c>
      <c r="D9" s="26"/>
      <c r="G9" s="13" t="s">
        <v>121</v>
      </c>
      <c r="H9" s="26">
        <f>PV($C$4, 4, 4000, 0)</f>
        <v>-13860.42245079864</v>
      </c>
    </row>
    <row r="10" spans="2:10" x14ac:dyDescent="0.25">
      <c r="B10" s="13">
        <v>2</v>
      </c>
      <c r="D10" s="26"/>
      <c r="G10" s="13" t="s">
        <v>122</v>
      </c>
      <c r="H10" s="26">
        <f>-PV(C4, 6, 0, H9)</f>
        <v>-9771.0509016372325</v>
      </c>
    </row>
    <row r="11" spans="2:10" x14ac:dyDescent="0.25">
      <c r="B11" s="13">
        <v>3</v>
      </c>
      <c r="D11" s="26"/>
    </row>
    <row r="12" spans="2:10" x14ac:dyDescent="0.25">
      <c r="B12" s="13">
        <v>4</v>
      </c>
      <c r="D12" s="26"/>
    </row>
    <row r="13" spans="2:10" x14ac:dyDescent="0.25">
      <c r="B13" s="13">
        <v>5</v>
      </c>
      <c r="D13" s="26"/>
      <c r="G13" s="13" t="s">
        <v>122</v>
      </c>
      <c r="H13" s="26">
        <f>PV(6%, 6, 0, -PV(6%, 4, 4000,0))</f>
        <v>-9771.0509016372325</v>
      </c>
    </row>
    <row r="14" spans="2:10" x14ac:dyDescent="0.25">
      <c r="B14" s="13">
        <v>6</v>
      </c>
      <c r="G14" s="26"/>
    </row>
    <row r="15" spans="2:10" x14ac:dyDescent="0.25">
      <c r="B15" s="13">
        <v>7</v>
      </c>
      <c r="C15" s="20">
        <v>4000</v>
      </c>
      <c r="D15" s="26">
        <f>PV($C$4, B15, 0, C15)</f>
        <v>-2660.2284544893441</v>
      </c>
    </row>
    <row r="16" spans="2:10" x14ac:dyDescent="0.25">
      <c r="B16" s="13">
        <v>8</v>
      </c>
      <c r="C16" s="20">
        <v>4000</v>
      </c>
      <c r="D16" s="26">
        <f t="shared" ref="D16:D18" si="0">PV($C$4, B16, 0, C16)</f>
        <v>-2509.6494853673062</v>
      </c>
    </row>
    <row r="17" spans="2:4" x14ac:dyDescent="0.25">
      <c r="B17" s="13">
        <v>9</v>
      </c>
      <c r="C17" s="20">
        <v>4000</v>
      </c>
      <c r="D17" s="26">
        <f t="shared" si="0"/>
        <v>-2367.5938541200999</v>
      </c>
    </row>
    <row r="18" spans="2:4" x14ac:dyDescent="0.25">
      <c r="B18" s="13">
        <v>10</v>
      </c>
      <c r="C18" s="20">
        <v>4000</v>
      </c>
      <c r="D18" s="26">
        <f t="shared" si="0"/>
        <v>-2233.5791076604714</v>
      </c>
    </row>
    <row r="19" spans="2:4" x14ac:dyDescent="0.25">
      <c r="C19" s="13" t="s">
        <v>113</v>
      </c>
      <c r="D19" s="26">
        <f>SUM(D15:D18)</f>
        <v>-9771.0509016372216</v>
      </c>
    </row>
  </sheetData>
  <mergeCells count="1">
    <mergeCell ref="G7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C69-F588-471A-929A-9737DD277B75}">
  <dimension ref="B1:I25"/>
  <sheetViews>
    <sheetView showGridLines="0" zoomScale="160" zoomScaleNormal="160" workbookViewId="0">
      <selection activeCell="E15" sqref="E15"/>
    </sheetView>
  </sheetViews>
  <sheetFormatPr defaultRowHeight="15" x14ac:dyDescent="0.25"/>
  <cols>
    <col min="2" max="2" width="13.140625" customWidth="1"/>
    <col min="3" max="3" width="17.7109375" customWidth="1"/>
    <col min="4" max="4" width="17.28515625" customWidth="1"/>
    <col min="5" max="5" width="12.5703125" customWidth="1"/>
    <col min="6" max="6" width="22.85546875" customWidth="1"/>
    <col min="7" max="7" width="27.28515625" bestFit="1" customWidth="1"/>
  </cols>
  <sheetData>
    <row r="1" spans="2:9" ht="21" x14ac:dyDescent="0.35">
      <c r="B1" s="82" t="s">
        <v>123</v>
      </c>
      <c r="C1" s="82"/>
      <c r="D1" s="82"/>
      <c r="E1" s="82"/>
      <c r="F1" s="82"/>
      <c r="G1" s="82"/>
      <c r="H1" s="82"/>
      <c r="I1" s="82"/>
    </row>
    <row r="3" spans="2:9" x14ac:dyDescent="0.25">
      <c r="H3" s="113"/>
    </row>
    <row r="4" spans="2:9" x14ac:dyDescent="0.25">
      <c r="B4" s="89" t="s">
        <v>124</v>
      </c>
      <c r="C4" s="114">
        <v>0.06</v>
      </c>
      <c r="D4" s="89"/>
      <c r="E4" s="89"/>
      <c r="F4" s="113"/>
      <c r="H4" s="113"/>
    </row>
    <row r="5" spans="2:9" x14ac:dyDescent="0.25">
      <c r="C5" s="115"/>
      <c r="F5" s="159" t="s">
        <v>125</v>
      </c>
      <c r="G5" s="159"/>
      <c r="H5" s="116"/>
    </row>
    <row r="6" spans="2:9" x14ac:dyDescent="0.25">
      <c r="B6" s="117" t="s">
        <v>110</v>
      </c>
      <c r="C6" s="118" t="s">
        <v>116</v>
      </c>
      <c r="D6" s="118" t="s">
        <v>117</v>
      </c>
      <c r="E6" s="118"/>
      <c r="F6" s="119" t="s">
        <v>126</v>
      </c>
      <c r="G6" s="120" t="s">
        <v>127</v>
      </c>
      <c r="H6" s="113"/>
    </row>
    <row r="7" spans="2:9" x14ac:dyDescent="0.25">
      <c r="B7" s="121">
        <v>0</v>
      </c>
      <c r="C7" s="122">
        <v>-85000</v>
      </c>
      <c r="D7" s="123">
        <f>PV($C$4, B7, 0, -C7)</f>
        <v>-85000</v>
      </c>
      <c r="E7" s="122"/>
      <c r="F7" s="122">
        <v>-85000</v>
      </c>
      <c r="G7" s="122">
        <v>-85000</v>
      </c>
      <c r="H7" s="113"/>
    </row>
    <row r="8" spans="2:9" x14ac:dyDescent="0.25">
      <c r="B8" s="121">
        <v>1</v>
      </c>
      <c r="C8" s="122">
        <v>0</v>
      </c>
      <c r="D8" s="123">
        <f>PV($C$4, B8, 0, -C8)</f>
        <v>0</v>
      </c>
      <c r="E8" s="122"/>
      <c r="F8" s="124"/>
      <c r="G8" s="122">
        <v>0</v>
      </c>
      <c r="H8" s="113"/>
    </row>
    <row r="9" spans="2:9" x14ac:dyDescent="0.25">
      <c r="B9" s="121">
        <v>2</v>
      </c>
      <c r="C9" s="122">
        <v>21000</v>
      </c>
      <c r="D9" s="123">
        <f>PV($C$4, B9, 0, -C9)</f>
        <v>18689.925240299035</v>
      </c>
      <c r="E9" s="122"/>
      <c r="F9" s="122">
        <v>21000</v>
      </c>
      <c r="G9" s="122">
        <v>21000</v>
      </c>
      <c r="H9" s="113"/>
    </row>
    <row r="10" spans="2:9" x14ac:dyDescent="0.25">
      <c r="B10" s="121">
        <v>3</v>
      </c>
      <c r="C10" s="125">
        <v>30000</v>
      </c>
      <c r="D10" s="123">
        <f t="shared" ref="D10:D11" si="0">PV($C$4, B10, 0, -C10)</f>
        <v>25188.578490969048</v>
      </c>
      <c r="E10" s="122"/>
      <c r="F10" s="125">
        <v>30000</v>
      </c>
      <c r="G10" s="125">
        <v>30000</v>
      </c>
      <c r="H10" s="113"/>
    </row>
    <row r="11" spans="2:9" x14ac:dyDescent="0.25">
      <c r="B11" s="121">
        <v>4</v>
      </c>
      <c r="C11" s="125">
        <v>42000</v>
      </c>
      <c r="D11" s="123">
        <f t="shared" si="0"/>
        <v>33267.93385599686</v>
      </c>
      <c r="E11" s="122"/>
      <c r="F11" s="125">
        <v>42000</v>
      </c>
      <c r="G11" s="125">
        <v>42000</v>
      </c>
      <c r="H11" s="113"/>
    </row>
    <row r="12" spans="2:9" ht="15.75" thickBot="1" x14ac:dyDescent="0.3">
      <c r="B12" s="126" t="s">
        <v>128</v>
      </c>
      <c r="C12" s="127">
        <f>NPV($C$4, C8:C11)+C7</f>
        <v>-7853.5624127350457</v>
      </c>
      <c r="D12" s="127">
        <f>SUM(D7:D11)</f>
        <v>-7853.5624127350529</v>
      </c>
      <c r="E12" s="128"/>
      <c r="F12" s="127">
        <f>NPV($C$4, F8:F11)+F7</f>
        <v>-3224.7761574991455</v>
      </c>
      <c r="G12" s="127">
        <f>NPV($C$4, G7:G11)</f>
        <v>-7409.0211440896719</v>
      </c>
      <c r="H12" s="113"/>
    </row>
    <row r="13" spans="2:9" ht="15.75" thickTop="1" x14ac:dyDescent="0.25">
      <c r="F13" s="113"/>
      <c r="G13" s="113"/>
      <c r="H13" s="113"/>
    </row>
    <row r="14" spans="2:9" x14ac:dyDescent="0.25">
      <c r="C14" s="83" t="s">
        <v>129</v>
      </c>
      <c r="D14" s="129">
        <f>NPV($C$4, C8:C11)</f>
        <v>77146.437587264954</v>
      </c>
      <c r="F14" s="113"/>
      <c r="G14" s="113"/>
      <c r="H14" s="113"/>
    </row>
    <row r="15" spans="2:9" x14ac:dyDescent="0.25">
      <c r="B15" s="121"/>
      <c r="F15" s="113"/>
      <c r="G15" s="113"/>
      <c r="H15" s="113"/>
    </row>
    <row r="16" spans="2:9" x14ac:dyDescent="0.25">
      <c r="B16" s="121"/>
      <c r="C16" s="130" t="s">
        <v>130</v>
      </c>
      <c r="D16" s="131">
        <f>D9*(1+6%)^2</f>
        <v>21000</v>
      </c>
      <c r="F16" s="113"/>
      <c r="G16" s="113"/>
      <c r="H16" s="113"/>
    </row>
    <row r="17" spans="3:8" x14ac:dyDescent="0.25">
      <c r="C17" s="115"/>
      <c r="G17" s="113"/>
      <c r="H17" s="113"/>
    </row>
    <row r="18" spans="3:8" x14ac:dyDescent="0.25">
      <c r="G18" s="113"/>
      <c r="H18" s="113"/>
    </row>
    <row r="19" spans="3:8" x14ac:dyDescent="0.25">
      <c r="G19" s="113"/>
      <c r="H19" s="113"/>
    </row>
    <row r="20" spans="3:8" x14ac:dyDescent="0.25">
      <c r="G20" s="113"/>
      <c r="H20" s="113"/>
    </row>
    <row r="21" spans="3:8" x14ac:dyDescent="0.25">
      <c r="G21" s="113"/>
      <c r="H21" s="113"/>
    </row>
    <row r="22" spans="3:8" x14ac:dyDescent="0.25">
      <c r="G22" s="113"/>
      <c r="H22" s="113"/>
    </row>
    <row r="23" spans="3:8" x14ac:dyDescent="0.25">
      <c r="G23" s="113"/>
      <c r="H23" s="113"/>
    </row>
    <row r="24" spans="3:8" x14ac:dyDescent="0.25">
      <c r="G24" s="113"/>
      <c r="H24" s="113"/>
    </row>
    <row r="25" spans="3:8" x14ac:dyDescent="0.25">
      <c r="G25" s="113"/>
      <c r="H25" s="113"/>
    </row>
  </sheetData>
  <mergeCells count="1">
    <mergeCell ref="F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D9D0-9B53-42E4-AF70-206C1DCBAF35}">
  <dimension ref="B1:M14"/>
  <sheetViews>
    <sheetView showGridLines="0" zoomScale="145" zoomScaleNormal="145" workbookViewId="0">
      <selection activeCell="E11" sqref="E11"/>
    </sheetView>
  </sheetViews>
  <sheetFormatPr defaultRowHeight="15" x14ac:dyDescent="0.25"/>
  <cols>
    <col min="1" max="1" width="4.7109375" customWidth="1"/>
    <col min="2" max="2" width="12.5703125" bestFit="1" customWidth="1"/>
    <col min="3" max="3" width="10.140625" bestFit="1" customWidth="1"/>
    <col min="4" max="4" width="7.140625" customWidth="1"/>
    <col min="7" max="7" width="4.7109375" customWidth="1"/>
    <col min="8" max="8" width="15.28515625" customWidth="1"/>
    <col min="9" max="9" width="12.7109375" bestFit="1" customWidth="1"/>
    <col min="10" max="10" width="4.85546875" customWidth="1"/>
    <col min="11" max="11" width="11.7109375" bestFit="1" customWidth="1"/>
    <col min="12" max="12" width="11.140625" bestFit="1" customWidth="1"/>
    <col min="13" max="13" width="12.7109375" bestFit="1" customWidth="1"/>
  </cols>
  <sheetData>
    <row r="1" spans="2:13" ht="21" x14ac:dyDescent="0.35">
      <c r="B1" s="82" t="s">
        <v>131</v>
      </c>
      <c r="C1" s="82"/>
      <c r="D1" s="82"/>
      <c r="E1" s="82"/>
      <c r="F1" s="82"/>
      <c r="G1" s="82"/>
      <c r="H1" s="82"/>
      <c r="I1" s="82"/>
      <c r="J1" s="82"/>
    </row>
    <row r="5" spans="2:13" x14ac:dyDescent="0.25">
      <c r="B5" s="89" t="s">
        <v>124</v>
      </c>
      <c r="C5" s="114">
        <v>0.06</v>
      </c>
      <c r="E5" s="113"/>
      <c r="F5" s="113"/>
      <c r="H5" s="89" t="s">
        <v>124</v>
      </c>
      <c r="I5" s="114">
        <v>0.06</v>
      </c>
      <c r="K5" s="89" t="s">
        <v>132</v>
      </c>
      <c r="L5" s="132">
        <f>NOMINAL(I5, 365)/365</f>
        <v>1.5965358745284597E-4</v>
      </c>
      <c r="M5" s="133"/>
    </row>
    <row r="6" spans="2:13" x14ac:dyDescent="0.25">
      <c r="C6" s="115"/>
      <c r="E6" s="113"/>
      <c r="F6" s="113"/>
    </row>
    <row r="7" spans="2:13" x14ac:dyDescent="0.25">
      <c r="B7" s="134" t="s">
        <v>133</v>
      </c>
      <c r="C7" s="134" t="s">
        <v>116</v>
      </c>
      <c r="D7" s="89"/>
      <c r="E7" s="113"/>
      <c r="F7" s="113"/>
      <c r="H7" s="134" t="s">
        <v>133</v>
      </c>
      <c r="I7" s="134" t="s">
        <v>116</v>
      </c>
      <c r="K7" s="134" t="s">
        <v>134</v>
      </c>
      <c r="L7" s="134" t="s">
        <v>116</v>
      </c>
      <c r="M7" s="134" t="s">
        <v>117</v>
      </c>
    </row>
    <row r="8" spans="2:13" x14ac:dyDescent="0.25">
      <c r="B8" s="135">
        <v>44927</v>
      </c>
      <c r="C8" s="122">
        <v>-85000</v>
      </c>
      <c r="D8" s="136"/>
      <c r="E8" s="113"/>
      <c r="F8" s="113"/>
      <c r="H8" s="136">
        <v>44558</v>
      </c>
      <c r="I8" s="115">
        <v>-10000</v>
      </c>
      <c r="J8" s="137"/>
      <c r="K8" s="137">
        <f>H8-$H$8</f>
        <v>0</v>
      </c>
      <c r="L8" s="115">
        <v>-10000</v>
      </c>
      <c r="M8" s="115">
        <f>PV($L$5, K8, 0,-L8)</f>
        <v>-10000</v>
      </c>
    </row>
    <row r="9" spans="2:13" x14ac:dyDescent="0.25">
      <c r="B9" s="135">
        <v>45291</v>
      </c>
      <c r="C9" s="122">
        <v>0</v>
      </c>
      <c r="D9" s="135"/>
      <c r="E9" s="113"/>
      <c r="F9" s="113"/>
      <c r="H9" s="136">
        <v>44618</v>
      </c>
      <c r="I9" s="115">
        <v>2750</v>
      </c>
      <c r="J9" s="137"/>
      <c r="K9" s="137">
        <f>H9-$H$8</f>
        <v>60</v>
      </c>
      <c r="L9" s="115">
        <v>2750</v>
      </c>
      <c r="M9" s="115">
        <f t="shared" ref="M9:M12" si="0">PV($L$5, K9, 0,-L9)</f>
        <v>2723.7850106300448</v>
      </c>
    </row>
    <row r="10" spans="2:13" x14ac:dyDescent="0.25">
      <c r="B10" s="135">
        <v>45657</v>
      </c>
      <c r="C10" s="122">
        <v>21000</v>
      </c>
      <c r="D10" s="135"/>
      <c r="E10" s="113"/>
      <c r="F10" s="113"/>
      <c r="H10" s="136">
        <v>44861</v>
      </c>
      <c r="I10" s="115">
        <v>4250</v>
      </c>
      <c r="J10" s="137"/>
      <c r="K10" s="137">
        <f t="shared" ref="K10:K12" si="1">H10-$H$8</f>
        <v>303</v>
      </c>
      <c r="L10" s="115">
        <v>4250</v>
      </c>
      <c r="M10" s="115">
        <f t="shared" si="0"/>
        <v>4049.3153083162097</v>
      </c>
    </row>
    <row r="11" spans="2:13" x14ac:dyDescent="0.25">
      <c r="B11" s="135">
        <v>46022</v>
      </c>
      <c r="C11" s="125">
        <v>30000</v>
      </c>
      <c r="D11" s="135"/>
      <c r="E11" s="113"/>
      <c r="F11" s="113"/>
      <c r="H11" s="136">
        <v>44969</v>
      </c>
      <c r="I11" s="115">
        <v>3250</v>
      </c>
      <c r="J11" s="137"/>
      <c r="K11" s="137">
        <f t="shared" si="1"/>
        <v>411</v>
      </c>
      <c r="L11" s="115">
        <v>3250</v>
      </c>
      <c r="M11" s="115">
        <f t="shared" si="0"/>
        <v>3043.6048212652954</v>
      </c>
    </row>
    <row r="12" spans="2:13" x14ac:dyDescent="0.25">
      <c r="B12" s="135">
        <v>46387</v>
      </c>
      <c r="C12" s="125">
        <v>42000</v>
      </c>
      <c r="D12" s="135"/>
      <c r="E12" s="113"/>
      <c r="F12" s="113"/>
      <c r="H12" s="136">
        <v>45014</v>
      </c>
      <c r="I12" s="115">
        <v>2750</v>
      </c>
      <c r="J12" s="137"/>
      <c r="K12" s="137">
        <f t="shared" si="1"/>
        <v>456</v>
      </c>
      <c r="L12" s="115">
        <v>2750</v>
      </c>
      <c r="M12" s="115">
        <f t="shared" si="0"/>
        <v>2556.9232666694775</v>
      </c>
    </row>
    <row r="13" spans="2:13" ht="15.75" thickBot="1" x14ac:dyDescent="0.3">
      <c r="B13" s="138" t="s">
        <v>128</v>
      </c>
      <c r="C13" s="139">
        <f>XNPV(C5,C8:C12,B8:B12)</f>
        <v>-7853.5624127350529</v>
      </c>
      <c r="D13" s="140"/>
      <c r="E13" s="113"/>
      <c r="F13" s="113"/>
      <c r="H13" s="126" t="s">
        <v>128</v>
      </c>
      <c r="I13" s="141">
        <f>XNPV(I5, I8:I12,H8:H12)</f>
        <v>2373.6284068807349</v>
      </c>
      <c r="K13" s="126"/>
      <c r="L13" s="142" t="s">
        <v>128</v>
      </c>
      <c r="M13" s="130">
        <f>SUM(M8:M12)</f>
        <v>2373.6284068810273</v>
      </c>
    </row>
    <row r="14" spans="2:13" ht="15.75" thickTop="1" x14ac:dyDescent="0.25">
      <c r="I14" s="143"/>
      <c r="K14" s="130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3653-2374-4C85-9E9A-9A6A3FC53486}">
  <dimension ref="B1:P15"/>
  <sheetViews>
    <sheetView showGridLines="0" zoomScale="115" zoomScaleNormal="115" workbookViewId="0">
      <selection activeCell="L12" sqref="L12"/>
    </sheetView>
  </sheetViews>
  <sheetFormatPr defaultColWidth="8.85546875" defaultRowHeight="15.75" x14ac:dyDescent="0.25"/>
  <cols>
    <col min="1" max="1" width="8.85546875" style="13"/>
    <col min="2" max="2" width="22.5703125" style="13" customWidth="1"/>
    <col min="3" max="3" width="16.7109375" style="13" bestFit="1" customWidth="1"/>
    <col min="4" max="4" width="13.7109375" style="13" bestFit="1" customWidth="1"/>
    <col min="5" max="5" width="4.42578125" style="13" customWidth="1"/>
    <col min="6" max="6" width="1.140625" style="13" customWidth="1"/>
    <col min="7" max="7" width="14.85546875" style="13" bestFit="1" customWidth="1"/>
    <col min="8" max="8" width="15.7109375" style="13" bestFit="1" customWidth="1"/>
    <col min="9" max="14" width="8.85546875" style="13"/>
    <col min="15" max="15" width="7.28515625" style="13" customWidth="1"/>
    <col min="16" max="16384" width="8.85546875" style="13"/>
  </cols>
  <sheetData>
    <row r="1" spans="2:16" ht="24" x14ac:dyDescent="0.4">
      <c r="B1" s="144" t="s">
        <v>135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4" spans="2:16" x14ac:dyDescent="0.25">
      <c r="B4" s="13" t="s">
        <v>136</v>
      </c>
      <c r="C4" s="20">
        <v>100000000</v>
      </c>
    </row>
    <row r="5" spans="2:16" x14ac:dyDescent="0.25">
      <c r="B5" s="13" t="s">
        <v>124</v>
      </c>
      <c r="C5" s="18">
        <v>0.05</v>
      </c>
      <c r="G5" s="24">
        <v>100000000</v>
      </c>
    </row>
    <row r="7" spans="2:16" x14ac:dyDescent="0.25">
      <c r="B7" s="13" t="s">
        <v>104</v>
      </c>
      <c r="C7" s="13">
        <v>20</v>
      </c>
    </row>
    <row r="11" spans="2:16" x14ac:dyDescent="0.25">
      <c r="B11" s="13" t="s">
        <v>137</v>
      </c>
      <c r="C11" s="26">
        <f>PMT($C$5, $C$7, -C4)</f>
        <v>8024258.7190691307</v>
      </c>
    </row>
    <row r="12" spans="2:16" x14ac:dyDescent="0.25">
      <c r="G12" s="145" t="s">
        <v>138</v>
      </c>
      <c r="J12" s="13" t="s">
        <v>139</v>
      </c>
    </row>
    <row r="13" spans="2:16" x14ac:dyDescent="0.25">
      <c r="K13" s="58"/>
    </row>
    <row r="15" spans="2:16" x14ac:dyDescent="0.25">
      <c r="P15" s="75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D9CE-54C3-4127-91DD-937A70E2E330}">
  <dimension ref="B1:P26"/>
  <sheetViews>
    <sheetView showGridLines="0" zoomScale="115" zoomScaleNormal="115" workbookViewId="0">
      <selection activeCell="J13" sqref="J13"/>
    </sheetView>
  </sheetViews>
  <sheetFormatPr defaultColWidth="8.85546875" defaultRowHeight="15.75" x14ac:dyDescent="0.25"/>
  <cols>
    <col min="1" max="2" width="8.85546875" style="13"/>
    <col min="3" max="3" width="12.140625" style="13" bestFit="1" customWidth="1"/>
    <col min="4" max="4" width="13.7109375" style="13" bestFit="1" customWidth="1"/>
    <col min="5" max="5" width="4.42578125" style="13" customWidth="1"/>
    <col min="6" max="6" width="1.140625" style="13" customWidth="1"/>
    <col min="7" max="7" width="14.85546875" style="13" bestFit="1" customWidth="1"/>
    <col min="8" max="8" width="15.7109375" style="13" bestFit="1" customWidth="1"/>
    <col min="9" max="14" width="8.85546875" style="13"/>
    <col min="15" max="15" width="7.28515625" style="13" customWidth="1"/>
    <col min="16" max="16384" width="8.85546875" style="13"/>
  </cols>
  <sheetData>
    <row r="1" spans="2:16" ht="24" x14ac:dyDescent="0.4">
      <c r="B1" s="144" t="s">
        <v>140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4" spans="2:16" x14ac:dyDescent="0.25">
      <c r="B4" s="13" t="s">
        <v>141</v>
      </c>
      <c r="C4" s="18">
        <v>0.1</v>
      </c>
    </row>
    <row r="5" spans="2:16" x14ac:dyDescent="0.25">
      <c r="G5" s="13" t="s">
        <v>142</v>
      </c>
    </row>
    <row r="6" spans="2:16" x14ac:dyDescent="0.25">
      <c r="B6" s="64" t="s">
        <v>110</v>
      </c>
      <c r="C6" s="64" t="s">
        <v>143</v>
      </c>
      <c r="D6" s="64" t="s">
        <v>117</v>
      </c>
      <c r="G6" s="13" t="s">
        <v>117</v>
      </c>
      <c r="H6" s="146">
        <f>PV($C$4, 19, -500000)+500000</f>
        <v>4682460.0458672103</v>
      </c>
      <c r="I6" s="147" t="str">
        <f ca="1">_xlfn.FORMULATEXT(H6)</f>
        <v>=PV($C$4, 19, -500000)+500000</v>
      </c>
    </row>
    <row r="7" spans="2:16" x14ac:dyDescent="0.25">
      <c r="B7" s="14">
        <v>0</v>
      </c>
      <c r="C7" s="20">
        <v>500000</v>
      </c>
      <c r="D7" s="26">
        <f>PV($C$4, $B7, 0,-C7)</f>
        <v>500000</v>
      </c>
      <c r="E7" s="148"/>
      <c r="H7" s="146">
        <f>-PV($C$4, 19, 500000)+500000</f>
        <v>4682460.0458672103</v>
      </c>
      <c r="I7" s="147" t="str">
        <f ca="1">_xlfn.FORMULATEXT(H7)</f>
        <v>=-PV($C$4, 19, 500000)+500000</v>
      </c>
    </row>
    <row r="8" spans="2:16" x14ac:dyDescent="0.25">
      <c r="B8" s="14">
        <v>1</v>
      </c>
      <c r="C8" s="20">
        <v>500000</v>
      </c>
      <c r="D8" s="26">
        <f t="shared" ref="D8:D26" si="0">PV($C$4, $B8, 0,-C8)</f>
        <v>454545.45454545453</v>
      </c>
      <c r="E8" s="26"/>
    </row>
    <row r="9" spans="2:16" x14ac:dyDescent="0.25">
      <c r="B9" s="14">
        <v>2</v>
      </c>
      <c r="C9" s="20">
        <v>500000</v>
      </c>
      <c r="D9" s="26">
        <f t="shared" si="0"/>
        <v>413223.1404958677</v>
      </c>
      <c r="E9" s="26"/>
      <c r="G9" s="13" t="s">
        <v>144</v>
      </c>
      <c r="H9" s="146">
        <f>SUM(D7:D26)</f>
        <v>4682460.0458672084</v>
      </c>
      <c r="I9" s="147" t="str">
        <f ca="1">_xlfn.FORMULATEXT(H9)</f>
        <v>=SUM(D7:D26)</v>
      </c>
    </row>
    <row r="10" spans="2:16" x14ac:dyDescent="0.25">
      <c r="B10" s="14">
        <v>3</v>
      </c>
      <c r="C10" s="20">
        <v>500000</v>
      </c>
      <c r="D10" s="26">
        <f t="shared" si="0"/>
        <v>375657.40045078879</v>
      </c>
      <c r="E10" s="26"/>
    </row>
    <row r="11" spans="2:16" x14ac:dyDescent="0.25">
      <c r="B11" s="14">
        <v>4</v>
      </c>
      <c r="C11" s="20">
        <v>500000</v>
      </c>
      <c r="D11" s="26">
        <f t="shared" si="0"/>
        <v>341506.72768253525</v>
      </c>
      <c r="E11" s="26"/>
      <c r="G11" s="24" t="s">
        <v>145</v>
      </c>
    </row>
    <row r="12" spans="2:16" x14ac:dyDescent="0.25">
      <c r="B12" s="14">
        <v>5</v>
      </c>
      <c r="C12" s="20">
        <v>500000</v>
      </c>
      <c r="D12" s="26">
        <f t="shared" si="0"/>
        <v>310460.66152957745</v>
      </c>
      <c r="E12" s="26"/>
    </row>
    <row r="13" spans="2:16" x14ac:dyDescent="0.25">
      <c r="B13" s="14">
        <v>6</v>
      </c>
      <c r="C13" s="20">
        <v>500000</v>
      </c>
      <c r="D13" s="26">
        <f t="shared" si="0"/>
        <v>282236.96502688859</v>
      </c>
      <c r="E13" s="26"/>
      <c r="K13" s="58" t="s">
        <v>146</v>
      </c>
    </row>
    <row r="14" spans="2:16" x14ac:dyDescent="0.25">
      <c r="B14" s="14">
        <v>7</v>
      </c>
      <c r="C14" s="20">
        <v>500000</v>
      </c>
      <c r="D14" s="26">
        <f t="shared" si="0"/>
        <v>256579.05911535322</v>
      </c>
      <c r="E14" s="26"/>
    </row>
    <row r="15" spans="2:16" x14ac:dyDescent="0.25">
      <c r="B15" s="14">
        <v>8</v>
      </c>
      <c r="C15" s="20">
        <v>500000</v>
      </c>
      <c r="D15" s="26">
        <f t="shared" si="0"/>
        <v>233253.69010486657</v>
      </c>
      <c r="E15" s="26"/>
      <c r="L15" s="145" t="s">
        <v>147</v>
      </c>
      <c r="P15" s="75" t="s">
        <v>139</v>
      </c>
    </row>
    <row r="16" spans="2:16" x14ac:dyDescent="0.25">
      <c r="B16" s="14">
        <v>9</v>
      </c>
      <c r="C16" s="20">
        <v>500000</v>
      </c>
      <c r="D16" s="26">
        <f t="shared" si="0"/>
        <v>212048.80918624232</v>
      </c>
      <c r="E16" s="26"/>
    </row>
    <row r="17" spans="2:5" x14ac:dyDescent="0.25">
      <c r="B17" s="14">
        <v>10</v>
      </c>
      <c r="C17" s="20">
        <v>500000</v>
      </c>
      <c r="D17" s="26">
        <f t="shared" si="0"/>
        <v>192771.64471476575</v>
      </c>
      <c r="E17" s="26"/>
    </row>
    <row r="18" spans="2:5" x14ac:dyDescent="0.25">
      <c r="B18" s="14">
        <v>11</v>
      </c>
      <c r="C18" s="20">
        <v>500000</v>
      </c>
      <c r="D18" s="26">
        <f t="shared" si="0"/>
        <v>175246.94974069609</v>
      </c>
      <c r="E18" s="26"/>
    </row>
    <row r="19" spans="2:5" x14ac:dyDescent="0.25">
      <c r="B19" s="14">
        <v>12</v>
      </c>
      <c r="C19" s="20">
        <v>500000</v>
      </c>
      <c r="D19" s="26">
        <f t="shared" si="0"/>
        <v>159315.40885517828</v>
      </c>
      <c r="E19" s="26"/>
    </row>
    <row r="20" spans="2:5" x14ac:dyDescent="0.25">
      <c r="B20" s="14">
        <v>13</v>
      </c>
      <c r="C20" s="20">
        <v>500000</v>
      </c>
      <c r="D20" s="26">
        <f t="shared" si="0"/>
        <v>144832.18986834388</v>
      </c>
      <c r="E20" s="26"/>
    </row>
    <row r="21" spans="2:5" x14ac:dyDescent="0.25">
      <c r="B21" s="14">
        <v>14</v>
      </c>
      <c r="C21" s="20">
        <v>500000</v>
      </c>
      <c r="D21" s="26">
        <f t="shared" si="0"/>
        <v>131665.62715303988</v>
      </c>
      <c r="E21" s="26"/>
    </row>
    <row r="22" spans="2:5" x14ac:dyDescent="0.25">
      <c r="B22" s="14">
        <v>15</v>
      </c>
      <c r="C22" s="20">
        <v>500000</v>
      </c>
      <c r="D22" s="26">
        <f t="shared" si="0"/>
        <v>119696.0246845817</v>
      </c>
      <c r="E22" s="26"/>
    </row>
    <row r="23" spans="2:5" x14ac:dyDescent="0.25">
      <c r="B23" s="14">
        <v>16</v>
      </c>
      <c r="C23" s="20">
        <v>500000</v>
      </c>
      <c r="D23" s="26">
        <f t="shared" si="0"/>
        <v>108814.56789507427</v>
      </c>
      <c r="E23" s="26"/>
    </row>
    <row r="24" spans="2:5" x14ac:dyDescent="0.25">
      <c r="B24" s="14">
        <v>17</v>
      </c>
      <c r="C24" s="20">
        <v>500000</v>
      </c>
      <c r="D24" s="26">
        <f t="shared" si="0"/>
        <v>98922.334450067516</v>
      </c>
      <c r="E24" s="26"/>
    </row>
    <row r="25" spans="2:5" x14ac:dyDescent="0.25">
      <c r="B25" s="14">
        <v>18</v>
      </c>
      <c r="C25" s="20">
        <v>500000</v>
      </c>
      <c r="D25" s="26">
        <f t="shared" si="0"/>
        <v>89929.394954606832</v>
      </c>
      <c r="E25" s="26"/>
    </row>
    <row r="26" spans="2:5" x14ac:dyDescent="0.25">
      <c r="B26" s="14">
        <v>19</v>
      </c>
      <c r="C26" s="20">
        <v>500000</v>
      </c>
      <c r="D26" s="26">
        <f t="shared" si="0"/>
        <v>81753.995413278913</v>
      </c>
      <c r="E26" s="2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8129-DFB5-44B0-B3DE-F11960CBE4C8}">
  <dimension ref="B1:L10"/>
  <sheetViews>
    <sheetView showGridLines="0" workbookViewId="0">
      <selection activeCell="J13" sqref="J13"/>
    </sheetView>
  </sheetViews>
  <sheetFormatPr defaultColWidth="8.85546875" defaultRowHeight="15.75" x14ac:dyDescent="0.25"/>
  <cols>
    <col min="1" max="1" width="8.85546875" style="13"/>
    <col min="2" max="2" width="20.42578125" style="13" customWidth="1"/>
    <col min="3" max="3" width="11.85546875" style="13" bestFit="1" customWidth="1"/>
    <col min="4" max="16384" width="8.85546875" style="13"/>
  </cols>
  <sheetData>
    <row r="1" spans="2:12" ht="24" x14ac:dyDescent="0.4">
      <c r="B1" s="144" t="s">
        <v>148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4" spans="2:12" x14ac:dyDescent="0.25">
      <c r="B4" s="13" t="s">
        <v>21</v>
      </c>
      <c r="C4" s="103">
        <v>8.5000000000000006E-2</v>
      </c>
      <c r="D4" s="13" t="s">
        <v>149</v>
      </c>
    </row>
    <row r="5" spans="2:12" x14ac:dyDescent="0.25">
      <c r="B5" s="13" t="s">
        <v>150</v>
      </c>
      <c r="C5" s="24">
        <v>100000</v>
      </c>
    </row>
    <row r="6" spans="2:12" x14ac:dyDescent="0.25">
      <c r="B6" s="13" t="s">
        <v>151</v>
      </c>
      <c r="C6" s="13">
        <v>36</v>
      </c>
    </row>
    <row r="8" spans="2:12" x14ac:dyDescent="0.25">
      <c r="B8" s="13" t="s">
        <v>152</v>
      </c>
      <c r="C8" s="149">
        <f>PMT(C4/12, C6, 0,  C5)</f>
        <v>-2448.4204090224061</v>
      </c>
    </row>
    <row r="10" spans="2:12" x14ac:dyDescent="0.25">
      <c r="B10" s="13" t="s">
        <v>153</v>
      </c>
      <c r="C10" s="62">
        <f>PMT(C4/12, 60, 0, C5)</f>
        <v>-1343.3197993717918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11DE-F6AA-43C0-BED2-AD5C6DCBB574}">
  <dimension ref="B1:J26"/>
  <sheetViews>
    <sheetView showGridLines="0" zoomScale="160" zoomScaleNormal="160" workbookViewId="0">
      <selection activeCell="J13" sqref="J13"/>
    </sheetView>
  </sheetViews>
  <sheetFormatPr defaultColWidth="8.85546875" defaultRowHeight="15.75" x14ac:dyDescent="0.25"/>
  <cols>
    <col min="1" max="1" width="8.85546875" style="13"/>
    <col min="2" max="2" width="13.28515625" style="13" customWidth="1"/>
    <col min="3" max="3" width="13.5703125" style="13" bestFit="1" customWidth="1"/>
    <col min="4" max="4" width="12.140625" style="13" bestFit="1" customWidth="1"/>
    <col min="5" max="16384" width="8.85546875" style="13"/>
  </cols>
  <sheetData>
    <row r="1" spans="2:10" ht="21" x14ac:dyDescent="0.35">
      <c r="B1" s="150" t="s">
        <v>154</v>
      </c>
      <c r="C1" s="65"/>
      <c r="D1" s="65"/>
      <c r="E1" s="65"/>
      <c r="F1" s="65"/>
      <c r="G1" s="65"/>
      <c r="H1" s="65"/>
      <c r="I1" s="65"/>
      <c r="J1" s="65"/>
    </row>
    <row r="3" spans="2:10" x14ac:dyDescent="0.25">
      <c r="B3" s="75" t="s">
        <v>155</v>
      </c>
      <c r="C3" s="20">
        <v>750000</v>
      </c>
      <c r="F3" s="58"/>
    </row>
    <row r="5" spans="2:10" x14ac:dyDescent="0.25">
      <c r="B5" s="75" t="s">
        <v>141</v>
      </c>
      <c r="C5" s="17">
        <v>0.1</v>
      </c>
      <c r="D5" s="17">
        <v>0.05</v>
      </c>
    </row>
    <row r="6" spans="2:10" x14ac:dyDescent="0.25">
      <c r="B6" s="75" t="s">
        <v>156</v>
      </c>
      <c r="C6" s="20">
        <f>$C$3/C5</f>
        <v>7500000</v>
      </c>
      <c r="D6" s="20">
        <f>$C$3/D5</f>
        <v>15000000</v>
      </c>
      <c r="H6" s="26"/>
    </row>
    <row r="7" spans="2:10" x14ac:dyDescent="0.25">
      <c r="C7" s="58" t="str">
        <f ca="1">_xlfn.FORMULATEXT(C6)</f>
        <v>=$C$3/C5</v>
      </c>
      <c r="D7" s="58" t="str">
        <f ca="1">_xlfn.FORMULATEXT(D6)</f>
        <v>=$C$3/D5</v>
      </c>
      <c r="H7" s="26"/>
    </row>
    <row r="8" spans="2:10" x14ac:dyDescent="0.25">
      <c r="D8" s="26"/>
    </row>
    <row r="9" spans="2:10" x14ac:dyDescent="0.25">
      <c r="D9" s="26"/>
      <c r="H9" s="26"/>
    </row>
    <row r="10" spans="2:10" x14ac:dyDescent="0.25">
      <c r="D10" s="26"/>
    </row>
    <row r="11" spans="2:10" x14ac:dyDescent="0.25">
      <c r="D11" s="26"/>
    </row>
    <row r="12" spans="2:10" x14ac:dyDescent="0.25">
      <c r="D12" s="26"/>
    </row>
    <row r="13" spans="2:10" x14ac:dyDescent="0.25">
      <c r="D13" s="26"/>
    </row>
    <row r="14" spans="2:10" x14ac:dyDescent="0.25">
      <c r="D14" s="26"/>
    </row>
    <row r="15" spans="2:10" x14ac:dyDescent="0.25">
      <c r="D15" s="26"/>
    </row>
    <row r="16" spans="2:10" x14ac:dyDescent="0.25">
      <c r="D16" s="26"/>
    </row>
    <row r="17" spans="4:4" x14ac:dyDescent="0.25">
      <c r="D17" s="26"/>
    </row>
    <row r="18" spans="4:4" x14ac:dyDescent="0.25">
      <c r="D18" s="26"/>
    </row>
    <row r="19" spans="4:4" x14ac:dyDescent="0.25">
      <c r="D19" s="26"/>
    </row>
    <row r="20" spans="4:4" x14ac:dyDescent="0.25">
      <c r="D20" s="26"/>
    </row>
    <row r="21" spans="4:4" x14ac:dyDescent="0.25">
      <c r="D21" s="26"/>
    </row>
    <row r="22" spans="4:4" x14ac:dyDescent="0.25">
      <c r="D22" s="26"/>
    </row>
    <row r="23" spans="4:4" x14ac:dyDescent="0.25">
      <c r="D23" s="26"/>
    </row>
    <row r="24" spans="4:4" x14ac:dyDescent="0.25">
      <c r="D24" s="26"/>
    </row>
    <row r="25" spans="4:4" x14ac:dyDescent="0.25">
      <c r="D25" s="26"/>
    </row>
    <row r="26" spans="4:4" x14ac:dyDescent="0.25">
      <c r="D2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0247-565A-498D-98C9-4FB6EAF7CFF2}">
  <dimension ref="B1:K247"/>
  <sheetViews>
    <sheetView showGridLines="0" zoomScaleNormal="100" workbookViewId="0">
      <selection activeCell="D4" sqref="D4"/>
    </sheetView>
  </sheetViews>
  <sheetFormatPr defaultColWidth="8.85546875" defaultRowHeight="25.15" customHeight="1" x14ac:dyDescent="0.25"/>
  <cols>
    <col min="1" max="1" width="3.140625" style="13" customWidth="1"/>
    <col min="2" max="2" width="15.28515625" style="13" customWidth="1"/>
    <col min="3" max="3" width="11" style="14" customWidth="1"/>
    <col min="4" max="4" width="14.7109375" style="13" customWidth="1"/>
    <col min="5" max="5" width="17.42578125" style="13" customWidth="1"/>
    <col min="6" max="6" width="11.7109375" style="15" bestFit="1" customWidth="1"/>
    <col min="7" max="16384" width="8.85546875" style="13"/>
  </cols>
  <sheetData>
    <row r="1" spans="2:11" ht="21" x14ac:dyDescent="0.35">
      <c r="B1" s="10" t="s">
        <v>11</v>
      </c>
      <c r="C1" s="11"/>
      <c r="D1" s="10"/>
      <c r="E1" s="10"/>
      <c r="F1" s="12"/>
      <c r="G1" s="10"/>
      <c r="H1" s="10"/>
      <c r="I1" s="10"/>
      <c r="J1" s="10"/>
      <c r="K1" s="10"/>
    </row>
    <row r="2" spans="2:11" ht="12.6" customHeight="1" x14ac:dyDescent="0.25"/>
    <row r="3" spans="2:11" ht="25.15" customHeight="1" x14ac:dyDescent="0.25">
      <c r="B3" s="16" t="s">
        <v>12</v>
      </c>
      <c r="C3" s="17">
        <v>0.12</v>
      </c>
      <c r="E3" s="18"/>
    </row>
    <row r="4" spans="2:11" ht="25.15" customHeight="1" x14ac:dyDescent="0.25">
      <c r="B4" s="16" t="s">
        <v>13</v>
      </c>
      <c r="C4" s="19">
        <v>10000</v>
      </c>
      <c r="E4" s="20">
        <f>C4*C3</f>
        <v>1200</v>
      </c>
    </row>
    <row r="6" spans="2:11" ht="31.5" x14ac:dyDescent="0.25">
      <c r="B6" s="21" t="s">
        <v>7</v>
      </c>
      <c r="C6" s="22" t="s">
        <v>14</v>
      </c>
      <c r="D6" s="23" t="s">
        <v>15</v>
      </c>
      <c r="E6" s="23" t="s">
        <v>16</v>
      </c>
      <c r="F6" s="23" t="s">
        <v>16</v>
      </c>
    </row>
    <row r="7" spans="2:11" ht="15.75" x14ac:dyDescent="0.25">
      <c r="B7" s="13">
        <v>2023</v>
      </c>
      <c r="C7" s="14">
        <v>0</v>
      </c>
      <c r="D7" s="19">
        <f>$C$4</f>
        <v>10000</v>
      </c>
      <c r="E7" s="19">
        <f>C4</f>
        <v>10000</v>
      </c>
      <c r="F7" s="24">
        <f>(1+$C$3)^C7*$C$4</f>
        <v>10000</v>
      </c>
    </row>
    <row r="8" spans="2:11" ht="15.75" x14ac:dyDescent="0.25">
      <c r="B8" s="13">
        <v>2024</v>
      </c>
      <c r="C8" s="14">
        <v>1</v>
      </c>
      <c r="D8" s="25">
        <f>$C$4*(1+$C$3*C8)</f>
        <v>11200.000000000002</v>
      </c>
      <c r="E8" s="19">
        <f>E7*(1+$C$3)</f>
        <v>11200.000000000002</v>
      </c>
      <c r="F8" s="24">
        <f t="shared" ref="F8:F27" si="0">(1+$C$3)^C8*$C$4</f>
        <v>11200.000000000002</v>
      </c>
    </row>
    <row r="9" spans="2:11" ht="15.75" x14ac:dyDescent="0.25">
      <c r="B9" s="13">
        <v>2025</v>
      </c>
      <c r="C9" s="14">
        <v>2</v>
      </c>
      <c r="D9" s="25">
        <f>$C$4*(1+$C$3*C9)</f>
        <v>12400</v>
      </c>
      <c r="E9" s="19">
        <f>E8*(1+$C$3)</f>
        <v>12544.000000000004</v>
      </c>
      <c r="F9" s="24">
        <f t="shared" si="0"/>
        <v>12544.000000000002</v>
      </c>
    </row>
    <row r="10" spans="2:11" ht="15.75" x14ac:dyDescent="0.25">
      <c r="B10" s="13">
        <v>2026</v>
      </c>
      <c r="C10" s="14">
        <v>3</v>
      </c>
      <c r="D10" s="25">
        <f>$C$4*(1+$C$3*C10)</f>
        <v>13599.999999999998</v>
      </c>
      <c r="E10" s="19">
        <f t="shared" ref="E10:E27" si="1">E9*(1+$C$3)</f>
        <v>14049.280000000006</v>
      </c>
      <c r="F10" s="24">
        <f t="shared" si="0"/>
        <v>14049.280000000004</v>
      </c>
    </row>
    <row r="11" spans="2:11" ht="15.75" x14ac:dyDescent="0.25">
      <c r="B11" s="13">
        <v>2027</v>
      </c>
      <c r="C11" s="14">
        <v>4</v>
      </c>
      <c r="D11" s="25">
        <f t="shared" ref="D11:D27" si="2">$C$4*(1+$C$3*C11)</f>
        <v>14800</v>
      </c>
      <c r="E11" s="19">
        <f t="shared" si="1"/>
        <v>15735.193600000008</v>
      </c>
      <c r="F11" s="24">
        <f t="shared" si="0"/>
        <v>15735.193600000004</v>
      </c>
    </row>
    <row r="12" spans="2:11" ht="15.75" x14ac:dyDescent="0.25">
      <c r="B12" s="13">
        <v>2028</v>
      </c>
      <c r="C12" s="14">
        <v>5</v>
      </c>
      <c r="D12" s="25">
        <f t="shared" si="2"/>
        <v>16000</v>
      </c>
      <c r="E12" s="19">
        <f t="shared" si="1"/>
        <v>17623.41683200001</v>
      </c>
      <c r="F12" s="24">
        <f t="shared" si="0"/>
        <v>17623.416832000006</v>
      </c>
    </row>
    <row r="13" spans="2:11" ht="15.75" x14ac:dyDescent="0.25">
      <c r="B13" s="13">
        <v>2029</v>
      </c>
      <c r="C13" s="14">
        <v>6</v>
      </c>
      <c r="D13" s="25">
        <f t="shared" si="2"/>
        <v>17200</v>
      </c>
      <c r="E13" s="19">
        <f t="shared" si="1"/>
        <v>19738.226851840012</v>
      </c>
      <c r="F13" s="24">
        <f t="shared" si="0"/>
        <v>19738.226851840009</v>
      </c>
    </row>
    <row r="14" spans="2:11" ht="15.75" x14ac:dyDescent="0.25">
      <c r="B14" s="13">
        <v>2030</v>
      </c>
      <c r="C14" s="14">
        <v>7</v>
      </c>
      <c r="D14" s="25">
        <f t="shared" si="2"/>
        <v>18400</v>
      </c>
      <c r="E14" s="19">
        <f t="shared" si="1"/>
        <v>22106.814074060814</v>
      </c>
      <c r="F14" s="24">
        <f t="shared" si="0"/>
        <v>22106.814074060811</v>
      </c>
    </row>
    <row r="15" spans="2:11" ht="15.75" x14ac:dyDescent="0.25">
      <c r="B15" s="13">
        <v>2031</v>
      </c>
      <c r="C15" s="14">
        <v>8</v>
      </c>
      <c r="D15" s="25">
        <f t="shared" si="2"/>
        <v>19600</v>
      </c>
      <c r="E15" s="19">
        <f t="shared" si="1"/>
        <v>24759.631762948113</v>
      </c>
      <c r="F15" s="24">
        <f t="shared" si="0"/>
        <v>24759.631762948109</v>
      </c>
    </row>
    <row r="16" spans="2:11" ht="15.75" x14ac:dyDescent="0.25">
      <c r="B16" s="13">
        <v>2032</v>
      </c>
      <c r="C16" s="14">
        <v>9</v>
      </c>
      <c r="D16" s="25">
        <f t="shared" si="2"/>
        <v>20800</v>
      </c>
      <c r="E16" s="19">
        <f t="shared" si="1"/>
        <v>27730.78757450189</v>
      </c>
      <c r="F16" s="24">
        <f t="shared" si="0"/>
        <v>27730.787574501883</v>
      </c>
    </row>
    <row r="17" spans="2:6" ht="15.75" x14ac:dyDescent="0.25">
      <c r="B17" s="13">
        <v>2033</v>
      </c>
      <c r="C17" s="14">
        <v>10</v>
      </c>
      <c r="D17" s="25">
        <f t="shared" si="2"/>
        <v>22000</v>
      </c>
      <c r="E17" s="19">
        <f t="shared" si="1"/>
        <v>31058.482083442119</v>
      </c>
      <c r="F17" s="24">
        <f t="shared" si="0"/>
        <v>31058.482083442112</v>
      </c>
    </row>
    <row r="18" spans="2:6" ht="15.75" x14ac:dyDescent="0.25">
      <c r="B18" s="13">
        <v>2034</v>
      </c>
      <c r="C18" s="14">
        <v>11</v>
      </c>
      <c r="D18" s="25">
        <f t="shared" si="2"/>
        <v>23200</v>
      </c>
      <c r="E18" s="19">
        <f t="shared" si="1"/>
        <v>34785.499933455176</v>
      </c>
      <c r="F18" s="24">
        <f t="shared" si="0"/>
        <v>34785.499933455169</v>
      </c>
    </row>
    <row r="19" spans="2:6" ht="15.75" x14ac:dyDescent="0.25">
      <c r="B19" s="13">
        <v>2035</v>
      </c>
      <c r="C19" s="14">
        <v>12</v>
      </c>
      <c r="D19" s="25">
        <f t="shared" si="2"/>
        <v>24400</v>
      </c>
      <c r="E19" s="19">
        <f t="shared" si="1"/>
        <v>38959.7599254698</v>
      </c>
      <c r="F19" s="24">
        <f t="shared" si="0"/>
        <v>38959.759925469785</v>
      </c>
    </row>
    <row r="20" spans="2:6" ht="15.75" x14ac:dyDescent="0.25">
      <c r="B20" s="13">
        <v>2036</v>
      </c>
      <c r="C20" s="14">
        <v>13</v>
      </c>
      <c r="D20" s="25">
        <f t="shared" si="2"/>
        <v>25600</v>
      </c>
      <c r="E20" s="19">
        <f t="shared" si="1"/>
        <v>43634.931116526182</v>
      </c>
      <c r="F20" s="24">
        <f t="shared" si="0"/>
        <v>43634.931116526168</v>
      </c>
    </row>
    <row r="21" spans="2:6" ht="15.75" x14ac:dyDescent="0.25">
      <c r="B21" s="13">
        <v>2037</v>
      </c>
      <c r="C21" s="14">
        <v>14</v>
      </c>
      <c r="D21" s="25">
        <f t="shared" si="2"/>
        <v>26799.999999999996</v>
      </c>
      <c r="E21" s="19">
        <f t="shared" si="1"/>
        <v>48871.122850509331</v>
      </c>
      <c r="F21" s="24">
        <f t="shared" si="0"/>
        <v>48871.122850509317</v>
      </c>
    </row>
    <row r="22" spans="2:6" ht="15.75" x14ac:dyDescent="0.25">
      <c r="B22" s="13">
        <v>2038</v>
      </c>
      <c r="C22" s="14">
        <v>15</v>
      </c>
      <c r="D22" s="25">
        <f t="shared" si="2"/>
        <v>28000</v>
      </c>
      <c r="E22" s="19">
        <f t="shared" si="1"/>
        <v>54735.657592570453</v>
      </c>
      <c r="F22" s="24">
        <f t="shared" si="0"/>
        <v>54735.657592570431</v>
      </c>
    </row>
    <row r="23" spans="2:6" ht="15.75" x14ac:dyDescent="0.25">
      <c r="B23" s="13">
        <v>2039</v>
      </c>
      <c r="C23" s="14">
        <v>16</v>
      </c>
      <c r="D23" s="25">
        <f t="shared" si="2"/>
        <v>29200</v>
      </c>
      <c r="E23" s="19">
        <f t="shared" si="1"/>
        <v>61303.93650367891</v>
      </c>
      <c r="F23" s="24">
        <f t="shared" si="0"/>
        <v>61303.936503678888</v>
      </c>
    </row>
    <row r="24" spans="2:6" ht="15.75" x14ac:dyDescent="0.25">
      <c r="B24" s="13">
        <v>2040</v>
      </c>
      <c r="C24" s="14">
        <v>17</v>
      </c>
      <c r="D24" s="25">
        <f t="shared" si="2"/>
        <v>30400</v>
      </c>
      <c r="E24" s="19">
        <f t="shared" si="1"/>
        <v>68660.408884120392</v>
      </c>
      <c r="F24" s="24">
        <f t="shared" si="0"/>
        <v>68660.408884120363</v>
      </c>
    </row>
    <row r="25" spans="2:6" ht="15.75" x14ac:dyDescent="0.25">
      <c r="B25" s="13">
        <v>2041</v>
      </c>
      <c r="C25" s="14">
        <v>18</v>
      </c>
      <c r="D25" s="25">
        <f t="shared" si="2"/>
        <v>31600</v>
      </c>
      <c r="E25" s="19">
        <f t="shared" si="1"/>
        <v>76899.657950214852</v>
      </c>
      <c r="F25" s="24">
        <f t="shared" si="0"/>
        <v>76899.657950214809</v>
      </c>
    </row>
    <row r="26" spans="2:6" ht="15.75" x14ac:dyDescent="0.25">
      <c r="B26" s="13">
        <v>2042</v>
      </c>
      <c r="C26" s="14">
        <v>19</v>
      </c>
      <c r="D26" s="25">
        <f t="shared" si="2"/>
        <v>32800</v>
      </c>
      <c r="E26" s="19">
        <f t="shared" si="1"/>
        <v>86127.61690424064</v>
      </c>
      <c r="F26" s="24">
        <f t="shared" si="0"/>
        <v>86127.616904240596</v>
      </c>
    </row>
    <row r="27" spans="2:6" ht="15.75" x14ac:dyDescent="0.25">
      <c r="B27" s="13">
        <v>2043</v>
      </c>
      <c r="C27" s="14">
        <v>20</v>
      </c>
      <c r="D27" s="25">
        <f t="shared" si="2"/>
        <v>34000</v>
      </c>
      <c r="E27" s="19">
        <f t="shared" si="1"/>
        <v>96462.930932749528</v>
      </c>
      <c r="F27" s="24">
        <f t="shared" si="0"/>
        <v>96462.93093274947</v>
      </c>
    </row>
    <row r="28" spans="2:6" ht="25.15" customHeight="1" x14ac:dyDescent="0.25">
      <c r="D28" s="20"/>
      <c r="E28" s="26"/>
      <c r="F28" s="26"/>
    </row>
    <row r="29" spans="2:6" ht="25.15" customHeight="1" x14ac:dyDescent="0.25">
      <c r="D29" s="20"/>
      <c r="E29" s="26"/>
      <c r="F29" s="26"/>
    </row>
    <row r="30" spans="2:6" ht="25.15" customHeight="1" x14ac:dyDescent="0.25">
      <c r="D30" s="20"/>
      <c r="E30" s="26"/>
      <c r="F30" s="26"/>
    </row>
    <row r="31" spans="2:6" ht="25.15" customHeight="1" x14ac:dyDescent="0.25">
      <c r="D31" s="20"/>
      <c r="E31" s="26"/>
      <c r="F31" s="26"/>
    </row>
    <row r="32" spans="2:6" ht="25.15" customHeight="1" x14ac:dyDescent="0.25">
      <c r="D32" s="20"/>
      <c r="E32" s="26"/>
      <c r="F32" s="26"/>
    </row>
    <row r="33" spans="4:6" ht="25.15" customHeight="1" x14ac:dyDescent="0.25">
      <c r="D33" s="20"/>
      <c r="E33" s="26"/>
      <c r="F33" s="26"/>
    </row>
    <row r="34" spans="4:6" ht="25.15" customHeight="1" x14ac:dyDescent="0.25">
      <c r="D34" s="20"/>
      <c r="E34" s="26"/>
      <c r="F34" s="26"/>
    </row>
    <row r="35" spans="4:6" ht="25.15" customHeight="1" x14ac:dyDescent="0.25">
      <c r="D35" s="20"/>
      <c r="E35" s="26"/>
      <c r="F35" s="26"/>
    </row>
    <row r="36" spans="4:6" ht="25.15" customHeight="1" x14ac:dyDescent="0.25">
      <c r="D36" s="20"/>
      <c r="E36" s="26"/>
      <c r="F36" s="26"/>
    </row>
    <row r="37" spans="4:6" ht="25.15" customHeight="1" x14ac:dyDescent="0.25">
      <c r="D37" s="20"/>
      <c r="E37" s="26"/>
      <c r="F37" s="26"/>
    </row>
    <row r="38" spans="4:6" ht="25.15" customHeight="1" x14ac:dyDescent="0.25">
      <c r="D38" s="20"/>
      <c r="E38" s="26"/>
      <c r="F38" s="26"/>
    </row>
    <row r="39" spans="4:6" ht="25.15" customHeight="1" x14ac:dyDescent="0.25">
      <c r="D39" s="20"/>
      <c r="E39" s="26"/>
      <c r="F39" s="26"/>
    </row>
    <row r="40" spans="4:6" ht="25.15" customHeight="1" x14ac:dyDescent="0.25">
      <c r="D40" s="20"/>
      <c r="E40" s="26"/>
      <c r="F40" s="26"/>
    </row>
    <row r="41" spans="4:6" ht="25.15" customHeight="1" x14ac:dyDescent="0.25">
      <c r="D41" s="20"/>
      <c r="E41" s="26"/>
      <c r="F41" s="26"/>
    </row>
    <row r="42" spans="4:6" ht="25.15" customHeight="1" x14ac:dyDescent="0.25">
      <c r="D42" s="20"/>
      <c r="E42" s="26"/>
      <c r="F42" s="26"/>
    </row>
    <row r="43" spans="4:6" ht="25.15" customHeight="1" x14ac:dyDescent="0.25">
      <c r="D43" s="20"/>
      <c r="E43" s="26"/>
      <c r="F43" s="26"/>
    </row>
    <row r="44" spans="4:6" ht="25.15" customHeight="1" x14ac:dyDescent="0.25">
      <c r="D44" s="20"/>
      <c r="E44" s="26"/>
      <c r="F44" s="26"/>
    </row>
    <row r="45" spans="4:6" ht="25.15" customHeight="1" x14ac:dyDescent="0.25">
      <c r="D45" s="20"/>
      <c r="E45" s="26"/>
      <c r="F45" s="26"/>
    </row>
    <row r="46" spans="4:6" ht="25.15" customHeight="1" x14ac:dyDescent="0.25">
      <c r="D46" s="20"/>
      <c r="E46" s="26"/>
      <c r="F46" s="26"/>
    </row>
    <row r="47" spans="4:6" ht="25.15" customHeight="1" x14ac:dyDescent="0.25">
      <c r="D47" s="26"/>
      <c r="E47" s="26"/>
    </row>
    <row r="48" spans="4:6" ht="25.15" customHeight="1" x14ac:dyDescent="0.25">
      <c r="D48" s="26"/>
      <c r="E48" s="26"/>
    </row>
    <row r="49" spans="4:5" ht="25.15" customHeight="1" x14ac:dyDescent="0.25">
      <c r="D49" s="26"/>
      <c r="E49" s="26"/>
    </row>
    <row r="50" spans="4:5" ht="25.15" customHeight="1" x14ac:dyDescent="0.25">
      <c r="D50" s="26"/>
      <c r="E50" s="26"/>
    </row>
    <row r="51" spans="4:5" ht="25.15" customHeight="1" x14ac:dyDescent="0.25">
      <c r="D51" s="26"/>
      <c r="E51" s="26"/>
    </row>
    <row r="52" spans="4:5" ht="25.15" customHeight="1" x14ac:dyDescent="0.25">
      <c r="D52" s="26"/>
      <c r="E52" s="26"/>
    </row>
    <row r="53" spans="4:5" ht="25.15" customHeight="1" x14ac:dyDescent="0.25">
      <c r="D53" s="26"/>
      <c r="E53" s="26"/>
    </row>
    <row r="54" spans="4:5" ht="25.15" customHeight="1" x14ac:dyDescent="0.25">
      <c r="D54" s="26"/>
      <c r="E54" s="26"/>
    </row>
    <row r="55" spans="4:5" ht="25.15" customHeight="1" x14ac:dyDescent="0.25">
      <c r="D55" s="26"/>
      <c r="E55" s="26"/>
    </row>
    <row r="56" spans="4:5" ht="25.15" customHeight="1" x14ac:dyDescent="0.25">
      <c r="D56" s="26"/>
      <c r="E56" s="26"/>
    </row>
    <row r="57" spans="4:5" ht="25.15" customHeight="1" x14ac:dyDescent="0.25">
      <c r="D57" s="26"/>
      <c r="E57" s="26"/>
    </row>
    <row r="58" spans="4:5" ht="25.15" customHeight="1" x14ac:dyDescent="0.25">
      <c r="D58" s="26"/>
      <c r="E58" s="26"/>
    </row>
    <row r="59" spans="4:5" ht="25.15" customHeight="1" x14ac:dyDescent="0.25">
      <c r="D59" s="26"/>
      <c r="E59" s="26"/>
    </row>
    <row r="60" spans="4:5" ht="25.15" customHeight="1" x14ac:dyDescent="0.25">
      <c r="D60" s="26"/>
      <c r="E60" s="26"/>
    </row>
    <row r="61" spans="4:5" ht="25.15" customHeight="1" x14ac:dyDescent="0.25">
      <c r="D61" s="26"/>
      <c r="E61" s="26"/>
    </row>
    <row r="62" spans="4:5" ht="25.15" customHeight="1" x14ac:dyDescent="0.25">
      <c r="D62" s="26"/>
      <c r="E62" s="26"/>
    </row>
    <row r="63" spans="4:5" ht="25.15" customHeight="1" x14ac:dyDescent="0.25">
      <c r="D63" s="26"/>
      <c r="E63" s="26"/>
    </row>
    <row r="64" spans="4:5" ht="25.15" customHeight="1" x14ac:dyDescent="0.25">
      <c r="D64" s="26"/>
      <c r="E64" s="26"/>
    </row>
    <row r="65" spans="4:5" ht="25.15" customHeight="1" x14ac:dyDescent="0.25">
      <c r="D65" s="26"/>
      <c r="E65" s="26"/>
    </row>
    <row r="66" spans="4:5" ht="25.15" customHeight="1" x14ac:dyDescent="0.25">
      <c r="D66" s="26"/>
      <c r="E66" s="26"/>
    </row>
    <row r="67" spans="4:5" ht="25.15" customHeight="1" x14ac:dyDescent="0.25">
      <c r="D67" s="26"/>
      <c r="E67" s="26"/>
    </row>
    <row r="68" spans="4:5" ht="25.15" customHeight="1" x14ac:dyDescent="0.25">
      <c r="D68" s="26"/>
      <c r="E68" s="26"/>
    </row>
    <row r="69" spans="4:5" ht="25.15" customHeight="1" x14ac:dyDescent="0.25">
      <c r="D69" s="26"/>
      <c r="E69" s="26"/>
    </row>
    <row r="70" spans="4:5" ht="25.15" customHeight="1" x14ac:dyDescent="0.25">
      <c r="D70" s="26"/>
      <c r="E70" s="26"/>
    </row>
    <row r="71" spans="4:5" ht="25.15" customHeight="1" x14ac:dyDescent="0.25">
      <c r="D71" s="26"/>
      <c r="E71" s="26"/>
    </row>
    <row r="72" spans="4:5" ht="25.15" customHeight="1" x14ac:dyDescent="0.25">
      <c r="D72" s="26"/>
      <c r="E72" s="26"/>
    </row>
    <row r="73" spans="4:5" ht="25.15" customHeight="1" x14ac:dyDescent="0.25">
      <c r="D73" s="26"/>
      <c r="E73" s="26"/>
    </row>
    <row r="74" spans="4:5" ht="25.15" customHeight="1" x14ac:dyDescent="0.25">
      <c r="D74" s="26"/>
      <c r="E74" s="26"/>
    </row>
    <row r="75" spans="4:5" ht="25.15" customHeight="1" x14ac:dyDescent="0.25">
      <c r="D75" s="26"/>
      <c r="E75" s="26"/>
    </row>
    <row r="76" spans="4:5" ht="25.15" customHeight="1" x14ac:dyDescent="0.25">
      <c r="D76" s="26"/>
      <c r="E76" s="26"/>
    </row>
    <row r="77" spans="4:5" ht="25.15" customHeight="1" x14ac:dyDescent="0.25">
      <c r="D77" s="26"/>
      <c r="E77" s="26"/>
    </row>
    <row r="78" spans="4:5" ht="25.15" customHeight="1" x14ac:dyDescent="0.25">
      <c r="D78" s="26"/>
      <c r="E78" s="26"/>
    </row>
    <row r="79" spans="4:5" ht="25.15" customHeight="1" x14ac:dyDescent="0.25">
      <c r="D79" s="26"/>
      <c r="E79" s="26"/>
    </row>
    <row r="80" spans="4:5" ht="25.15" customHeight="1" x14ac:dyDescent="0.25">
      <c r="D80" s="26"/>
      <c r="E80" s="26"/>
    </row>
    <row r="81" spans="4:5" ht="25.15" customHeight="1" x14ac:dyDescent="0.25">
      <c r="D81" s="26"/>
      <c r="E81" s="26"/>
    </row>
    <row r="82" spans="4:5" ht="25.15" customHeight="1" x14ac:dyDescent="0.25">
      <c r="D82" s="26"/>
      <c r="E82" s="26"/>
    </row>
    <row r="83" spans="4:5" ht="25.15" customHeight="1" x14ac:dyDescent="0.25">
      <c r="D83" s="26"/>
      <c r="E83" s="26"/>
    </row>
    <row r="84" spans="4:5" ht="25.15" customHeight="1" x14ac:dyDescent="0.25">
      <c r="D84" s="26"/>
      <c r="E84" s="26"/>
    </row>
    <row r="85" spans="4:5" ht="25.15" customHeight="1" x14ac:dyDescent="0.25">
      <c r="D85" s="26"/>
      <c r="E85" s="26"/>
    </row>
    <row r="86" spans="4:5" ht="25.15" customHeight="1" x14ac:dyDescent="0.25">
      <c r="D86" s="26"/>
      <c r="E86" s="26"/>
    </row>
    <row r="87" spans="4:5" ht="25.15" customHeight="1" x14ac:dyDescent="0.25">
      <c r="D87" s="26"/>
      <c r="E87" s="26"/>
    </row>
    <row r="88" spans="4:5" ht="25.15" customHeight="1" x14ac:dyDescent="0.25">
      <c r="D88" s="26"/>
      <c r="E88" s="26"/>
    </row>
    <row r="89" spans="4:5" ht="25.15" customHeight="1" x14ac:dyDescent="0.25">
      <c r="D89" s="26"/>
      <c r="E89" s="26"/>
    </row>
    <row r="90" spans="4:5" ht="25.15" customHeight="1" x14ac:dyDescent="0.25">
      <c r="D90" s="26"/>
      <c r="E90" s="26"/>
    </row>
    <row r="91" spans="4:5" ht="25.15" customHeight="1" x14ac:dyDescent="0.25">
      <c r="D91" s="26"/>
      <c r="E91" s="26"/>
    </row>
    <row r="92" spans="4:5" ht="25.15" customHeight="1" x14ac:dyDescent="0.25">
      <c r="D92" s="26"/>
      <c r="E92" s="26"/>
    </row>
    <row r="93" spans="4:5" ht="25.15" customHeight="1" x14ac:dyDescent="0.25">
      <c r="D93" s="26"/>
      <c r="E93" s="26"/>
    </row>
    <row r="94" spans="4:5" ht="25.15" customHeight="1" x14ac:dyDescent="0.25">
      <c r="D94" s="26"/>
      <c r="E94" s="26"/>
    </row>
    <row r="95" spans="4:5" ht="25.15" customHeight="1" x14ac:dyDescent="0.25">
      <c r="D95" s="26"/>
      <c r="E95" s="26"/>
    </row>
    <row r="96" spans="4:5" ht="25.15" customHeight="1" x14ac:dyDescent="0.25">
      <c r="D96" s="26"/>
      <c r="E96" s="26"/>
    </row>
    <row r="97" spans="4:5" ht="25.15" customHeight="1" x14ac:dyDescent="0.25">
      <c r="D97" s="26"/>
      <c r="E97" s="26"/>
    </row>
    <row r="98" spans="4:5" ht="25.15" customHeight="1" x14ac:dyDescent="0.25">
      <c r="D98" s="26"/>
      <c r="E98" s="26"/>
    </row>
    <row r="99" spans="4:5" ht="25.15" customHeight="1" x14ac:dyDescent="0.25">
      <c r="D99" s="26"/>
      <c r="E99" s="26"/>
    </row>
    <row r="100" spans="4:5" ht="25.15" customHeight="1" x14ac:dyDescent="0.25">
      <c r="D100" s="26"/>
      <c r="E100" s="26"/>
    </row>
    <row r="101" spans="4:5" ht="25.15" customHeight="1" x14ac:dyDescent="0.25">
      <c r="D101" s="26"/>
      <c r="E101" s="26"/>
    </row>
    <row r="102" spans="4:5" ht="25.15" customHeight="1" x14ac:dyDescent="0.25">
      <c r="D102" s="26"/>
      <c r="E102" s="26"/>
    </row>
    <row r="103" spans="4:5" ht="25.15" customHeight="1" x14ac:dyDescent="0.25">
      <c r="D103" s="26"/>
      <c r="E103" s="26"/>
    </row>
    <row r="104" spans="4:5" ht="25.15" customHeight="1" x14ac:dyDescent="0.25">
      <c r="D104" s="26"/>
      <c r="E104" s="26"/>
    </row>
    <row r="105" spans="4:5" ht="25.15" customHeight="1" x14ac:dyDescent="0.25">
      <c r="D105" s="26"/>
      <c r="E105" s="26"/>
    </row>
    <row r="106" spans="4:5" ht="25.15" customHeight="1" x14ac:dyDescent="0.25">
      <c r="D106" s="26"/>
      <c r="E106" s="26"/>
    </row>
    <row r="107" spans="4:5" ht="25.15" customHeight="1" x14ac:dyDescent="0.25">
      <c r="D107" s="26"/>
      <c r="E107" s="26"/>
    </row>
    <row r="108" spans="4:5" ht="25.15" customHeight="1" x14ac:dyDescent="0.25">
      <c r="D108" s="26"/>
      <c r="E108" s="26"/>
    </row>
    <row r="109" spans="4:5" ht="25.15" customHeight="1" x14ac:dyDescent="0.25">
      <c r="D109" s="26"/>
      <c r="E109" s="26"/>
    </row>
    <row r="110" spans="4:5" ht="25.15" customHeight="1" x14ac:dyDescent="0.25">
      <c r="D110" s="26"/>
      <c r="E110" s="26"/>
    </row>
    <row r="111" spans="4:5" ht="25.15" customHeight="1" x14ac:dyDescent="0.25">
      <c r="D111" s="26"/>
      <c r="E111" s="26"/>
    </row>
    <row r="112" spans="4:5" ht="25.15" customHeight="1" x14ac:dyDescent="0.25">
      <c r="D112" s="26"/>
      <c r="E112" s="26"/>
    </row>
    <row r="113" spans="4:5" ht="25.15" customHeight="1" x14ac:dyDescent="0.25">
      <c r="D113" s="26"/>
      <c r="E113" s="26"/>
    </row>
    <row r="114" spans="4:5" ht="25.15" customHeight="1" x14ac:dyDescent="0.25">
      <c r="D114" s="26"/>
      <c r="E114" s="26"/>
    </row>
    <row r="115" spans="4:5" ht="25.15" customHeight="1" x14ac:dyDescent="0.25">
      <c r="D115" s="26"/>
      <c r="E115" s="26"/>
    </row>
    <row r="116" spans="4:5" ht="25.15" customHeight="1" x14ac:dyDescent="0.25">
      <c r="D116" s="26"/>
      <c r="E116" s="26"/>
    </row>
    <row r="117" spans="4:5" ht="25.15" customHeight="1" x14ac:dyDescent="0.25">
      <c r="D117" s="26"/>
      <c r="E117" s="26"/>
    </row>
    <row r="118" spans="4:5" ht="25.15" customHeight="1" x14ac:dyDescent="0.25">
      <c r="D118" s="26"/>
      <c r="E118" s="26"/>
    </row>
    <row r="119" spans="4:5" ht="25.15" customHeight="1" x14ac:dyDescent="0.25">
      <c r="D119" s="26"/>
      <c r="E119" s="26"/>
    </row>
    <row r="120" spans="4:5" ht="25.15" customHeight="1" x14ac:dyDescent="0.25">
      <c r="D120" s="26"/>
      <c r="E120" s="26"/>
    </row>
    <row r="121" spans="4:5" ht="25.15" customHeight="1" x14ac:dyDescent="0.25">
      <c r="D121" s="26"/>
      <c r="E121" s="26"/>
    </row>
    <row r="122" spans="4:5" ht="25.15" customHeight="1" x14ac:dyDescent="0.25">
      <c r="D122" s="26"/>
      <c r="E122" s="26"/>
    </row>
    <row r="123" spans="4:5" ht="25.15" customHeight="1" x14ac:dyDescent="0.25">
      <c r="D123" s="26"/>
      <c r="E123" s="26"/>
    </row>
    <row r="124" spans="4:5" ht="25.15" customHeight="1" x14ac:dyDescent="0.25">
      <c r="D124" s="26"/>
      <c r="E124" s="26"/>
    </row>
    <row r="125" spans="4:5" ht="25.15" customHeight="1" x14ac:dyDescent="0.25">
      <c r="D125" s="26"/>
      <c r="E125" s="26"/>
    </row>
    <row r="126" spans="4:5" ht="25.15" customHeight="1" x14ac:dyDescent="0.25">
      <c r="D126" s="26"/>
      <c r="E126" s="26"/>
    </row>
    <row r="128" spans="4:5" ht="25.15" customHeight="1" x14ac:dyDescent="0.25">
      <c r="D128" s="26"/>
      <c r="E128" s="26"/>
    </row>
    <row r="129" spans="4:5" ht="25.15" customHeight="1" x14ac:dyDescent="0.25">
      <c r="D129" s="26"/>
      <c r="E129" s="26"/>
    </row>
    <row r="130" spans="4:5" ht="25.15" customHeight="1" x14ac:dyDescent="0.25">
      <c r="D130" s="26"/>
      <c r="E130" s="26"/>
    </row>
    <row r="131" spans="4:5" ht="25.15" customHeight="1" x14ac:dyDescent="0.25">
      <c r="D131" s="26"/>
      <c r="E131" s="26"/>
    </row>
    <row r="132" spans="4:5" ht="25.15" customHeight="1" x14ac:dyDescent="0.25">
      <c r="D132" s="26"/>
      <c r="E132" s="26"/>
    </row>
    <row r="133" spans="4:5" ht="25.15" customHeight="1" x14ac:dyDescent="0.25">
      <c r="D133" s="26"/>
      <c r="E133" s="26"/>
    </row>
    <row r="134" spans="4:5" ht="25.15" customHeight="1" x14ac:dyDescent="0.25">
      <c r="D134" s="26"/>
      <c r="E134" s="26"/>
    </row>
    <row r="135" spans="4:5" ht="25.15" customHeight="1" x14ac:dyDescent="0.25">
      <c r="D135" s="26"/>
      <c r="E135" s="26"/>
    </row>
    <row r="136" spans="4:5" ht="25.15" customHeight="1" x14ac:dyDescent="0.25">
      <c r="D136" s="26"/>
      <c r="E136" s="26"/>
    </row>
    <row r="137" spans="4:5" ht="25.15" customHeight="1" x14ac:dyDescent="0.25">
      <c r="D137" s="26"/>
      <c r="E137" s="26"/>
    </row>
    <row r="138" spans="4:5" ht="25.15" customHeight="1" x14ac:dyDescent="0.25">
      <c r="D138" s="26"/>
      <c r="E138" s="26"/>
    </row>
    <row r="139" spans="4:5" ht="25.15" customHeight="1" x14ac:dyDescent="0.25">
      <c r="D139" s="26"/>
      <c r="E139" s="26"/>
    </row>
    <row r="140" spans="4:5" ht="25.15" customHeight="1" x14ac:dyDescent="0.25">
      <c r="D140" s="26"/>
      <c r="E140" s="26"/>
    </row>
    <row r="141" spans="4:5" ht="25.15" customHeight="1" x14ac:dyDescent="0.25">
      <c r="D141" s="26"/>
      <c r="E141" s="26"/>
    </row>
    <row r="142" spans="4:5" ht="25.15" customHeight="1" x14ac:dyDescent="0.25">
      <c r="D142" s="26"/>
      <c r="E142" s="26"/>
    </row>
    <row r="143" spans="4:5" ht="25.15" customHeight="1" x14ac:dyDescent="0.25">
      <c r="D143" s="26"/>
      <c r="E143" s="26"/>
    </row>
    <row r="144" spans="4:5" ht="25.15" customHeight="1" x14ac:dyDescent="0.25">
      <c r="D144" s="26"/>
      <c r="E144" s="26"/>
    </row>
    <row r="145" spans="4:5" ht="25.15" customHeight="1" x14ac:dyDescent="0.25">
      <c r="D145" s="26"/>
      <c r="E145" s="26"/>
    </row>
    <row r="146" spans="4:5" ht="25.15" customHeight="1" x14ac:dyDescent="0.25">
      <c r="D146" s="26"/>
      <c r="E146" s="26"/>
    </row>
    <row r="147" spans="4:5" ht="25.15" customHeight="1" x14ac:dyDescent="0.25">
      <c r="D147" s="26"/>
      <c r="E147" s="26"/>
    </row>
    <row r="148" spans="4:5" ht="25.15" customHeight="1" x14ac:dyDescent="0.25">
      <c r="D148" s="26"/>
      <c r="E148" s="26"/>
    </row>
    <row r="149" spans="4:5" ht="25.15" customHeight="1" x14ac:dyDescent="0.25">
      <c r="D149" s="26"/>
      <c r="E149" s="26"/>
    </row>
    <row r="150" spans="4:5" ht="25.15" customHeight="1" x14ac:dyDescent="0.25">
      <c r="D150" s="26"/>
      <c r="E150" s="26"/>
    </row>
    <row r="151" spans="4:5" ht="25.15" customHeight="1" x14ac:dyDescent="0.25">
      <c r="D151" s="26"/>
      <c r="E151" s="26"/>
    </row>
    <row r="152" spans="4:5" ht="25.15" customHeight="1" x14ac:dyDescent="0.25">
      <c r="D152" s="26"/>
      <c r="E152" s="26"/>
    </row>
    <row r="153" spans="4:5" ht="25.15" customHeight="1" x14ac:dyDescent="0.25">
      <c r="D153" s="26"/>
      <c r="E153" s="26"/>
    </row>
    <row r="154" spans="4:5" ht="25.15" customHeight="1" x14ac:dyDescent="0.25">
      <c r="D154" s="26"/>
      <c r="E154" s="26"/>
    </row>
    <row r="155" spans="4:5" ht="25.15" customHeight="1" x14ac:dyDescent="0.25">
      <c r="D155" s="26"/>
      <c r="E155" s="26"/>
    </row>
    <row r="156" spans="4:5" ht="25.15" customHeight="1" x14ac:dyDescent="0.25">
      <c r="D156" s="26"/>
      <c r="E156" s="26"/>
    </row>
    <row r="157" spans="4:5" ht="25.15" customHeight="1" x14ac:dyDescent="0.25">
      <c r="D157" s="26"/>
      <c r="E157" s="26"/>
    </row>
    <row r="158" spans="4:5" ht="25.15" customHeight="1" x14ac:dyDescent="0.25">
      <c r="D158" s="26"/>
      <c r="E158" s="26"/>
    </row>
    <row r="159" spans="4:5" ht="25.15" customHeight="1" x14ac:dyDescent="0.25">
      <c r="D159" s="26"/>
      <c r="E159" s="26"/>
    </row>
    <row r="160" spans="4:5" ht="25.15" customHeight="1" x14ac:dyDescent="0.25">
      <c r="D160" s="26"/>
      <c r="E160" s="26"/>
    </row>
    <row r="161" spans="4:5" ht="25.15" customHeight="1" x14ac:dyDescent="0.25">
      <c r="D161" s="26"/>
      <c r="E161" s="26"/>
    </row>
    <row r="162" spans="4:5" ht="25.15" customHeight="1" x14ac:dyDescent="0.25">
      <c r="D162" s="26"/>
      <c r="E162" s="26"/>
    </row>
    <row r="163" spans="4:5" ht="25.15" customHeight="1" x14ac:dyDescent="0.25">
      <c r="D163" s="26"/>
      <c r="E163" s="26"/>
    </row>
    <row r="164" spans="4:5" ht="25.15" customHeight="1" x14ac:dyDescent="0.25">
      <c r="D164" s="26"/>
      <c r="E164" s="26"/>
    </row>
    <row r="165" spans="4:5" ht="25.15" customHeight="1" x14ac:dyDescent="0.25">
      <c r="D165" s="26"/>
      <c r="E165" s="26"/>
    </row>
    <row r="166" spans="4:5" ht="25.15" customHeight="1" x14ac:dyDescent="0.25">
      <c r="D166" s="26"/>
      <c r="E166" s="26"/>
    </row>
    <row r="167" spans="4:5" ht="25.15" customHeight="1" x14ac:dyDescent="0.25">
      <c r="D167" s="26"/>
      <c r="E167" s="26"/>
    </row>
    <row r="168" spans="4:5" ht="25.15" customHeight="1" x14ac:dyDescent="0.25">
      <c r="D168" s="26"/>
      <c r="E168" s="26"/>
    </row>
    <row r="169" spans="4:5" ht="25.15" customHeight="1" x14ac:dyDescent="0.25">
      <c r="D169" s="26"/>
      <c r="E169" s="26"/>
    </row>
    <row r="170" spans="4:5" ht="25.15" customHeight="1" x14ac:dyDescent="0.25">
      <c r="D170" s="26"/>
      <c r="E170" s="26"/>
    </row>
    <row r="171" spans="4:5" ht="25.15" customHeight="1" x14ac:dyDescent="0.25">
      <c r="D171" s="26"/>
      <c r="E171" s="26"/>
    </row>
    <row r="172" spans="4:5" ht="25.15" customHeight="1" x14ac:dyDescent="0.25">
      <c r="D172" s="26"/>
      <c r="E172" s="26"/>
    </row>
    <row r="173" spans="4:5" ht="25.15" customHeight="1" x14ac:dyDescent="0.25">
      <c r="D173" s="26"/>
      <c r="E173" s="26"/>
    </row>
    <row r="174" spans="4:5" ht="25.15" customHeight="1" x14ac:dyDescent="0.25">
      <c r="D174" s="26"/>
      <c r="E174" s="26"/>
    </row>
    <row r="175" spans="4:5" ht="25.15" customHeight="1" x14ac:dyDescent="0.25">
      <c r="D175" s="26"/>
      <c r="E175" s="26"/>
    </row>
    <row r="176" spans="4:5" ht="25.15" customHeight="1" x14ac:dyDescent="0.25">
      <c r="D176" s="26"/>
      <c r="E176" s="26"/>
    </row>
    <row r="177" spans="4:5" ht="25.15" customHeight="1" x14ac:dyDescent="0.25">
      <c r="D177" s="26"/>
      <c r="E177" s="26"/>
    </row>
    <row r="178" spans="4:5" ht="25.15" customHeight="1" x14ac:dyDescent="0.25">
      <c r="D178" s="26"/>
      <c r="E178" s="26"/>
    </row>
    <row r="179" spans="4:5" ht="25.15" customHeight="1" x14ac:dyDescent="0.25">
      <c r="D179" s="26"/>
      <c r="E179" s="26"/>
    </row>
    <row r="180" spans="4:5" ht="25.15" customHeight="1" x14ac:dyDescent="0.25">
      <c r="D180" s="26"/>
      <c r="E180" s="26"/>
    </row>
    <row r="181" spans="4:5" ht="25.15" customHeight="1" x14ac:dyDescent="0.25">
      <c r="D181" s="26"/>
      <c r="E181" s="26"/>
    </row>
    <row r="182" spans="4:5" ht="25.15" customHeight="1" x14ac:dyDescent="0.25">
      <c r="D182" s="26"/>
      <c r="E182" s="26"/>
    </row>
    <row r="183" spans="4:5" ht="25.15" customHeight="1" x14ac:dyDescent="0.25">
      <c r="D183" s="26"/>
      <c r="E183" s="26"/>
    </row>
    <row r="184" spans="4:5" ht="25.15" customHeight="1" x14ac:dyDescent="0.25">
      <c r="D184" s="26"/>
      <c r="E184" s="26"/>
    </row>
    <row r="185" spans="4:5" ht="25.15" customHeight="1" x14ac:dyDescent="0.25">
      <c r="D185" s="26"/>
      <c r="E185" s="26"/>
    </row>
    <row r="186" spans="4:5" ht="25.15" customHeight="1" x14ac:dyDescent="0.25">
      <c r="D186" s="26"/>
      <c r="E186" s="26"/>
    </row>
    <row r="187" spans="4:5" ht="25.15" customHeight="1" x14ac:dyDescent="0.25">
      <c r="D187" s="26"/>
      <c r="E187" s="26"/>
    </row>
    <row r="188" spans="4:5" ht="25.15" customHeight="1" x14ac:dyDescent="0.25">
      <c r="D188" s="26"/>
      <c r="E188" s="26"/>
    </row>
    <row r="189" spans="4:5" ht="25.15" customHeight="1" x14ac:dyDescent="0.25">
      <c r="D189" s="26"/>
      <c r="E189" s="26"/>
    </row>
    <row r="190" spans="4:5" ht="25.15" customHeight="1" x14ac:dyDescent="0.25">
      <c r="D190" s="26"/>
      <c r="E190" s="26"/>
    </row>
    <row r="191" spans="4:5" ht="25.15" customHeight="1" x14ac:dyDescent="0.25">
      <c r="D191" s="26"/>
      <c r="E191" s="26"/>
    </row>
    <row r="192" spans="4:5" ht="25.15" customHeight="1" x14ac:dyDescent="0.25">
      <c r="D192" s="26"/>
      <c r="E192" s="26"/>
    </row>
    <row r="193" spans="4:5" ht="25.15" customHeight="1" x14ac:dyDescent="0.25">
      <c r="D193" s="26"/>
      <c r="E193" s="26"/>
    </row>
    <row r="194" spans="4:5" ht="25.15" customHeight="1" x14ac:dyDescent="0.25">
      <c r="D194" s="26"/>
      <c r="E194" s="26"/>
    </row>
    <row r="195" spans="4:5" ht="25.15" customHeight="1" x14ac:dyDescent="0.25">
      <c r="D195" s="26"/>
      <c r="E195" s="26"/>
    </row>
    <row r="196" spans="4:5" ht="25.15" customHeight="1" x14ac:dyDescent="0.25">
      <c r="D196" s="26"/>
      <c r="E196" s="26"/>
    </row>
    <row r="197" spans="4:5" ht="25.15" customHeight="1" x14ac:dyDescent="0.25">
      <c r="D197" s="26"/>
      <c r="E197" s="26"/>
    </row>
    <row r="198" spans="4:5" ht="25.15" customHeight="1" x14ac:dyDescent="0.25">
      <c r="D198" s="26"/>
      <c r="E198" s="26"/>
    </row>
    <row r="199" spans="4:5" ht="25.15" customHeight="1" x14ac:dyDescent="0.25">
      <c r="D199" s="26"/>
      <c r="E199" s="26"/>
    </row>
    <row r="200" spans="4:5" ht="25.15" customHeight="1" x14ac:dyDescent="0.25">
      <c r="D200" s="26"/>
      <c r="E200" s="26"/>
    </row>
    <row r="201" spans="4:5" ht="25.15" customHeight="1" x14ac:dyDescent="0.25">
      <c r="D201" s="26"/>
      <c r="E201" s="26"/>
    </row>
    <row r="202" spans="4:5" ht="25.15" customHeight="1" x14ac:dyDescent="0.25">
      <c r="D202" s="26"/>
      <c r="E202" s="26"/>
    </row>
    <row r="203" spans="4:5" ht="25.15" customHeight="1" x14ac:dyDescent="0.25">
      <c r="D203" s="26"/>
      <c r="E203" s="26"/>
    </row>
    <row r="204" spans="4:5" ht="25.15" customHeight="1" x14ac:dyDescent="0.25">
      <c r="D204" s="26"/>
      <c r="E204" s="26"/>
    </row>
    <row r="205" spans="4:5" ht="25.15" customHeight="1" x14ac:dyDescent="0.25">
      <c r="D205" s="26"/>
      <c r="E205" s="26"/>
    </row>
    <row r="206" spans="4:5" ht="25.15" customHeight="1" x14ac:dyDescent="0.25">
      <c r="D206" s="26"/>
      <c r="E206" s="26"/>
    </row>
    <row r="207" spans="4:5" ht="25.15" customHeight="1" x14ac:dyDescent="0.25">
      <c r="D207" s="26"/>
      <c r="E207" s="26"/>
    </row>
    <row r="208" spans="4:5" ht="25.15" customHeight="1" x14ac:dyDescent="0.25">
      <c r="D208" s="26"/>
      <c r="E208" s="26"/>
    </row>
    <row r="209" spans="4:5" ht="25.15" customHeight="1" x14ac:dyDescent="0.25">
      <c r="D209" s="26"/>
      <c r="E209" s="26"/>
    </row>
    <row r="210" spans="4:5" ht="25.15" customHeight="1" x14ac:dyDescent="0.25">
      <c r="D210" s="26"/>
      <c r="E210" s="26"/>
    </row>
    <row r="211" spans="4:5" ht="25.15" customHeight="1" x14ac:dyDescent="0.25">
      <c r="D211" s="26"/>
      <c r="E211" s="26"/>
    </row>
    <row r="212" spans="4:5" ht="25.15" customHeight="1" x14ac:dyDescent="0.25">
      <c r="D212" s="26"/>
      <c r="E212" s="26"/>
    </row>
    <row r="213" spans="4:5" ht="25.15" customHeight="1" x14ac:dyDescent="0.25">
      <c r="D213" s="26"/>
      <c r="E213" s="26"/>
    </row>
    <row r="214" spans="4:5" ht="25.15" customHeight="1" x14ac:dyDescent="0.25">
      <c r="D214" s="26"/>
      <c r="E214" s="26"/>
    </row>
    <row r="215" spans="4:5" ht="25.15" customHeight="1" x14ac:dyDescent="0.25">
      <c r="D215" s="26"/>
      <c r="E215" s="26"/>
    </row>
    <row r="216" spans="4:5" ht="25.15" customHeight="1" x14ac:dyDescent="0.25">
      <c r="D216" s="26"/>
      <c r="E216" s="26"/>
    </row>
    <row r="217" spans="4:5" ht="25.15" customHeight="1" x14ac:dyDescent="0.25">
      <c r="D217" s="26"/>
      <c r="E217" s="26"/>
    </row>
    <row r="218" spans="4:5" ht="25.15" customHeight="1" x14ac:dyDescent="0.25">
      <c r="D218" s="26"/>
      <c r="E218" s="26"/>
    </row>
    <row r="219" spans="4:5" ht="25.15" customHeight="1" x14ac:dyDescent="0.25">
      <c r="D219" s="26"/>
      <c r="E219" s="26"/>
    </row>
    <row r="220" spans="4:5" ht="25.15" customHeight="1" x14ac:dyDescent="0.25">
      <c r="D220" s="26"/>
      <c r="E220" s="26"/>
    </row>
    <row r="221" spans="4:5" ht="25.15" customHeight="1" x14ac:dyDescent="0.25">
      <c r="D221" s="26"/>
      <c r="E221" s="26"/>
    </row>
    <row r="222" spans="4:5" ht="25.15" customHeight="1" x14ac:dyDescent="0.25">
      <c r="D222" s="26"/>
      <c r="E222" s="26"/>
    </row>
    <row r="223" spans="4:5" ht="25.15" customHeight="1" x14ac:dyDescent="0.25">
      <c r="D223" s="26"/>
      <c r="E223" s="26"/>
    </row>
    <row r="224" spans="4:5" ht="25.15" customHeight="1" x14ac:dyDescent="0.25">
      <c r="D224" s="26"/>
      <c r="E224" s="26"/>
    </row>
    <row r="225" spans="4:5" ht="25.15" customHeight="1" x14ac:dyDescent="0.25">
      <c r="D225" s="26"/>
      <c r="E225" s="26"/>
    </row>
    <row r="226" spans="4:5" ht="25.15" customHeight="1" x14ac:dyDescent="0.25">
      <c r="D226" s="26"/>
      <c r="E226" s="26"/>
    </row>
    <row r="227" spans="4:5" ht="25.15" customHeight="1" x14ac:dyDescent="0.25">
      <c r="D227" s="26"/>
      <c r="E227" s="26"/>
    </row>
    <row r="228" spans="4:5" ht="25.15" customHeight="1" x14ac:dyDescent="0.25">
      <c r="D228" s="26"/>
      <c r="E228" s="26"/>
    </row>
    <row r="229" spans="4:5" ht="25.15" customHeight="1" x14ac:dyDescent="0.25">
      <c r="D229" s="26"/>
      <c r="E229" s="26"/>
    </row>
    <row r="230" spans="4:5" ht="25.15" customHeight="1" x14ac:dyDescent="0.25">
      <c r="D230" s="26"/>
      <c r="E230" s="26"/>
    </row>
    <row r="231" spans="4:5" ht="25.15" customHeight="1" x14ac:dyDescent="0.25">
      <c r="D231" s="26"/>
      <c r="E231" s="26"/>
    </row>
    <row r="232" spans="4:5" ht="25.15" customHeight="1" x14ac:dyDescent="0.25">
      <c r="D232" s="26"/>
      <c r="E232" s="26"/>
    </row>
    <row r="233" spans="4:5" ht="25.15" customHeight="1" x14ac:dyDescent="0.25">
      <c r="D233" s="26"/>
      <c r="E233" s="26"/>
    </row>
    <row r="234" spans="4:5" ht="25.15" customHeight="1" x14ac:dyDescent="0.25">
      <c r="D234" s="26"/>
      <c r="E234" s="26"/>
    </row>
    <row r="235" spans="4:5" ht="25.15" customHeight="1" x14ac:dyDescent="0.25">
      <c r="D235" s="26"/>
      <c r="E235" s="26"/>
    </row>
    <row r="236" spans="4:5" ht="25.15" customHeight="1" x14ac:dyDescent="0.25">
      <c r="D236" s="26"/>
      <c r="E236" s="26"/>
    </row>
    <row r="237" spans="4:5" ht="25.15" customHeight="1" x14ac:dyDescent="0.25">
      <c r="D237" s="26"/>
      <c r="E237" s="26"/>
    </row>
    <row r="238" spans="4:5" ht="25.15" customHeight="1" x14ac:dyDescent="0.25">
      <c r="D238" s="26"/>
      <c r="E238" s="26"/>
    </row>
    <row r="239" spans="4:5" ht="25.15" customHeight="1" x14ac:dyDescent="0.25">
      <c r="D239" s="26"/>
      <c r="E239" s="26"/>
    </row>
    <row r="240" spans="4:5" ht="25.15" customHeight="1" x14ac:dyDescent="0.25">
      <c r="D240" s="26"/>
      <c r="E240" s="26"/>
    </row>
    <row r="241" spans="4:5" ht="25.15" customHeight="1" x14ac:dyDescent="0.25">
      <c r="D241" s="26"/>
      <c r="E241" s="26"/>
    </row>
    <row r="242" spans="4:5" ht="25.15" customHeight="1" x14ac:dyDescent="0.25">
      <c r="D242" s="26"/>
      <c r="E242" s="26"/>
    </row>
    <row r="243" spans="4:5" ht="25.15" customHeight="1" x14ac:dyDescent="0.25">
      <c r="D243" s="26"/>
      <c r="E243" s="26"/>
    </row>
    <row r="244" spans="4:5" ht="25.15" customHeight="1" x14ac:dyDescent="0.25">
      <c r="D244" s="26"/>
      <c r="E244" s="26"/>
    </row>
    <row r="245" spans="4:5" ht="25.15" customHeight="1" x14ac:dyDescent="0.25">
      <c r="D245" s="26"/>
      <c r="E245" s="26"/>
    </row>
    <row r="246" spans="4:5" ht="25.15" customHeight="1" x14ac:dyDescent="0.25">
      <c r="D246" s="26"/>
      <c r="E246" s="26"/>
    </row>
    <row r="247" spans="4:5" ht="25.15" customHeight="1" x14ac:dyDescent="0.25">
      <c r="D247" s="26"/>
      <c r="E2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E2FF-019A-4023-907C-E1DEE23E8A44}">
  <dimension ref="B1:L19"/>
  <sheetViews>
    <sheetView showGridLines="0" workbookViewId="0">
      <selection activeCell="D4" sqref="D4"/>
    </sheetView>
  </sheetViews>
  <sheetFormatPr defaultColWidth="8.85546875" defaultRowHeight="15" x14ac:dyDescent="0.25"/>
  <cols>
    <col min="1" max="1" width="3.85546875" style="28" customWidth="1"/>
    <col min="2" max="2" width="15.42578125" style="32" customWidth="1"/>
    <col min="3" max="3" width="13" style="28" customWidth="1"/>
    <col min="4" max="4" width="10.5703125" style="28" customWidth="1"/>
    <col min="5" max="16384" width="8.85546875" style="28"/>
  </cols>
  <sheetData>
    <row r="1" spans="2:12" ht="21" x14ac:dyDescent="0.35">
      <c r="B1" s="27" t="s">
        <v>17</v>
      </c>
      <c r="C1" s="11"/>
      <c r="D1" s="10"/>
      <c r="E1" s="10"/>
      <c r="F1" s="12"/>
      <c r="G1" s="10"/>
      <c r="H1" s="10"/>
      <c r="I1" s="10"/>
      <c r="J1" s="10"/>
      <c r="K1" s="10"/>
      <c r="L1" s="10"/>
    </row>
    <row r="3" spans="2:12" x14ac:dyDescent="0.25">
      <c r="B3" s="29" t="s">
        <v>18</v>
      </c>
      <c r="C3" s="29" t="s">
        <v>19</v>
      </c>
      <c r="D3" s="29" t="s">
        <v>20</v>
      </c>
    </row>
    <row r="4" spans="2:12" x14ac:dyDescent="0.25">
      <c r="B4" s="30">
        <v>0.01</v>
      </c>
      <c r="C4" s="31">
        <f>72/(B4*100)</f>
        <v>72</v>
      </c>
      <c r="D4" s="31">
        <f>LOG(2)/LOG(1+B4)</f>
        <v>69.660716893574829</v>
      </c>
    </row>
    <row r="5" spans="2:12" x14ac:dyDescent="0.25">
      <c r="B5" s="30">
        <v>0.02</v>
      </c>
      <c r="C5" s="31">
        <f t="shared" ref="C5:C17" si="0">72/(B5*100)</f>
        <v>36</v>
      </c>
      <c r="D5" s="31">
        <f t="shared" ref="D5:D17" si="1">LOG(2)/LOG(1+B5)</f>
        <v>35.002788781146499</v>
      </c>
    </row>
    <row r="6" spans="2:12" x14ac:dyDescent="0.25">
      <c r="B6" s="30">
        <v>0.03</v>
      </c>
      <c r="C6" s="31">
        <f t="shared" si="0"/>
        <v>24</v>
      </c>
      <c r="D6" s="31">
        <f t="shared" si="1"/>
        <v>23.449772250437736</v>
      </c>
    </row>
    <row r="7" spans="2:12" x14ac:dyDescent="0.25">
      <c r="B7" s="30">
        <v>0.04</v>
      </c>
      <c r="C7" s="31">
        <f t="shared" si="0"/>
        <v>18</v>
      </c>
      <c r="D7" s="31">
        <f t="shared" si="1"/>
        <v>17.672987685129698</v>
      </c>
    </row>
    <row r="8" spans="2:12" x14ac:dyDescent="0.25">
      <c r="B8" s="30">
        <v>0.05</v>
      </c>
      <c r="C8" s="31">
        <f t="shared" si="0"/>
        <v>14.4</v>
      </c>
      <c r="D8" s="31">
        <f t="shared" si="1"/>
        <v>14.206699082890461</v>
      </c>
    </row>
    <row r="9" spans="2:12" x14ac:dyDescent="0.25">
      <c r="B9" s="30">
        <v>0.06</v>
      </c>
      <c r="C9" s="31">
        <f t="shared" si="0"/>
        <v>12</v>
      </c>
      <c r="D9" s="31">
        <f t="shared" si="1"/>
        <v>11.895661045941877</v>
      </c>
    </row>
    <row r="10" spans="2:12" x14ac:dyDescent="0.25">
      <c r="B10" s="30">
        <v>7.0000000000000007E-2</v>
      </c>
      <c r="C10" s="31">
        <f t="shared" si="0"/>
        <v>10.285714285714285</v>
      </c>
      <c r="D10" s="31">
        <f t="shared" si="1"/>
        <v>10.244768351058712</v>
      </c>
    </row>
    <row r="11" spans="2:12" x14ac:dyDescent="0.25">
      <c r="B11" s="30">
        <v>0.08</v>
      </c>
      <c r="C11" s="31">
        <f t="shared" si="0"/>
        <v>9</v>
      </c>
      <c r="D11" s="31">
        <f t="shared" si="1"/>
        <v>9.0064683420005878</v>
      </c>
    </row>
    <row r="12" spans="2:12" x14ac:dyDescent="0.25">
      <c r="B12" s="30">
        <v>0.09</v>
      </c>
      <c r="C12" s="31">
        <f t="shared" si="0"/>
        <v>8</v>
      </c>
      <c r="D12" s="31">
        <f t="shared" si="1"/>
        <v>8.0432317269320475</v>
      </c>
    </row>
    <row r="13" spans="2:12" x14ac:dyDescent="0.25">
      <c r="B13" s="30">
        <v>0.1</v>
      </c>
      <c r="C13" s="31">
        <f t="shared" si="0"/>
        <v>7.2</v>
      </c>
      <c r="D13" s="31">
        <f t="shared" si="1"/>
        <v>7.2725408973417123</v>
      </c>
    </row>
    <row r="14" spans="2:12" x14ac:dyDescent="0.25">
      <c r="B14" s="30">
        <v>0.15</v>
      </c>
      <c r="C14" s="31">
        <f t="shared" si="0"/>
        <v>4.8</v>
      </c>
      <c r="D14" s="31">
        <f t="shared" si="1"/>
        <v>4.9594844546403909</v>
      </c>
    </row>
    <row r="15" spans="2:12" x14ac:dyDescent="0.25">
      <c r="B15" s="30">
        <v>0.2</v>
      </c>
      <c r="C15" s="31">
        <f t="shared" si="0"/>
        <v>3.6</v>
      </c>
      <c r="D15" s="31">
        <f t="shared" si="1"/>
        <v>3.8017840169239308</v>
      </c>
    </row>
    <row r="16" spans="2:12" x14ac:dyDescent="0.25">
      <c r="B16" s="30">
        <v>0.25</v>
      </c>
      <c r="C16" s="31">
        <f t="shared" si="0"/>
        <v>2.88</v>
      </c>
      <c r="D16" s="31">
        <f t="shared" si="1"/>
        <v>3.1062837195053898</v>
      </c>
    </row>
    <row r="17" spans="2:4" x14ac:dyDescent="0.25">
      <c r="B17" s="30">
        <v>0.3</v>
      </c>
      <c r="C17" s="31">
        <f t="shared" si="0"/>
        <v>2.4</v>
      </c>
      <c r="D17" s="31">
        <f t="shared" si="1"/>
        <v>2.6419267958111399</v>
      </c>
    </row>
    <row r="19" spans="2:4" x14ac:dyDescent="0.25">
      <c r="C19" s="33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E474-56F3-42D7-8D70-B74BD67418A6}">
  <dimension ref="A1:O245"/>
  <sheetViews>
    <sheetView showGridLines="0" zoomScale="115" zoomScaleNormal="115" workbookViewId="0">
      <selection activeCell="E5" sqref="E5"/>
    </sheetView>
  </sheetViews>
  <sheetFormatPr defaultColWidth="8.85546875" defaultRowHeight="15.75" x14ac:dyDescent="0.25"/>
  <cols>
    <col min="1" max="2" width="8.85546875" style="13"/>
    <col min="3" max="4" width="14" style="13" customWidth="1"/>
    <col min="5" max="5" width="10" style="15" customWidth="1"/>
    <col min="6" max="7" width="11.42578125" style="34" customWidth="1"/>
    <col min="8" max="8" width="11.42578125" style="34" bestFit="1" customWidth="1"/>
    <col min="9" max="9" width="14.42578125" style="35" customWidth="1"/>
    <col min="10" max="10" width="10.7109375" style="35" bestFit="1" customWidth="1"/>
    <col min="11" max="15" width="8.85546875" style="35"/>
    <col min="16" max="16384" width="8.85546875" style="13"/>
  </cols>
  <sheetData>
    <row r="1" spans="1:13" x14ac:dyDescent="0.25">
      <c r="B1" s="13" t="s">
        <v>21</v>
      </c>
      <c r="C1" s="18">
        <v>0.12</v>
      </c>
      <c r="D1" s="18"/>
    </row>
    <row r="2" spans="1:13" x14ac:dyDescent="0.25">
      <c r="B2" s="13" t="s">
        <v>13</v>
      </c>
      <c r="C2" s="20">
        <v>10000</v>
      </c>
      <c r="D2" s="20"/>
    </row>
    <row r="4" spans="1:13" ht="38.65" customHeight="1" x14ac:dyDescent="0.25">
      <c r="B4" s="13" t="s">
        <v>7</v>
      </c>
      <c r="C4" s="44" t="s">
        <v>15</v>
      </c>
      <c r="D4" s="36" t="s">
        <v>16</v>
      </c>
      <c r="E4" s="37"/>
      <c r="F4" s="35" t="s">
        <v>7</v>
      </c>
      <c r="G4" s="38" t="s">
        <v>15</v>
      </c>
      <c r="H4" s="38" t="s">
        <v>16</v>
      </c>
      <c r="I4" s="38"/>
    </row>
    <row r="5" spans="1:13" x14ac:dyDescent="0.25">
      <c r="A5" s="13">
        <v>0</v>
      </c>
      <c r="B5" s="13">
        <v>2023</v>
      </c>
      <c r="C5" s="20">
        <f>$C$2+($C$1*$C$2)*(B5-2023)</f>
        <v>10000</v>
      </c>
      <c r="D5" s="20">
        <f>FV($C$1, B5-2023,0, -$C$2)</f>
        <v>10000</v>
      </c>
      <c r="E5" s="26"/>
      <c r="F5" s="39">
        <v>2023</v>
      </c>
      <c r="G5" s="40">
        <v>10000</v>
      </c>
      <c r="H5" s="40">
        <v>10000</v>
      </c>
      <c r="I5" s="41"/>
      <c r="K5" s="39"/>
      <c r="L5" s="40"/>
      <c r="M5" s="40"/>
    </row>
    <row r="6" spans="1:13" x14ac:dyDescent="0.25">
      <c r="A6" s="13">
        <v>1</v>
      </c>
      <c r="B6" s="13">
        <v>2024</v>
      </c>
      <c r="C6" s="20">
        <f t="shared" ref="C6:C25" si="0">$C$2+($C$1*$C$2)*(B6-2023)</f>
        <v>11200</v>
      </c>
      <c r="D6" s="20">
        <f t="shared" ref="D6:D25" si="1">FV($C$1, B6-2023,0, -$C$2)</f>
        <v>11200.000000000002</v>
      </c>
      <c r="E6" s="26"/>
      <c r="F6" s="39">
        <v>2024</v>
      </c>
      <c r="G6" s="40">
        <v>10000</v>
      </c>
      <c r="H6" s="40">
        <v>10000</v>
      </c>
      <c r="I6" s="41"/>
      <c r="K6" s="39"/>
      <c r="L6" s="40"/>
      <c r="M6" s="40"/>
    </row>
    <row r="7" spans="1:13" x14ac:dyDescent="0.25">
      <c r="A7" s="13">
        <v>2</v>
      </c>
      <c r="B7" s="13">
        <v>2025</v>
      </c>
      <c r="C7" s="20">
        <f t="shared" si="0"/>
        <v>12400</v>
      </c>
      <c r="D7" s="20">
        <f t="shared" si="1"/>
        <v>12544.000000000002</v>
      </c>
      <c r="E7" s="26"/>
      <c r="F7" s="39">
        <v>2024</v>
      </c>
      <c r="G7" s="40">
        <v>11200</v>
      </c>
      <c r="H7" s="40">
        <v>11200.000000000002</v>
      </c>
      <c r="I7" s="41"/>
      <c r="K7" s="39"/>
      <c r="L7" s="40"/>
      <c r="M7" s="40"/>
    </row>
    <row r="8" spans="1:13" x14ac:dyDescent="0.25">
      <c r="A8" s="13">
        <v>3</v>
      </c>
      <c r="B8" s="13">
        <v>2026</v>
      </c>
      <c r="C8" s="20">
        <f t="shared" si="0"/>
        <v>13600</v>
      </c>
      <c r="D8" s="20">
        <f t="shared" si="1"/>
        <v>14049.280000000004</v>
      </c>
      <c r="E8" s="26"/>
      <c r="F8" s="39">
        <v>2025</v>
      </c>
      <c r="G8" s="40">
        <v>11200</v>
      </c>
      <c r="H8" s="40">
        <v>11200.000000000002</v>
      </c>
      <c r="I8" s="41"/>
      <c r="K8" s="39"/>
      <c r="L8" s="40"/>
      <c r="M8" s="40"/>
    </row>
    <row r="9" spans="1:13" x14ac:dyDescent="0.25">
      <c r="A9" s="13">
        <v>4</v>
      </c>
      <c r="B9" s="13">
        <v>2027</v>
      </c>
      <c r="C9" s="20">
        <f t="shared" si="0"/>
        <v>14800</v>
      </c>
      <c r="D9" s="20">
        <f t="shared" si="1"/>
        <v>15735.193600000004</v>
      </c>
      <c r="E9" s="26"/>
      <c r="F9" s="39">
        <v>2025</v>
      </c>
      <c r="G9" s="40">
        <v>12400</v>
      </c>
      <c r="H9" s="40">
        <v>12544.000000000002</v>
      </c>
      <c r="I9" s="41"/>
      <c r="K9" s="39"/>
      <c r="L9" s="40"/>
      <c r="M9" s="40"/>
    </row>
    <row r="10" spans="1:13" x14ac:dyDescent="0.25">
      <c r="A10" s="13">
        <v>5</v>
      </c>
      <c r="B10" s="13">
        <v>2028</v>
      </c>
      <c r="C10" s="20">
        <f t="shared" si="0"/>
        <v>16000</v>
      </c>
      <c r="D10" s="20">
        <f t="shared" si="1"/>
        <v>17623.416832000006</v>
      </c>
      <c r="E10" s="26"/>
      <c r="F10" s="39">
        <v>2026</v>
      </c>
      <c r="G10" s="40">
        <v>12400</v>
      </c>
      <c r="H10" s="40">
        <v>12544.000000000002</v>
      </c>
      <c r="I10" s="41"/>
      <c r="K10" s="39"/>
      <c r="L10" s="40"/>
      <c r="M10" s="40"/>
    </row>
    <row r="11" spans="1:13" x14ac:dyDescent="0.25">
      <c r="A11" s="13">
        <v>6</v>
      </c>
      <c r="B11" s="13">
        <v>2029</v>
      </c>
      <c r="C11" s="20">
        <f t="shared" si="0"/>
        <v>17200</v>
      </c>
      <c r="D11" s="20">
        <f t="shared" si="1"/>
        <v>19738.226851840009</v>
      </c>
      <c r="E11" s="26"/>
      <c r="F11" s="39">
        <v>2026</v>
      </c>
      <c r="G11" s="40">
        <v>13600</v>
      </c>
      <c r="H11" s="40">
        <v>14049.280000000004</v>
      </c>
      <c r="I11" s="41"/>
      <c r="K11" s="39"/>
      <c r="L11" s="40"/>
      <c r="M11" s="40"/>
    </row>
    <row r="12" spans="1:13" x14ac:dyDescent="0.25">
      <c r="A12" s="13">
        <v>7</v>
      </c>
      <c r="B12" s="13">
        <v>2030</v>
      </c>
      <c r="C12" s="20">
        <f t="shared" si="0"/>
        <v>18400</v>
      </c>
      <c r="D12" s="20">
        <f t="shared" si="1"/>
        <v>22106.814074060811</v>
      </c>
      <c r="E12" s="26"/>
      <c r="F12" s="39">
        <v>2027</v>
      </c>
      <c r="G12" s="40">
        <v>13600</v>
      </c>
      <c r="H12" s="40">
        <v>14049.280000000004</v>
      </c>
      <c r="I12" s="41"/>
      <c r="K12" s="39"/>
      <c r="L12" s="40"/>
      <c r="M12" s="40"/>
    </row>
    <row r="13" spans="1:13" x14ac:dyDescent="0.25">
      <c r="A13" s="13">
        <v>8</v>
      </c>
      <c r="B13" s="13">
        <v>2031</v>
      </c>
      <c r="C13" s="20">
        <f t="shared" si="0"/>
        <v>19600</v>
      </c>
      <c r="D13" s="20">
        <f t="shared" si="1"/>
        <v>24759.631762948109</v>
      </c>
      <c r="E13" s="26"/>
      <c r="F13" s="39">
        <v>2027</v>
      </c>
      <c r="G13" s="40">
        <v>14800</v>
      </c>
      <c r="H13" s="40">
        <v>15735.193600000004</v>
      </c>
      <c r="I13" s="41"/>
      <c r="K13" s="39"/>
      <c r="L13" s="40"/>
      <c r="M13" s="40"/>
    </row>
    <row r="14" spans="1:13" x14ac:dyDescent="0.25">
      <c r="A14" s="13">
        <v>9</v>
      </c>
      <c r="B14" s="13">
        <v>2032</v>
      </c>
      <c r="C14" s="20">
        <f t="shared" si="0"/>
        <v>20800</v>
      </c>
      <c r="D14" s="20">
        <f t="shared" si="1"/>
        <v>27730.787574501883</v>
      </c>
      <c r="E14" s="26"/>
      <c r="F14" s="39">
        <v>2028</v>
      </c>
      <c r="G14" s="40">
        <v>14800</v>
      </c>
      <c r="H14" s="40">
        <v>15735.193600000004</v>
      </c>
      <c r="I14" s="41"/>
      <c r="K14" s="39"/>
      <c r="L14" s="40"/>
      <c r="M14" s="40"/>
    </row>
    <row r="15" spans="1:13" x14ac:dyDescent="0.25">
      <c r="A15" s="13">
        <v>10</v>
      </c>
      <c r="B15" s="13">
        <v>2033</v>
      </c>
      <c r="C15" s="20">
        <f t="shared" si="0"/>
        <v>22000</v>
      </c>
      <c r="D15" s="20">
        <f t="shared" si="1"/>
        <v>31058.482083442112</v>
      </c>
      <c r="E15" s="26"/>
      <c r="F15" s="39">
        <v>2028</v>
      </c>
      <c r="G15" s="40">
        <v>16000</v>
      </c>
      <c r="H15" s="40">
        <v>17623.416832000006</v>
      </c>
      <c r="I15" s="41"/>
      <c r="K15" s="39"/>
      <c r="L15" s="40"/>
      <c r="M15" s="40"/>
    </row>
    <row r="16" spans="1:13" x14ac:dyDescent="0.25">
      <c r="A16" s="13">
        <v>11</v>
      </c>
      <c r="B16" s="13">
        <v>2034</v>
      </c>
      <c r="C16" s="20">
        <f t="shared" si="0"/>
        <v>23200</v>
      </c>
      <c r="D16" s="20">
        <f t="shared" si="1"/>
        <v>34785.499933455169</v>
      </c>
      <c r="E16" s="26"/>
      <c r="F16" s="39">
        <v>2029</v>
      </c>
      <c r="G16" s="40">
        <v>16000</v>
      </c>
      <c r="H16" s="40">
        <v>17623.416832000006</v>
      </c>
      <c r="I16" s="41"/>
      <c r="K16" s="39"/>
      <c r="L16" s="40"/>
      <c r="M16" s="40"/>
    </row>
    <row r="17" spans="1:13" x14ac:dyDescent="0.25">
      <c r="A17" s="13">
        <v>12</v>
      </c>
      <c r="B17" s="13">
        <v>2035</v>
      </c>
      <c r="C17" s="20">
        <f t="shared" si="0"/>
        <v>24400</v>
      </c>
      <c r="D17" s="20">
        <f t="shared" si="1"/>
        <v>38959.759925469785</v>
      </c>
      <c r="E17" s="26"/>
      <c r="F17" s="39">
        <v>2029</v>
      </c>
      <c r="G17" s="40">
        <v>17200</v>
      </c>
      <c r="H17" s="40">
        <v>19738.226851840009</v>
      </c>
      <c r="I17" s="41"/>
      <c r="K17" s="39"/>
      <c r="L17" s="40"/>
      <c r="M17" s="40"/>
    </row>
    <row r="18" spans="1:13" x14ac:dyDescent="0.25">
      <c r="A18" s="13">
        <v>13</v>
      </c>
      <c r="B18" s="13">
        <v>2036</v>
      </c>
      <c r="C18" s="20">
        <f t="shared" si="0"/>
        <v>25600</v>
      </c>
      <c r="D18" s="20">
        <f t="shared" si="1"/>
        <v>43634.931116526168</v>
      </c>
      <c r="E18" s="26"/>
      <c r="F18" s="39">
        <v>2030</v>
      </c>
      <c r="G18" s="40">
        <v>17200</v>
      </c>
      <c r="H18" s="40">
        <v>19738.226851840009</v>
      </c>
      <c r="I18" s="41"/>
      <c r="K18" s="39"/>
      <c r="L18" s="40"/>
      <c r="M18" s="40"/>
    </row>
    <row r="19" spans="1:13" x14ac:dyDescent="0.25">
      <c r="A19" s="13">
        <v>14</v>
      </c>
      <c r="B19" s="13">
        <v>2037</v>
      </c>
      <c r="C19" s="20">
        <f t="shared" si="0"/>
        <v>26800</v>
      </c>
      <c r="D19" s="20">
        <f t="shared" si="1"/>
        <v>48871.122850509317</v>
      </c>
      <c r="E19" s="26"/>
      <c r="F19" s="39">
        <v>2030</v>
      </c>
      <c r="G19" s="40">
        <v>18400</v>
      </c>
      <c r="H19" s="40">
        <v>22106.814074060811</v>
      </c>
      <c r="I19" s="41"/>
      <c r="K19" s="39"/>
      <c r="L19" s="40"/>
      <c r="M19" s="40"/>
    </row>
    <row r="20" spans="1:13" x14ac:dyDescent="0.25">
      <c r="A20" s="13">
        <v>15</v>
      </c>
      <c r="B20" s="13">
        <v>2038</v>
      </c>
      <c r="C20" s="20">
        <f t="shared" si="0"/>
        <v>28000</v>
      </c>
      <c r="D20" s="20">
        <f t="shared" si="1"/>
        <v>54735.657592570431</v>
      </c>
      <c r="E20" s="26"/>
      <c r="F20" s="39">
        <v>2031</v>
      </c>
      <c r="G20" s="40">
        <v>18400</v>
      </c>
      <c r="H20" s="40">
        <v>22106.814074060811</v>
      </c>
      <c r="I20" s="41"/>
      <c r="K20" s="39"/>
      <c r="L20" s="40"/>
      <c r="M20" s="40"/>
    </row>
    <row r="21" spans="1:13" x14ac:dyDescent="0.25">
      <c r="A21" s="13">
        <v>16</v>
      </c>
      <c r="B21" s="13">
        <v>2039</v>
      </c>
      <c r="C21" s="20">
        <f t="shared" si="0"/>
        <v>29200</v>
      </c>
      <c r="D21" s="20">
        <f t="shared" si="1"/>
        <v>61303.936503678888</v>
      </c>
      <c r="E21" s="26"/>
      <c r="F21" s="39">
        <v>2031</v>
      </c>
      <c r="G21" s="40">
        <v>19600</v>
      </c>
      <c r="H21" s="40">
        <v>24759.631762948109</v>
      </c>
      <c r="I21" s="41"/>
      <c r="K21" s="39"/>
      <c r="L21" s="40"/>
      <c r="M21" s="40"/>
    </row>
    <row r="22" spans="1:13" x14ac:dyDescent="0.25">
      <c r="A22" s="13">
        <v>17</v>
      </c>
      <c r="B22" s="13">
        <v>2040</v>
      </c>
      <c r="C22" s="20">
        <f t="shared" si="0"/>
        <v>30400</v>
      </c>
      <c r="D22" s="20">
        <f t="shared" si="1"/>
        <v>68660.408884120363</v>
      </c>
      <c r="E22" s="26"/>
      <c r="F22" s="39">
        <v>2032</v>
      </c>
      <c r="G22" s="40">
        <v>19600</v>
      </c>
      <c r="H22" s="40">
        <v>24759.631762948109</v>
      </c>
      <c r="I22" s="41"/>
      <c r="K22" s="39"/>
      <c r="L22" s="40"/>
      <c r="M22" s="40"/>
    </row>
    <row r="23" spans="1:13" x14ac:dyDescent="0.25">
      <c r="A23" s="13">
        <v>18</v>
      </c>
      <c r="B23" s="13">
        <v>2041</v>
      </c>
      <c r="C23" s="20">
        <f t="shared" si="0"/>
        <v>31600</v>
      </c>
      <c r="D23" s="20">
        <f t="shared" si="1"/>
        <v>76899.657950214809</v>
      </c>
      <c r="E23" s="26"/>
      <c r="F23" s="39">
        <v>2032</v>
      </c>
      <c r="G23" s="40">
        <v>20800</v>
      </c>
      <c r="H23" s="40">
        <v>27730.787574501883</v>
      </c>
      <c r="I23" s="41"/>
      <c r="K23" s="39"/>
      <c r="L23" s="40"/>
      <c r="M23" s="40"/>
    </row>
    <row r="24" spans="1:13" x14ac:dyDescent="0.25">
      <c r="A24" s="13">
        <v>19</v>
      </c>
      <c r="B24" s="13">
        <v>2042</v>
      </c>
      <c r="C24" s="20">
        <f t="shared" si="0"/>
        <v>32800</v>
      </c>
      <c r="D24" s="20">
        <f t="shared" si="1"/>
        <v>86127.616904240596</v>
      </c>
      <c r="E24" s="26"/>
      <c r="F24" s="39">
        <v>2033</v>
      </c>
      <c r="G24" s="40">
        <v>20800</v>
      </c>
      <c r="H24" s="40">
        <v>27730.787574501883</v>
      </c>
      <c r="I24" s="41"/>
      <c r="K24" s="39"/>
      <c r="L24" s="40"/>
      <c r="M24" s="40"/>
    </row>
    <row r="25" spans="1:13" x14ac:dyDescent="0.25">
      <c r="A25" s="13">
        <v>20</v>
      </c>
      <c r="B25" s="13">
        <v>2043</v>
      </c>
      <c r="C25" s="20">
        <f t="shared" si="0"/>
        <v>34000</v>
      </c>
      <c r="D25" s="20">
        <f t="shared" si="1"/>
        <v>96462.93093274947</v>
      </c>
      <c r="E25" s="26"/>
      <c r="F25" s="39">
        <v>2033</v>
      </c>
      <c r="G25" s="40">
        <v>22000</v>
      </c>
      <c r="H25" s="40">
        <v>31058.482083442112</v>
      </c>
      <c r="I25" s="41"/>
      <c r="K25" s="39"/>
      <c r="L25" s="40"/>
      <c r="M25" s="40"/>
    </row>
    <row r="26" spans="1:13" x14ac:dyDescent="0.25">
      <c r="C26" s="20"/>
      <c r="D26" s="26"/>
      <c r="E26" s="26"/>
      <c r="F26" s="39">
        <v>2034</v>
      </c>
      <c r="G26" s="40">
        <v>22000</v>
      </c>
      <c r="H26" s="40">
        <v>31058.482083442112</v>
      </c>
      <c r="I26" s="41"/>
      <c r="K26" s="39"/>
      <c r="L26" s="40"/>
      <c r="M26" s="40"/>
    </row>
    <row r="27" spans="1:13" x14ac:dyDescent="0.25">
      <c r="C27" s="20"/>
      <c r="D27" s="26"/>
      <c r="E27" s="26"/>
      <c r="F27" s="39">
        <v>2034</v>
      </c>
      <c r="G27" s="40">
        <v>23200</v>
      </c>
      <c r="H27" s="40">
        <v>34785.499933455169</v>
      </c>
      <c r="I27" s="41"/>
      <c r="K27" s="39"/>
      <c r="L27" s="40"/>
      <c r="M27" s="40"/>
    </row>
    <row r="28" spans="1:13" x14ac:dyDescent="0.25">
      <c r="C28" s="20"/>
      <c r="D28" s="26"/>
      <c r="E28" s="26"/>
      <c r="F28" s="39">
        <v>2035</v>
      </c>
      <c r="G28" s="40">
        <v>23200</v>
      </c>
      <c r="H28" s="40">
        <v>34785.499933455169</v>
      </c>
      <c r="I28" s="41"/>
      <c r="K28" s="39"/>
      <c r="L28" s="40"/>
      <c r="M28" s="40"/>
    </row>
    <row r="29" spans="1:13" x14ac:dyDescent="0.25">
      <c r="C29" s="20"/>
      <c r="D29" s="26"/>
      <c r="E29" s="26"/>
      <c r="F29" s="39">
        <v>2035</v>
      </c>
      <c r="G29" s="40">
        <v>24400</v>
      </c>
      <c r="H29" s="40">
        <v>38959.759925469785</v>
      </c>
      <c r="I29" s="41"/>
      <c r="K29" s="39"/>
      <c r="L29" s="40"/>
      <c r="M29" s="40"/>
    </row>
    <row r="30" spans="1:13" x14ac:dyDescent="0.25">
      <c r="C30" s="20"/>
      <c r="D30" s="26"/>
      <c r="E30" s="26"/>
      <c r="F30" s="39">
        <v>2036</v>
      </c>
      <c r="G30" s="40">
        <v>24400</v>
      </c>
      <c r="H30" s="40">
        <v>38959.759925469785</v>
      </c>
      <c r="I30" s="41"/>
      <c r="K30" s="39"/>
      <c r="L30" s="40"/>
      <c r="M30" s="40"/>
    </row>
    <row r="31" spans="1:13" x14ac:dyDescent="0.25">
      <c r="C31" s="20"/>
      <c r="D31" s="26"/>
      <c r="E31" s="26"/>
      <c r="F31" s="39">
        <v>2036</v>
      </c>
      <c r="G31" s="40">
        <v>25600</v>
      </c>
      <c r="H31" s="40">
        <v>43634.931116526168</v>
      </c>
      <c r="I31" s="41"/>
      <c r="K31" s="39"/>
      <c r="L31" s="40"/>
      <c r="M31" s="40"/>
    </row>
    <row r="32" spans="1:13" x14ac:dyDescent="0.25">
      <c r="C32" s="20"/>
      <c r="D32" s="26"/>
      <c r="E32" s="26"/>
      <c r="F32" s="39">
        <v>2037</v>
      </c>
      <c r="G32" s="40">
        <v>25600</v>
      </c>
      <c r="H32" s="40">
        <v>43634.931116526168</v>
      </c>
      <c r="I32" s="41"/>
      <c r="K32" s="39"/>
      <c r="L32" s="40"/>
      <c r="M32" s="40"/>
    </row>
    <row r="33" spans="3:13" x14ac:dyDescent="0.25">
      <c r="C33" s="20"/>
      <c r="D33" s="26"/>
      <c r="E33" s="26"/>
      <c r="F33" s="39">
        <v>2037</v>
      </c>
      <c r="G33" s="40">
        <v>26800</v>
      </c>
      <c r="H33" s="40">
        <v>48871.122850509317</v>
      </c>
      <c r="I33" s="41"/>
      <c r="K33" s="39"/>
      <c r="L33" s="40"/>
      <c r="M33" s="40"/>
    </row>
    <row r="34" spans="3:13" x14ac:dyDescent="0.25">
      <c r="C34" s="20"/>
      <c r="D34" s="26"/>
      <c r="E34" s="26"/>
      <c r="F34" s="39">
        <v>2038</v>
      </c>
      <c r="G34" s="40">
        <v>26800</v>
      </c>
      <c r="H34" s="40">
        <v>48871.122850509317</v>
      </c>
      <c r="I34" s="41"/>
      <c r="K34" s="39"/>
      <c r="L34" s="40"/>
      <c r="M34" s="40"/>
    </row>
    <row r="35" spans="3:13" x14ac:dyDescent="0.25">
      <c r="C35" s="20"/>
      <c r="D35" s="26"/>
      <c r="E35" s="26"/>
      <c r="F35" s="39">
        <v>2038</v>
      </c>
      <c r="G35" s="40">
        <v>28000</v>
      </c>
      <c r="H35" s="40">
        <v>54735.657592570431</v>
      </c>
      <c r="I35" s="41"/>
      <c r="K35" s="39"/>
      <c r="L35" s="40"/>
      <c r="M35" s="40"/>
    </row>
    <row r="36" spans="3:13" x14ac:dyDescent="0.25">
      <c r="C36" s="20"/>
      <c r="D36" s="26"/>
      <c r="E36" s="26"/>
      <c r="F36" s="39">
        <v>2039</v>
      </c>
      <c r="G36" s="40">
        <v>28000</v>
      </c>
      <c r="H36" s="40">
        <v>54735.657592570431</v>
      </c>
      <c r="I36" s="41"/>
      <c r="K36" s="39"/>
      <c r="L36" s="40"/>
      <c r="M36" s="40"/>
    </row>
    <row r="37" spans="3:13" x14ac:dyDescent="0.25">
      <c r="C37" s="20"/>
      <c r="D37" s="26"/>
      <c r="E37" s="26"/>
      <c r="F37" s="39">
        <v>2039</v>
      </c>
      <c r="G37" s="40">
        <v>29200</v>
      </c>
      <c r="H37" s="40">
        <v>61303.936503678888</v>
      </c>
      <c r="I37" s="41"/>
      <c r="K37" s="39"/>
      <c r="L37" s="40"/>
      <c r="M37" s="40"/>
    </row>
    <row r="38" spans="3:13" x14ac:dyDescent="0.25">
      <c r="C38" s="20"/>
      <c r="D38" s="26"/>
      <c r="E38" s="26"/>
      <c r="F38" s="39">
        <v>2040</v>
      </c>
      <c r="G38" s="40">
        <v>29200</v>
      </c>
      <c r="H38" s="40">
        <v>61303.936503678888</v>
      </c>
      <c r="I38" s="41"/>
      <c r="K38" s="39"/>
      <c r="L38" s="40"/>
      <c r="M38" s="40"/>
    </row>
    <row r="39" spans="3:13" x14ac:dyDescent="0.25">
      <c r="C39" s="20"/>
      <c r="D39" s="26"/>
      <c r="E39" s="26"/>
      <c r="F39" s="39">
        <v>2040</v>
      </c>
      <c r="G39" s="40">
        <v>30400</v>
      </c>
      <c r="H39" s="40">
        <v>68660.408884120363</v>
      </c>
      <c r="I39" s="41"/>
      <c r="K39" s="39"/>
      <c r="L39" s="40"/>
      <c r="M39" s="40"/>
    </row>
    <row r="40" spans="3:13" x14ac:dyDescent="0.25">
      <c r="C40" s="20"/>
      <c r="D40" s="26"/>
      <c r="E40" s="26"/>
      <c r="F40" s="39">
        <v>2041</v>
      </c>
      <c r="G40" s="40">
        <v>30400</v>
      </c>
      <c r="H40" s="40">
        <v>68660.408884120363</v>
      </c>
      <c r="I40" s="41"/>
      <c r="K40" s="39"/>
      <c r="L40" s="40"/>
      <c r="M40" s="40"/>
    </row>
    <row r="41" spans="3:13" x14ac:dyDescent="0.25">
      <c r="C41" s="20"/>
      <c r="D41" s="26"/>
      <c r="E41" s="26"/>
      <c r="F41" s="39">
        <v>2041</v>
      </c>
      <c r="G41" s="40">
        <v>31600</v>
      </c>
      <c r="H41" s="40">
        <v>76899.657950214809</v>
      </c>
      <c r="I41" s="41"/>
      <c r="K41" s="39"/>
      <c r="L41" s="40"/>
      <c r="M41" s="40"/>
    </row>
    <row r="42" spans="3:13" x14ac:dyDescent="0.25">
      <c r="C42" s="20"/>
      <c r="D42" s="26"/>
      <c r="E42" s="26"/>
      <c r="F42" s="39">
        <v>2042</v>
      </c>
      <c r="G42" s="40">
        <v>31600</v>
      </c>
      <c r="H42" s="40">
        <v>76899.657950214809</v>
      </c>
      <c r="I42" s="41"/>
      <c r="K42" s="39"/>
      <c r="L42" s="40"/>
      <c r="M42" s="40"/>
    </row>
    <row r="43" spans="3:13" x14ac:dyDescent="0.25">
      <c r="C43" s="20"/>
      <c r="D43" s="26"/>
      <c r="E43" s="26"/>
      <c r="F43" s="39">
        <v>2042</v>
      </c>
      <c r="G43" s="40">
        <v>32800</v>
      </c>
      <c r="H43" s="40">
        <v>86127.616904240596</v>
      </c>
      <c r="I43" s="41"/>
      <c r="K43" s="39"/>
      <c r="L43" s="40"/>
      <c r="M43" s="40"/>
    </row>
    <row r="44" spans="3:13" x14ac:dyDescent="0.25">
      <c r="C44" s="20"/>
      <c r="D44" s="26"/>
      <c r="E44" s="26"/>
      <c r="F44" s="39">
        <v>2043</v>
      </c>
      <c r="G44" s="42">
        <v>32800</v>
      </c>
      <c r="H44" s="42">
        <v>86127.616904240596</v>
      </c>
      <c r="I44" s="41"/>
      <c r="K44" s="39"/>
      <c r="L44" s="40"/>
      <c r="M44" s="40"/>
    </row>
    <row r="45" spans="3:13" x14ac:dyDescent="0.25">
      <c r="C45" s="26"/>
      <c r="D45" s="26"/>
      <c r="F45" s="39">
        <v>2043</v>
      </c>
      <c r="G45" s="42">
        <f t="shared" ref="G45" si="2">$C$2+($C$1*$C$2)*(F45-2023)</f>
        <v>34000</v>
      </c>
      <c r="H45" s="42">
        <f t="shared" ref="H45" si="3">FV($C$1, F45-2023,0, -$C$2)</f>
        <v>96462.93093274947</v>
      </c>
      <c r="I45" s="43"/>
      <c r="K45" s="39"/>
      <c r="L45" s="42"/>
      <c r="M45" s="42"/>
    </row>
    <row r="46" spans="3:13" x14ac:dyDescent="0.25">
      <c r="C46" s="26"/>
      <c r="D46" s="26"/>
      <c r="F46" s="41"/>
      <c r="G46" s="41"/>
      <c r="I46" s="43"/>
      <c r="K46" s="41"/>
      <c r="L46" s="41"/>
      <c r="M46" s="34"/>
    </row>
    <row r="47" spans="3:13" x14ac:dyDescent="0.25">
      <c r="C47" s="26"/>
      <c r="D47" s="26"/>
      <c r="F47" s="41"/>
      <c r="G47" s="41"/>
      <c r="I47" s="43"/>
    </row>
    <row r="48" spans="3:13" x14ac:dyDescent="0.25">
      <c r="C48" s="26"/>
      <c r="D48" s="26"/>
      <c r="F48" s="41"/>
      <c r="G48" s="41"/>
      <c r="I48" s="43"/>
    </row>
    <row r="49" spans="3:9" x14ac:dyDescent="0.25">
      <c r="C49" s="26"/>
      <c r="D49" s="26"/>
      <c r="F49" s="41"/>
      <c r="G49" s="41"/>
      <c r="I49" s="43"/>
    </row>
    <row r="50" spans="3:9" x14ac:dyDescent="0.25">
      <c r="C50" s="26"/>
      <c r="D50" s="26"/>
      <c r="F50" s="41"/>
      <c r="G50" s="41"/>
      <c r="I50" s="43"/>
    </row>
    <row r="51" spans="3:9" x14ac:dyDescent="0.25">
      <c r="C51" s="26"/>
      <c r="D51" s="26"/>
      <c r="F51" s="41"/>
      <c r="G51" s="41"/>
      <c r="I51" s="43"/>
    </row>
    <row r="52" spans="3:9" x14ac:dyDescent="0.25">
      <c r="C52" s="26"/>
      <c r="D52" s="26"/>
      <c r="F52" s="41"/>
      <c r="G52" s="41"/>
      <c r="I52" s="43"/>
    </row>
    <row r="53" spans="3:9" x14ac:dyDescent="0.25">
      <c r="C53" s="26"/>
      <c r="D53" s="26"/>
      <c r="F53" s="41"/>
      <c r="G53" s="41"/>
      <c r="I53" s="43"/>
    </row>
    <row r="54" spans="3:9" x14ac:dyDescent="0.25">
      <c r="C54" s="26"/>
      <c r="D54" s="26"/>
      <c r="F54" s="41"/>
      <c r="G54" s="41"/>
      <c r="I54" s="43"/>
    </row>
    <row r="55" spans="3:9" x14ac:dyDescent="0.25">
      <c r="C55" s="26"/>
      <c r="D55" s="26"/>
      <c r="F55" s="41"/>
      <c r="G55" s="41"/>
      <c r="I55" s="43"/>
    </row>
    <row r="56" spans="3:9" x14ac:dyDescent="0.25">
      <c r="C56" s="26"/>
      <c r="D56" s="26"/>
      <c r="F56" s="41"/>
      <c r="G56" s="41"/>
      <c r="I56" s="43"/>
    </row>
    <row r="57" spans="3:9" x14ac:dyDescent="0.25">
      <c r="C57" s="26"/>
      <c r="D57" s="26"/>
      <c r="F57" s="41"/>
      <c r="G57" s="41"/>
      <c r="I57" s="43"/>
    </row>
    <row r="58" spans="3:9" x14ac:dyDescent="0.25">
      <c r="C58" s="26"/>
      <c r="D58" s="26"/>
      <c r="F58" s="41"/>
      <c r="G58" s="41"/>
      <c r="I58" s="43"/>
    </row>
    <row r="59" spans="3:9" x14ac:dyDescent="0.25">
      <c r="C59" s="26"/>
      <c r="D59" s="26"/>
      <c r="F59" s="41"/>
      <c r="G59" s="41"/>
      <c r="I59" s="43"/>
    </row>
    <row r="60" spans="3:9" x14ac:dyDescent="0.25">
      <c r="C60" s="26"/>
      <c r="D60" s="26"/>
      <c r="F60" s="41"/>
      <c r="G60" s="41"/>
      <c r="I60" s="43"/>
    </row>
    <row r="61" spans="3:9" x14ac:dyDescent="0.25">
      <c r="C61" s="26"/>
      <c r="D61" s="26"/>
      <c r="F61" s="41"/>
      <c r="G61" s="41"/>
      <c r="I61" s="43"/>
    </row>
    <row r="62" spans="3:9" x14ac:dyDescent="0.25">
      <c r="C62" s="26"/>
      <c r="D62" s="26"/>
      <c r="F62" s="41"/>
      <c r="G62" s="41"/>
      <c r="I62" s="43"/>
    </row>
    <row r="63" spans="3:9" x14ac:dyDescent="0.25">
      <c r="C63" s="26"/>
      <c r="D63" s="26"/>
      <c r="F63" s="41"/>
      <c r="G63" s="41"/>
      <c r="I63" s="43"/>
    </row>
    <row r="64" spans="3:9" x14ac:dyDescent="0.25">
      <c r="C64" s="26"/>
      <c r="D64" s="26"/>
      <c r="F64" s="41"/>
      <c r="G64" s="41"/>
      <c r="I64" s="43"/>
    </row>
    <row r="65" spans="3:9" x14ac:dyDescent="0.25">
      <c r="C65" s="26"/>
      <c r="D65" s="26"/>
      <c r="F65" s="41"/>
      <c r="G65" s="41"/>
      <c r="I65" s="43"/>
    </row>
    <row r="66" spans="3:9" x14ac:dyDescent="0.25">
      <c r="C66" s="26"/>
      <c r="D66" s="26"/>
      <c r="F66" s="41"/>
      <c r="G66" s="41"/>
      <c r="I66" s="43"/>
    </row>
    <row r="67" spans="3:9" x14ac:dyDescent="0.25">
      <c r="C67" s="26"/>
      <c r="D67" s="26"/>
      <c r="F67" s="41"/>
      <c r="G67" s="41"/>
      <c r="I67" s="43"/>
    </row>
    <row r="68" spans="3:9" x14ac:dyDescent="0.25">
      <c r="C68" s="26"/>
      <c r="D68" s="26"/>
      <c r="F68" s="41"/>
      <c r="G68" s="41"/>
      <c r="I68" s="43"/>
    </row>
    <row r="69" spans="3:9" x14ac:dyDescent="0.25">
      <c r="C69" s="26"/>
      <c r="D69" s="26"/>
      <c r="F69" s="41"/>
      <c r="G69" s="41"/>
      <c r="I69" s="43"/>
    </row>
    <row r="70" spans="3:9" x14ac:dyDescent="0.25">
      <c r="C70" s="26"/>
      <c r="D70" s="26"/>
      <c r="F70" s="41"/>
      <c r="G70" s="41"/>
      <c r="I70" s="43"/>
    </row>
    <row r="71" spans="3:9" x14ac:dyDescent="0.25">
      <c r="C71" s="26"/>
      <c r="D71" s="26"/>
      <c r="F71" s="41"/>
      <c r="G71" s="41"/>
      <c r="I71" s="43"/>
    </row>
    <row r="72" spans="3:9" x14ac:dyDescent="0.25">
      <c r="C72" s="26"/>
      <c r="D72" s="26"/>
      <c r="F72" s="41"/>
      <c r="G72" s="41"/>
      <c r="I72" s="43"/>
    </row>
    <row r="73" spans="3:9" x14ac:dyDescent="0.25">
      <c r="C73" s="26"/>
      <c r="D73" s="26"/>
      <c r="F73" s="41"/>
      <c r="G73" s="41"/>
      <c r="I73" s="43"/>
    </row>
    <row r="74" spans="3:9" x14ac:dyDescent="0.25">
      <c r="C74" s="26"/>
      <c r="D74" s="26"/>
      <c r="F74" s="41"/>
      <c r="G74" s="41"/>
      <c r="I74" s="43"/>
    </row>
    <row r="75" spans="3:9" x14ac:dyDescent="0.25">
      <c r="C75" s="26"/>
      <c r="D75" s="26"/>
      <c r="F75" s="41"/>
      <c r="G75" s="41"/>
      <c r="I75" s="43"/>
    </row>
    <row r="76" spans="3:9" x14ac:dyDescent="0.25">
      <c r="C76" s="26"/>
      <c r="D76" s="26"/>
      <c r="F76" s="41"/>
      <c r="G76" s="41"/>
      <c r="I76" s="43"/>
    </row>
    <row r="77" spans="3:9" x14ac:dyDescent="0.25">
      <c r="C77" s="26"/>
      <c r="D77" s="26"/>
      <c r="F77" s="41"/>
      <c r="G77" s="41"/>
      <c r="I77" s="43"/>
    </row>
    <row r="78" spans="3:9" x14ac:dyDescent="0.25">
      <c r="C78" s="26"/>
      <c r="D78" s="26"/>
      <c r="F78" s="41"/>
      <c r="G78" s="41"/>
      <c r="I78" s="43"/>
    </row>
    <row r="79" spans="3:9" x14ac:dyDescent="0.25">
      <c r="C79" s="26"/>
      <c r="D79" s="26"/>
      <c r="F79" s="41"/>
      <c r="G79" s="41"/>
      <c r="I79" s="43"/>
    </row>
    <row r="80" spans="3:9" x14ac:dyDescent="0.25">
      <c r="C80" s="26"/>
      <c r="D80" s="26"/>
      <c r="F80" s="41"/>
      <c r="G80" s="41"/>
      <c r="I80" s="43"/>
    </row>
    <row r="81" spans="3:9" x14ac:dyDescent="0.25">
      <c r="C81" s="26"/>
      <c r="D81" s="26"/>
      <c r="F81" s="41"/>
      <c r="G81" s="41"/>
      <c r="I81" s="43"/>
    </row>
    <row r="82" spans="3:9" x14ac:dyDescent="0.25">
      <c r="C82" s="26"/>
      <c r="D82" s="26"/>
      <c r="F82" s="41"/>
      <c r="G82" s="41"/>
      <c r="I82" s="43"/>
    </row>
    <row r="83" spans="3:9" x14ac:dyDescent="0.25">
      <c r="C83" s="26"/>
      <c r="D83" s="26"/>
      <c r="F83" s="41"/>
      <c r="G83" s="41"/>
      <c r="I83" s="43"/>
    </row>
    <row r="84" spans="3:9" x14ac:dyDescent="0.25">
      <c r="C84" s="26"/>
      <c r="D84" s="26"/>
      <c r="F84" s="41"/>
      <c r="G84" s="41"/>
      <c r="I84" s="43"/>
    </row>
    <row r="85" spans="3:9" x14ac:dyDescent="0.25">
      <c r="C85" s="26"/>
      <c r="D85" s="26"/>
      <c r="F85" s="41"/>
      <c r="G85" s="41"/>
      <c r="I85" s="43"/>
    </row>
    <row r="86" spans="3:9" x14ac:dyDescent="0.25">
      <c r="C86" s="26"/>
      <c r="D86" s="26"/>
      <c r="F86" s="41"/>
      <c r="G86" s="41"/>
      <c r="I86" s="43"/>
    </row>
    <row r="87" spans="3:9" x14ac:dyDescent="0.25">
      <c r="C87" s="26"/>
      <c r="D87" s="26"/>
      <c r="F87" s="41"/>
      <c r="G87" s="41"/>
      <c r="I87" s="43"/>
    </row>
    <row r="88" spans="3:9" x14ac:dyDescent="0.25">
      <c r="C88" s="26"/>
      <c r="D88" s="26"/>
      <c r="F88" s="41"/>
      <c r="G88" s="41"/>
      <c r="I88" s="43"/>
    </row>
    <row r="89" spans="3:9" x14ac:dyDescent="0.25">
      <c r="C89" s="26"/>
      <c r="D89" s="26"/>
      <c r="F89" s="41"/>
      <c r="G89" s="41"/>
      <c r="I89" s="43"/>
    </row>
    <row r="90" spans="3:9" x14ac:dyDescent="0.25">
      <c r="C90" s="26"/>
      <c r="D90" s="26"/>
      <c r="F90" s="41"/>
      <c r="G90" s="41"/>
      <c r="I90" s="43"/>
    </row>
    <row r="91" spans="3:9" x14ac:dyDescent="0.25">
      <c r="C91" s="26"/>
      <c r="D91" s="26"/>
      <c r="F91" s="41"/>
      <c r="G91" s="41"/>
      <c r="I91" s="43"/>
    </row>
    <row r="92" spans="3:9" x14ac:dyDescent="0.25">
      <c r="C92" s="26"/>
      <c r="D92" s="26"/>
      <c r="F92" s="41"/>
      <c r="G92" s="41"/>
      <c r="I92" s="43"/>
    </row>
    <row r="93" spans="3:9" x14ac:dyDescent="0.25">
      <c r="C93" s="26"/>
      <c r="D93" s="26"/>
      <c r="F93" s="41"/>
      <c r="G93" s="41"/>
      <c r="I93" s="43"/>
    </row>
    <row r="94" spans="3:9" x14ac:dyDescent="0.25">
      <c r="C94" s="26"/>
      <c r="D94" s="26"/>
      <c r="F94" s="41"/>
      <c r="G94" s="41"/>
      <c r="I94" s="43"/>
    </row>
    <row r="95" spans="3:9" x14ac:dyDescent="0.25">
      <c r="C95" s="26"/>
      <c r="D95" s="26"/>
      <c r="F95" s="41"/>
      <c r="G95" s="41"/>
      <c r="I95" s="43"/>
    </row>
    <row r="96" spans="3:9" x14ac:dyDescent="0.25">
      <c r="C96" s="26"/>
      <c r="D96" s="26"/>
      <c r="F96" s="41"/>
      <c r="G96" s="41"/>
      <c r="I96" s="43"/>
    </row>
    <row r="97" spans="3:9" x14ac:dyDescent="0.25">
      <c r="C97" s="26"/>
      <c r="D97" s="26"/>
      <c r="F97" s="41"/>
      <c r="G97" s="41"/>
      <c r="I97" s="43"/>
    </row>
    <row r="98" spans="3:9" x14ac:dyDescent="0.25">
      <c r="C98" s="26"/>
      <c r="D98" s="26"/>
      <c r="F98" s="41"/>
      <c r="G98" s="41"/>
      <c r="I98" s="43"/>
    </row>
    <row r="99" spans="3:9" x14ac:dyDescent="0.25">
      <c r="C99" s="26"/>
      <c r="D99" s="26"/>
      <c r="F99" s="41"/>
      <c r="G99" s="41"/>
      <c r="I99" s="43"/>
    </row>
    <row r="100" spans="3:9" x14ac:dyDescent="0.25">
      <c r="C100" s="26"/>
      <c r="D100" s="26"/>
      <c r="F100" s="41"/>
      <c r="G100" s="41"/>
      <c r="I100" s="43"/>
    </row>
    <row r="101" spans="3:9" x14ac:dyDescent="0.25">
      <c r="C101" s="26"/>
      <c r="D101" s="26"/>
      <c r="F101" s="41"/>
      <c r="G101" s="41"/>
      <c r="I101" s="43"/>
    </row>
    <row r="102" spans="3:9" x14ac:dyDescent="0.25">
      <c r="C102" s="26"/>
      <c r="D102" s="26"/>
      <c r="F102" s="41"/>
      <c r="G102" s="41"/>
      <c r="I102" s="43"/>
    </row>
    <row r="103" spans="3:9" x14ac:dyDescent="0.25">
      <c r="C103" s="26"/>
      <c r="D103" s="26"/>
      <c r="F103" s="41"/>
      <c r="G103" s="41"/>
      <c r="I103" s="43"/>
    </row>
    <row r="104" spans="3:9" x14ac:dyDescent="0.25">
      <c r="C104" s="26"/>
      <c r="D104" s="26"/>
      <c r="F104" s="41"/>
      <c r="G104" s="41"/>
      <c r="I104" s="43"/>
    </row>
    <row r="105" spans="3:9" x14ac:dyDescent="0.25">
      <c r="C105" s="26"/>
      <c r="D105" s="26"/>
      <c r="F105" s="41"/>
      <c r="G105" s="41"/>
      <c r="I105" s="43"/>
    </row>
    <row r="106" spans="3:9" x14ac:dyDescent="0.25">
      <c r="C106" s="26"/>
      <c r="D106" s="26"/>
      <c r="F106" s="41"/>
      <c r="G106" s="41"/>
      <c r="I106" s="43"/>
    </row>
    <row r="107" spans="3:9" x14ac:dyDescent="0.25">
      <c r="C107" s="26"/>
      <c r="D107" s="26"/>
      <c r="F107" s="41"/>
      <c r="G107" s="41"/>
      <c r="I107" s="43"/>
    </row>
    <row r="108" spans="3:9" x14ac:dyDescent="0.25">
      <c r="C108" s="26"/>
      <c r="D108" s="26"/>
      <c r="F108" s="41"/>
      <c r="G108" s="41"/>
      <c r="I108" s="43"/>
    </row>
    <row r="109" spans="3:9" x14ac:dyDescent="0.25">
      <c r="C109" s="26"/>
      <c r="D109" s="26"/>
      <c r="F109" s="41"/>
      <c r="G109" s="41"/>
      <c r="I109" s="43"/>
    </row>
    <row r="110" spans="3:9" x14ac:dyDescent="0.25">
      <c r="C110" s="26"/>
      <c r="D110" s="26"/>
      <c r="F110" s="41"/>
      <c r="G110" s="41"/>
      <c r="I110" s="43"/>
    </row>
    <row r="111" spans="3:9" x14ac:dyDescent="0.25">
      <c r="C111" s="26"/>
      <c r="D111" s="26"/>
      <c r="F111" s="41"/>
      <c r="G111" s="41"/>
      <c r="I111" s="43"/>
    </row>
    <row r="112" spans="3:9" x14ac:dyDescent="0.25">
      <c r="C112" s="26"/>
      <c r="D112" s="26"/>
      <c r="F112" s="41"/>
      <c r="G112" s="41"/>
      <c r="I112" s="43"/>
    </row>
    <row r="113" spans="3:9" x14ac:dyDescent="0.25">
      <c r="C113" s="26"/>
      <c r="D113" s="26"/>
      <c r="F113" s="41"/>
      <c r="G113" s="41"/>
      <c r="I113" s="43"/>
    </row>
    <row r="114" spans="3:9" x14ac:dyDescent="0.25">
      <c r="C114" s="26"/>
      <c r="D114" s="26"/>
      <c r="F114" s="41"/>
      <c r="G114" s="41"/>
      <c r="I114" s="43"/>
    </row>
    <row r="115" spans="3:9" x14ac:dyDescent="0.25">
      <c r="C115" s="26"/>
      <c r="D115" s="26"/>
      <c r="F115" s="41"/>
      <c r="G115" s="41"/>
      <c r="I115" s="43"/>
    </row>
    <row r="116" spans="3:9" x14ac:dyDescent="0.25">
      <c r="C116" s="26"/>
      <c r="D116" s="26"/>
      <c r="F116" s="41"/>
      <c r="G116" s="41"/>
      <c r="I116" s="43"/>
    </row>
    <row r="117" spans="3:9" x14ac:dyDescent="0.25">
      <c r="C117" s="26"/>
      <c r="D117" s="26"/>
      <c r="F117" s="41"/>
      <c r="G117" s="41"/>
      <c r="I117" s="43"/>
    </row>
    <row r="118" spans="3:9" x14ac:dyDescent="0.25">
      <c r="C118" s="26"/>
      <c r="D118" s="26"/>
      <c r="F118" s="41"/>
      <c r="G118" s="41"/>
      <c r="I118" s="43"/>
    </row>
    <row r="119" spans="3:9" x14ac:dyDescent="0.25">
      <c r="C119" s="26"/>
      <c r="D119" s="26"/>
      <c r="F119" s="41"/>
      <c r="G119" s="41"/>
      <c r="I119" s="43"/>
    </row>
    <row r="120" spans="3:9" x14ac:dyDescent="0.25">
      <c r="C120" s="26"/>
      <c r="D120" s="26"/>
      <c r="F120" s="41"/>
      <c r="G120" s="41"/>
      <c r="I120" s="43"/>
    </row>
    <row r="121" spans="3:9" x14ac:dyDescent="0.25">
      <c r="C121" s="26"/>
      <c r="D121" s="26"/>
      <c r="F121" s="41"/>
      <c r="G121" s="41"/>
      <c r="I121" s="43"/>
    </row>
    <row r="122" spans="3:9" x14ac:dyDescent="0.25">
      <c r="C122" s="26"/>
      <c r="D122" s="26"/>
      <c r="I122" s="43"/>
    </row>
    <row r="123" spans="3:9" x14ac:dyDescent="0.25">
      <c r="C123" s="26"/>
      <c r="D123" s="26"/>
      <c r="F123" s="41"/>
      <c r="G123" s="41"/>
      <c r="I123" s="43"/>
    </row>
    <row r="124" spans="3:9" x14ac:dyDescent="0.25">
      <c r="C124" s="26"/>
      <c r="D124" s="26"/>
      <c r="F124" s="41"/>
      <c r="G124" s="41"/>
      <c r="I124" s="43"/>
    </row>
    <row r="125" spans="3:9" x14ac:dyDescent="0.25">
      <c r="F125" s="41"/>
      <c r="G125" s="41"/>
      <c r="I125" s="43"/>
    </row>
    <row r="126" spans="3:9" x14ac:dyDescent="0.25">
      <c r="C126" s="26"/>
      <c r="D126" s="26"/>
      <c r="F126" s="41"/>
      <c r="G126" s="41"/>
      <c r="I126" s="43"/>
    </row>
    <row r="127" spans="3:9" x14ac:dyDescent="0.25">
      <c r="C127" s="26"/>
      <c r="D127" s="26"/>
      <c r="F127" s="41"/>
      <c r="G127" s="41"/>
      <c r="I127" s="43"/>
    </row>
    <row r="128" spans="3:9" x14ac:dyDescent="0.25">
      <c r="C128" s="26"/>
      <c r="D128" s="26"/>
      <c r="F128" s="41"/>
      <c r="G128" s="41"/>
      <c r="I128" s="43"/>
    </row>
    <row r="129" spans="3:9" x14ac:dyDescent="0.25">
      <c r="C129" s="26"/>
      <c r="D129" s="26"/>
      <c r="F129" s="41"/>
      <c r="G129" s="41"/>
      <c r="I129" s="43"/>
    </row>
    <row r="130" spans="3:9" x14ac:dyDescent="0.25">
      <c r="C130" s="26"/>
      <c r="D130" s="26"/>
      <c r="F130" s="41"/>
      <c r="G130" s="41"/>
      <c r="I130" s="43"/>
    </row>
    <row r="131" spans="3:9" x14ac:dyDescent="0.25">
      <c r="C131" s="26"/>
      <c r="D131" s="26"/>
      <c r="F131" s="41"/>
      <c r="G131" s="41"/>
      <c r="I131" s="43"/>
    </row>
    <row r="132" spans="3:9" x14ac:dyDescent="0.25">
      <c r="C132" s="26"/>
      <c r="D132" s="26"/>
      <c r="F132" s="41"/>
      <c r="G132" s="41"/>
      <c r="I132" s="43"/>
    </row>
    <row r="133" spans="3:9" x14ac:dyDescent="0.25">
      <c r="C133" s="26"/>
      <c r="D133" s="26"/>
      <c r="F133" s="41"/>
      <c r="G133" s="41"/>
      <c r="I133" s="43"/>
    </row>
    <row r="134" spans="3:9" x14ac:dyDescent="0.25">
      <c r="C134" s="26"/>
      <c r="D134" s="26"/>
      <c r="F134" s="41"/>
      <c r="G134" s="41"/>
      <c r="I134" s="43"/>
    </row>
    <row r="135" spans="3:9" x14ac:dyDescent="0.25">
      <c r="C135" s="26"/>
      <c r="D135" s="26"/>
      <c r="F135" s="41"/>
      <c r="G135" s="41"/>
      <c r="I135" s="43"/>
    </row>
    <row r="136" spans="3:9" x14ac:dyDescent="0.25">
      <c r="C136" s="26"/>
      <c r="D136" s="26"/>
      <c r="F136" s="41"/>
      <c r="G136" s="41"/>
      <c r="I136" s="43"/>
    </row>
    <row r="137" spans="3:9" x14ac:dyDescent="0.25">
      <c r="C137" s="26"/>
      <c r="D137" s="26"/>
      <c r="F137" s="41"/>
      <c r="G137" s="41"/>
      <c r="I137" s="43"/>
    </row>
    <row r="138" spans="3:9" x14ac:dyDescent="0.25">
      <c r="C138" s="26"/>
      <c r="D138" s="26"/>
      <c r="F138" s="41"/>
      <c r="G138" s="41"/>
      <c r="I138" s="43"/>
    </row>
    <row r="139" spans="3:9" x14ac:dyDescent="0.25">
      <c r="C139" s="26"/>
      <c r="D139" s="26"/>
      <c r="F139" s="41"/>
      <c r="G139" s="41"/>
      <c r="I139" s="43"/>
    </row>
    <row r="140" spans="3:9" x14ac:dyDescent="0.25">
      <c r="C140" s="26"/>
      <c r="D140" s="26"/>
      <c r="F140" s="41"/>
      <c r="G140" s="41"/>
      <c r="I140" s="43"/>
    </row>
    <row r="141" spans="3:9" x14ac:dyDescent="0.25">
      <c r="C141" s="26"/>
      <c r="D141" s="26"/>
      <c r="F141" s="41"/>
      <c r="G141" s="41"/>
      <c r="I141" s="43"/>
    </row>
    <row r="142" spans="3:9" x14ac:dyDescent="0.25">
      <c r="C142" s="26"/>
      <c r="D142" s="26"/>
      <c r="F142" s="41"/>
      <c r="G142" s="41"/>
      <c r="I142" s="43"/>
    </row>
    <row r="143" spans="3:9" x14ac:dyDescent="0.25">
      <c r="C143" s="26"/>
      <c r="D143" s="26"/>
      <c r="F143" s="41"/>
      <c r="G143" s="41"/>
      <c r="I143" s="43"/>
    </row>
    <row r="144" spans="3:9" x14ac:dyDescent="0.25">
      <c r="C144" s="26"/>
      <c r="D144" s="26"/>
      <c r="F144" s="41"/>
      <c r="G144" s="41"/>
      <c r="I144" s="43"/>
    </row>
    <row r="145" spans="3:9" x14ac:dyDescent="0.25">
      <c r="C145" s="26"/>
      <c r="D145" s="26"/>
      <c r="F145" s="41"/>
      <c r="G145" s="41"/>
      <c r="I145" s="43"/>
    </row>
    <row r="146" spans="3:9" x14ac:dyDescent="0.25">
      <c r="C146" s="26"/>
      <c r="D146" s="26"/>
      <c r="F146" s="41"/>
      <c r="G146" s="41"/>
      <c r="I146" s="43"/>
    </row>
    <row r="147" spans="3:9" x14ac:dyDescent="0.25">
      <c r="C147" s="26"/>
      <c r="D147" s="26"/>
      <c r="F147" s="41"/>
      <c r="G147" s="41"/>
      <c r="I147" s="43"/>
    </row>
    <row r="148" spans="3:9" x14ac:dyDescent="0.25">
      <c r="C148" s="26"/>
      <c r="D148" s="26"/>
      <c r="F148" s="41"/>
      <c r="G148" s="41"/>
      <c r="I148" s="43"/>
    </row>
    <row r="149" spans="3:9" x14ac:dyDescent="0.25">
      <c r="C149" s="26"/>
      <c r="D149" s="26"/>
      <c r="F149" s="41"/>
      <c r="G149" s="41"/>
      <c r="I149" s="43"/>
    </row>
    <row r="150" spans="3:9" x14ac:dyDescent="0.25">
      <c r="C150" s="26"/>
      <c r="D150" s="26"/>
      <c r="F150" s="41"/>
      <c r="G150" s="41"/>
      <c r="I150" s="43"/>
    </row>
    <row r="151" spans="3:9" x14ac:dyDescent="0.25">
      <c r="C151" s="26"/>
      <c r="D151" s="26"/>
      <c r="F151" s="41"/>
      <c r="G151" s="41"/>
      <c r="I151" s="43"/>
    </row>
    <row r="152" spans="3:9" x14ac:dyDescent="0.25">
      <c r="C152" s="26"/>
      <c r="D152" s="26"/>
      <c r="F152" s="41"/>
      <c r="G152" s="41"/>
      <c r="I152" s="43"/>
    </row>
    <row r="153" spans="3:9" x14ac:dyDescent="0.25">
      <c r="C153" s="26"/>
      <c r="D153" s="26"/>
      <c r="F153" s="41"/>
      <c r="G153" s="41"/>
      <c r="I153" s="43"/>
    </row>
    <row r="154" spans="3:9" x14ac:dyDescent="0.25">
      <c r="C154" s="26"/>
      <c r="D154" s="26"/>
      <c r="F154" s="41"/>
      <c r="G154" s="41"/>
      <c r="I154" s="43"/>
    </row>
    <row r="155" spans="3:9" x14ac:dyDescent="0.25">
      <c r="C155" s="26"/>
      <c r="D155" s="26"/>
      <c r="F155" s="41"/>
      <c r="G155" s="41"/>
      <c r="I155" s="43"/>
    </row>
    <row r="156" spans="3:9" x14ac:dyDescent="0.25">
      <c r="C156" s="26"/>
      <c r="D156" s="26"/>
      <c r="F156" s="41"/>
      <c r="G156" s="41"/>
      <c r="I156" s="43"/>
    </row>
    <row r="157" spans="3:9" x14ac:dyDescent="0.25">
      <c r="C157" s="26"/>
      <c r="D157" s="26"/>
      <c r="F157" s="41"/>
      <c r="G157" s="41"/>
      <c r="I157" s="43"/>
    </row>
    <row r="158" spans="3:9" x14ac:dyDescent="0.25">
      <c r="C158" s="26"/>
      <c r="D158" s="26"/>
      <c r="F158" s="41"/>
      <c r="G158" s="41"/>
      <c r="I158" s="43"/>
    </row>
    <row r="159" spans="3:9" x14ac:dyDescent="0.25">
      <c r="C159" s="26"/>
      <c r="D159" s="26"/>
      <c r="F159" s="41"/>
      <c r="G159" s="41"/>
      <c r="I159" s="43"/>
    </row>
    <row r="160" spans="3:9" x14ac:dyDescent="0.25">
      <c r="C160" s="26"/>
      <c r="D160" s="26"/>
      <c r="F160" s="41"/>
      <c r="G160" s="41"/>
      <c r="I160" s="43"/>
    </row>
    <row r="161" spans="3:9" x14ac:dyDescent="0.25">
      <c r="C161" s="26"/>
      <c r="D161" s="26"/>
      <c r="F161" s="41"/>
      <c r="G161" s="41"/>
      <c r="I161" s="43"/>
    </row>
    <row r="162" spans="3:9" x14ac:dyDescent="0.25">
      <c r="C162" s="26"/>
      <c r="D162" s="26"/>
      <c r="F162" s="41"/>
      <c r="G162" s="41"/>
      <c r="I162" s="43"/>
    </row>
    <row r="163" spans="3:9" x14ac:dyDescent="0.25">
      <c r="C163" s="26"/>
      <c r="D163" s="26"/>
      <c r="F163" s="41"/>
      <c r="G163" s="41"/>
      <c r="I163" s="43"/>
    </row>
    <row r="164" spans="3:9" x14ac:dyDescent="0.25">
      <c r="C164" s="26"/>
      <c r="D164" s="26"/>
      <c r="F164" s="41"/>
      <c r="G164" s="41"/>
      <c r="I164" s="43"/>
    </row>
    <row r="165" spans="3:9" x14ac:dyDescent="0.25">
      <c r="C165" s="26"/>
      <c r="D165" s="26"/>
      <c r="F165" s="41"/>
      <c r="G165" s="41"/>
      <c r="I165" s="43"/>
    </row>
    <row r="166" spans="3:9" x14ac:dyDescent="0.25">
      <c r="C166" s="26"/>
      <c r="D166" s="26"/>
      <c r="F166" s="41"/>
      <c r="G166" s="41"/>
      <c r="I166" s="43"/>
    </row>
    <row r="167" spans="3:9" x14ac:dyDescent="0.25">
      <c r="C167" s="26"/>
      <c r="D167" s="26"/>
      <c r="F167" s="41"/>
      <c r="G167" s="41"/>
      <c r="I167" s="43"/>
    </row>
    <row r="168" spans="3:9" x14ac:dyDescent="0.25">
      <c r="C168" s="26"/>
      <c r="D168" s="26"/>
      <c r="F168" s="41"/>
      <c r="G168" s="41"/>
      <c r="I168" s="43"/>
    </row>
    <row r="169" spans="3:9" x14ac:dyDescent="0.25">
      <c r="C169" s="26"/>
      <c r="D169" s="26"/>
      <c r="F169" s="41"/>
      <c r="G169" s="41"/>
      <c r="I169" s="43"/>
    </row>
    <row r="170" spans="3:9" x14ac:dyDescent="0.25">
      <c r="C170" s="26"/>
      <c r="D170" s="26"/>
      <c r="F170" s="41"/>
      <c r="G170" s="41"/>
      <c r="I170" s="43"/>
    </row>
    <row r="171" spans="3:9" x14ac:dyDescent="0.25">
      <c r="C171" s="26"/>
      <c r="D171" s="26"/>
      <c r="F171" s="41"/>
      <c r="G171" s="41"/>
      <c r="I171" s="43"/>
    </row>
    <row r="172" spans="3:9" x14ac:dyDescent="0.25">
      <c r="C172" s="26"/>
      <c r="D172" s="26"/>
      <c r="F172" s="41"/>
      <c r="G172" s="41"/>
      <c r="I172" s="43"/>
    </row>
    <row r="173" spans="3:9" x14ac:dyDescent="0.25">
      <c r="C173" s="26"/>
      <c r="D173" s="26"/>
      <c r="F173" s="41"/>
      <c r="G173" s="41"/>
      <c r="I173" s="43"/>
    </row>
    <row r="174" spans="3:9" x14ac:dyDescent="0.25">
      <c r="C174" s="26"/>
      <c r="D174" s="26"/>
      <c r="F174" s="41"/>
      <c r="G174" s="41"/>
      <c r="I174" s="43"/>
    </row>
    <row r="175" spans="3:9" x14ac:dyDescent="0.25">
      <c r="C175" s="26"/>
      <c r="D175" s="26"/>
      <c r="F175" s="41"/>
      <c r="G175" s="41"/>
      <c r="I175" s="43"/>
    </row>
    <row r="176" spans="3:9" x14ac:dyDescent="0.25">
      <c r="C176" s="26"/>
      <c r="D176" s="26"/>
      <c r="F176" s="41"/>
      <c r="G176" s="41"/>
      <c r="I176" s="43"/>
    </row>
    <row r="177" spans="3:9" x14ac:dyDescent="0.25">
      <c r="C177" s="26"/>
      <c r="D177" s="26"/>
      <c r="F177" s="41"/>
      <c r="G177" s="41"/>
      <c r="I177" s="43"/>
    </row>
    <row r="178" spans="3:9" x14ac:dyDescent="0.25">
      <c r="C178" s="26"/>
      <c r="D178" s="26"/>
      <c r="F178" s="41"/>
      <c r="G178" s="41"/>
      <c r="I178" s="43"/>
    </row>
    <row r="179" spans="3:9" x14ac:dyDescent="0.25">
      <c r="C179" s="26"/>
      <c r="D179" s="26"/>
      <c r="F179" s="41"/>
      <c r="G179" s="41"/>
      <c r="I179" s="43"/>
    </row>
    <row r="180" spans="3:9" x14ac:dyDescent="0.25">
      <c r="C180" s="26"/>
      <c r="D180" s="26"/>
      <c r="F180" s="41"/>
      <c r="G180" s="41"/>
      <c r="I180" s="43"/>
    </row>
    <row r="181" spans="3:9" x14ac:dyDescent="0.25">
      <c r="C181" s="26"/>
      <c r="D181" s="26"/>
      <c r="F181" s="41"/>
      <c r="G181" s="41"/>
      <c r="I181" s="43"/>
    </row>
    <row r="182" spans="3:9" x14ac:dyDescent="0.25">
      <c r="C182" s="26"/>
      <c r="D182" s="26"/>
      <c r="F182" s="41"/>
      <c r="G182" s="41"/>
      <c r="I182" s="43"/>
    </row>
    <row r="183" spans="3:9" x14ac:dyDescent="0.25">
      <c r="C183" s="26"/>
      <c r="D183" s="26"/>
      <c r="F183" s="41"/>
      <c r="G183" s="41"/>
      <c r="I183" s="43"/>
    </row>
    <row r="184" spans="3:9" x14ac:dyDescent="0.25">
      <c r="C184" s="26"/>
      <c r="D184" s="26"/>
      <c r="F184" s="41"/>
      <c r="G184" s="41"/>
      <c r="I184" s="43"/>
    </row>
    <row r="185" spans="3:9" x14ac:dyDescent="0.25">
      <c r="C185" s="26"/>
      <c r="D185" s="26"/>
      <c r="F185" s="41"/>
      <c r="G185" s="41"/>
      <c r="I185" s="43"/>
    </row>
    <row r="186" spans="3:9" x14ac:dyDescent="0.25">
      <c r="C186" s="26"/>
      <c r="D186" s="26"/>
      <c r="F186" s="41"/>
      <c r="G186" s="41"/>
      <c r="I186" s="43"/>
    </row>
    <row r="187" spans="3:9" x14ac:dyDescent="0.25">
      <c r="C187" s="26"/>
      <c r="D187" s="26"/>
      <c r="F187" s="41"/>
      <c r="G187" s="41"/>
      <c r="I187" s="43"/>
    </row>
    <row r="188" spans="3:9" x14ac:dyDescent="0.25">
      <c r="C188" s="26"/>
      <c r="D188" s="26"/>
      <c r="F188" s="41"/>
      <c r="G188" s="41"/>
      <c r="I188" s="43"/>
    </row>
    <row r="189" spans="3:9" x14ac:dyDescent="0.25">
      <c r="C189" s="26"/>
      <c r="D189" s="26"/>
      <c r="F189" s="41"/>
      <c r="G189" s="41"/>
      <c r="I189" s="43"/>
    </row>
    <row r="190" spans="3:9" x14ac:dyDescent="0.25">
      <c r="C190" s="26"/>
      <c r="D190" s="26"/>
      <c r="F190" s="41"/>
      <c r="G190" s="41"/>
      <c r="I190" s="43"/>
    </row>
    <row r="191" spans="3:9" x14ac:dyDescent="0.25">
      <c r="C191" s="26"/>
      <c r="D191" s="26"/>
      <c r="F191" s="41"/>
      <c r="G191" s="41"/>
      <c r="I191" s="43"/>
    </row>
    <row r="192" spans="3:9" x14ac:dyDescent="0.25">
      <c r="C192" s="26"/>
      <c r="D192" s="26"/>
      <c r="F192" s="41"/>
      <c r="G192" s="41"/>
      <c r="I192" s="43"/>
    </row>
    <row r="193" spans="3:9" x14ac:dyDescent="0.25">
      <c r="C193" s="26"/>
      <c r="D193" s="26"/>
      <c r="F193" s="41"/>
      <c r="G193" s="41"/>
      <c r="I193" s="43"/>
    </row>
    <row r="194" spans="3:9" x14ac:dyDescent="0.25">
      <c r="C194" s="26"/>
      <c r="D194" s="26"/>
      <c r="F194" s="41"/>
      <c r="G194" s="41"/>
      <c r="I194" s="43"/>
    </row>
    <row r="195" spans="3:9" x14ac:dyDescent="0.25">
      <c r="C195" s="26"/>
      <c r="D195" s="26"/>
      <c r="F195" s="41"/>
      <c r="G195" s="41"/>
      <c r="I195" s="43"/>
    </row>
    <row r="196" spans="3:9" x14ac:dyDescent="0.25">
      <c r="C196" s="26"/>
      <c r="D196" s="26"/>
      <c r="F196" s="41"/>
      <c r="G196" s="41"/>
      <c r="I196" s="43"/>
    </row>
    <row r="197" spans="3:9" x14ac:dyDescent="0.25">
      <c r="C197" s="26"/>
      <c r="D197" s="26"/>
      <c r="F197" s="41"/>
      <c r="G197" s="41"/>
      <c r="I197" s="43"/>
    </row>
    <row r="198" spans="3:9" x14ac:dyDescent="0.25">
      <c r="C198" s="26"/>
      <c r="D198" s="26"/>
      <c r="F198" s="41"/>
      <c r="G198" s="41"/>
      <c r="I198" s="43"/>
    </row>
    <row r="199" spans="3:9" x14ac:dyDescent="0.25">
      <c r="C199" s="26"/>
      <c r="D199" s="26"/>
      <c r="F199" s="41"/>
      <c r="G199" s="41"/>
      <c r="I199" s="43"/>
    </row>
    <row r="200" spans="3:9" x14ac:dyDescent="0.25">
      <c r="C200" s="26"/>
      <c r="D200" s="26"/>
      <c r="F200" s="41"/>
      <c r="G200" s="41"/>
      <c r="I200" s="43"/>
    </row>
    <row r="201" spans="3:9" x14ac:dyDescent="0.25">
      <c r="C201" s="26"/>
      <c r="D201" s="26"/>
      <c r="F201" s="41"/>
      <c r="G201" s="41"/>
      <c r="I201" s="43"/>
    </row>
    <row r="202" spans="3:9" x14ac:dyDescent="0.25">
      <c r="C202" s="26"/>
      <c r="D202" s="26"/>
      <c r="F202" s="41"/>
      <c r="G202" s="41"/>
      <c r="I202" s="43"/>
    </row>
    <row r="203" spans="3:9" x14ac:dyDescent="0.25">
      <c r="C203" s="26"/>
      <c r="D203" s="26"/>
      <c r="F203" s="41"/>
      <c r="G203" s="41"/>
      <c r="I203" s="43"/>
    </row>
    <row r="204" spans="3:9" x14ac:dyDescent="0.25">
      <c r="C204" s="26"/>
      <c r="D204" s="26"/>
      <c r="F204" s="41"/>
      <c r="G204" s="41"/>
      <c r="I204" s="43"/>
    </row>
    <row r="205" spans="3:9" x14ac:dyDescent="0.25">
      <c r="C205" s="26"/>
      <c r="D205" s="26"/>
      <c r="F205" s="41"/>
      <c r="G205" s="41"/>
      <c r="I205" s="43"/>
    </row>
    <row r="206" spans="3:9" x14ac:dyDescent="0.25">
      <c r="C206" s="26"/>
      <c r="D206" s="26"/>
      <c r="F206" s="41"/>
      <c r="G206" s="41"/>
      <c r="I206" s="43"/>
    </row>
    <row r="207" spans="3:9" x14ac:dyDescent="0.25">
      <c r="C207" s="26"/>
      <c r="D207" s="26"/>
      <c r="F207" s="41"/>
      <c r="G207" s="41"/>
      <c r="I207" s="43"/>
    </row>
    <row r="208" spans="3:9" x14ac:dyDescent="0.25">
      <c r="C208" s="26"/>
      <c r="D208" s="26"/>
      <c r="F208" s="41"/>
      <c r="G208" s="41"/>
      <c r="I208" s="43"/>
    </row>
    <row r="209" spans="3:9" x14ac:dyDescent="0.25">
      <c r="C209" s="26"/>
      <c r="D209" s="26"/>
      <c r="F209" s="41"/>
      <c r="G209" s="41"/>
      <c r="I209" s="43"/>
    </row>
    <row r="210" spans="3:9" x14ac:dyDescent="0.25">
      <c r="C210" s="26"/>
      <c r="D210" s="26"/>
      <c r="F210" s="41"/>
      <c r="G210" s="41"/>
      <c r="I210" s="43"/>
    </row>
    <row r="211" spans="3:9" x14ac:dyDescent="0.25">
      <c r="C211" s="26"/>
      <c r="D211" s="26"/>
      <c r="F211" s="41"/>
      <c r="G211" s="41"/>
      <c r="I211" s="43"/>
    </row>
    <row r="212" spans="3:9" x14ac:dyDescent="0.25">
      <c r="C212" s="26"/>
      <c r="D212" s="26"/>
      <c r="F212" s="41"/>
      <c r="G212" s="41"/>
      <c r="I212" s="43"/>
    </row>
    <row r="213" spans="3:9" x14ac:dyDescent="0.25">
      <c r="C213" s="26"/>
      <c r="D213" s="26"/>
      <c r="F213" s="41"/>
      <c r="G213" s="41"/>
      <c r="I213" s="43"/>
    </row>
    <row r="214" spans="3:9" x14ac:dyDescent="0.25">
      <c r="C214" s="26"/>
      <c r="D214" s="26"/>
      <c r="F214" s="41"/>
      <c r="G214" s="41"/>
      <c r="I214" s="43"/>
    </row>
    <row r="215" spans="3:9" x14ac:dyDescent="0.25">
      <c r="C215" s="26"/>
      <c r="D215" s="26"/>
      <c r="F215" s="41"/>
      <c r="G215" s="41"/>
      <c r="I215" s="43"/>
    </row>
    <row r="216" spans="3:9" x14ac:dyDescent="0.25">
      <c r="C216" s="26"/>
      <c r="D216" s="26"/>
      <c r="F216" s="41"/>
      <c r="G216" s="41"/>
      <c r="I216" s="43"/>
    </row>
    <row r="217" spans="3:9" x14ac:dyDescent="0.25">
      <c r="C217" s="26"/>
      <c r="D217" s="26"/>
      <c r="F217" s="41"/>
      <c r="G217" s="41"/>
      <c r="I217" s="43"/>
    </row>
    <row r="218" spans="3:9" x14ac:dyDescent="0.25">
      <c r="C218" s="26"/>
      <c r="D218" s="26"/>
      <c r="F218" s="41"/>
      <c r="G218" s="41"/>
      <c r="I218" s="43"/>
    </row>
    <row r="219" spans="3:9" x14ac:dyDescent="0.25">
      <c r="C219" s="26"/>
      <c r="D219" s="26"/>
      <c r="F219" s="41"/>
      <c r="G219" s="41"/>
      <c r="I219" s="43"/>
    </row>
    <row r="220" spans="3:9" x14ac:dyDescent="0.25">
      <c r="C220" s="26"/>
      <c r="D220" s="26"/>
      <c r="F220" s="41"/>
      <c r="G220" s="41"/>
      <c r="I220" s="43"/>
    </row>
    <row r="221" spans="3:9" x14ac:dyDescent="0.25">
      <c r="C221" s="26"/>
      <c r="D221" s="26"/>
      <c r="F221" s="41"/>
      <c r="G221" s="41"/>
      <c r="I221" s="43"/>
    </row>
    <row r="222" spans="3:9" x14ac:dyDescent="0.25">
      <c r="C222" s="26"/>
      <c r="D222" s="26"/>
      <c r="F222" s="41"/>
      <c r="G222" s="41"/>
      <c r="I222" s="43"/>
    </row>
    <row r="223" spans="3:9" x14ac:dyDescent="0.25">
      <c r="C223" s="26"/>
      <c r="D223" s="26"/>
      <c r="F223" s="41"/>
      <c r="G223" s="41"/>
      <c r="I223" s="43"/>
    </row>
    <row r="224" spans="3:9" x14ac:dyDescent="0.25">
      <c r="C224" s="26"/>
      <c r="D224" s="26"/>
      <c r="F224" s="41"/>
      <c r="G224" s="41"/>
      <c r="I224" s="43"/>
    </row>
    <row r="225" spans="3:9" x14ac:dyDescent="0.25">
      <c r="C225" s="26"/>
      <c r="D225" s="26"/>
      <c r="F225" s="41"/>
      <c r="G225" s="41"/>
      <c r="I225" s="43"/>
    </row>
    <row r="226" spans="3:9" x14ac:dyDescent="0.25">
      <c r="C226" s="26"/>
      <c r="D226" s="26"/>
      <c r="F226" s="41"/>
      <c r="G226" s="41"/>
      <c r="I226" s="43"/>
    </row>
    <row r="227" spans="3:9" x14ac:dyDescent="0.25">
      <c r="C227" s="26"/>
      <c r="D227" s="26"/>
      <c r="F227" s="41"/>
      <c r="G227" s="41"/>
      <c r="I227" s="43"/>
    </row>
    <row r="228" spans="3:9" x14ac:dyDescent="0.25">
      <c r="C228" s="26"/>
      <c r="D228" s="26"/>
      <c r="F228" s="41"/>
      <c r="G228" s="41"/>
      <c r="I228" s="43"/>
    </row>
    <row r="229" spans="3:9" x14ac:dyDescent="0.25">
      <c r="C229" s="26"/>
      <c r="D229" s="26"/>
      <c r="F229" s="41"/>
      <c r="G229" s="41"/>
      <c r="I229" s="43"/>
    </row>
    <row r="230" spans="3:9" x14ac:dyDescent="0.25">
      <c r="C230" s="26"/>
      <c r="D230" s="26"/>
      <c r="F230" s="41"/>
      <c r="G230" s="41"/>
      <c r="I230" s="43"/>
    </row>
    <row r="231" spans="3:9" x14ac:dyDescent="0.25">
      <c r="C231" s="26"/>
      <c r="D231" s="26"/>
      <c r="F231" s="41"/>
      <c r="G231" s="41"/>
      <c r="I231" s="43"/>
    </row>
    <row r="232" spans="3:9" x14ac:dyDescent="0.25">
      <c r="C232" s="26"/>
      <c r="D232" s="26"/>
      <c r="F232" s="41"/>
      <c r="G232" s="41"/>
      <c r="I232" s="43"/>
    </row>
    <row r="233" spans="3:9" x14ac:dyDescent="0.25">
      <c r="C233" s="26"/>
      <c r="D233" s="26"/>
      <c r="F233" s="41"/>
      <c r="G233" s="41"/>
      <c r="I233" s="43"/>
    </row>
    <row r="234" spans="3:9" x14ac:dyDescent="0.25">
      <c r="C234" s="26"/>
      <c r="D234" s="26"/>
      <c r="F234" s="41"/>
      <c r="G234" s="41"/>
      <c r="I234" s="43"/>
    </row>
    <row r="235" spans="3:9" x14ac:dyDescent="0.25">
      <c r="C235" s="26"/>
      <c r="D235" s="26"/>
      <c r="F235" s="41"/>
      <c r="G235" s="41"/>
      <c r="I235" s="43"/>
    </row>
    <row r="236" spans="3:9" x14ac:dyDescent="0.25">
      <c r="C236" s="26"/>
      <c r="D236" s="26"/>
      <c r="F236" s="41"/>
      <c r="G236" s="41"/>
      <c r="I236" s="43"/>
    </row>
    <row r="237" spans="3:9" x14ac:dyDescent="0.25">
      <c r="C237" s="26"/>
      <c r="D237" s="26"/>
      <c r="F237" s="41"/>
      <c r="G237" s="41"/>
      <c r="I237" s="43"/>
    </row>
    <row r="238" spans="3:9" x14ac:dyDescent="0.25">
      <c r="C238" s="26"/>
      <c r="D238" s="26"/>
      <c r="F238" s="41"/>
      <c r="G238" s="41"/>
      <c r="I238" s="43"/>
    </row>
    <row r="239" spans="3:9" x14ac:dyDescent="0.25">
      <c r="C239" s="26"/>
      <c r="D239" s="26"/>
      <c r="F239" s="41"/>
      <c r="G239" s="41"/>
      <c r="I239" s="43"/>
    </row>
    <row r="240" spans="3:9" x14ac:dyDescent="0.25">
      <c r="C240" s="26"/>
      <c r="D240" s="26"/>
      <c r="F240" s="41"/>
      <c r="G240" s="41"/>
      <c r="I240" s="43"/>
    </row>
    <row r="241" spans="3:9" x14ac:dyDescent="0.25">
      <c r="C241" s="26"/>
      <c r="D241" s="26"/>
      <c r="F241" s="41"/>
      <c r="G241" s="41"/>
      <c r="I241" s="43"/>
    </row>
    <row r="242" spans="3:9" x14ac:dyDescent="0.25">
      <c r="C242" s="26"/>
      <c r="D242" s="26"/>
      <c r="F242" s="41"/>
      <c r="G242" s="41"/>
      <c r="I242" s="43"/>
    </row>
    <row r="243" spans="3:9" x14ac:dyDescent="0.25">
      <c r="C243" s="26"/>
      <c r="D243" s="26"/>
      <c r="I243" s="43"/>
    </row>
    <row r="244" spans="3:9" x14ac:dyDescent="0.25">
      <c r="C244" s="26"/>
      <c r="D244" s="26"/>
      <c r="I244" s="43"/>
    </row>
    <row r="245" spans="3:9" x14ac:dyDescent="0.25">
      <c r="C245" s="26"/>
      <c r="D24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5E8D-C2E6-4EF2-AD39-A0F623FBE6A2}">
  <dimension ref="B1:K8"/>
  <sheetViews>
    <sheetView showGridLines="0" zoomScale="145" zoomScaleNormal="145" workbookViewId="0">
      <selection activeCell="J20" sqref="J20"/>
    </sheetView>
  </sheetViews>
  <sheetFormatPr defaultColWidth="8.85546875" defaultRowHeight="15.75" x14ac:dyDescent="0.25"/>
  <cols>
    <col min="1" max="2" width="8.85546875" style="13"/>
    <col min="3" max="4" width="12.28515625" style="13" bestFit="1" customWidth="1"/>
    <col min="5" max="5" width="9.85546875" style="13" bestFit="1" customWidth="1"/>
    <col min="6" max="16384" width="8.85546875" style="13"/>
  </cols>
  <sheetData>
    <row r="1" spans="2:11" ht="21" x14ac:dyDescent="0.35">
      <c r="B1" s="45" t="s">
        <v>22</v>
      </c>
      <c r="C1" s="45"/>
      <c r="D1" s="45"/>
      <c r="E1" s="45"/>
      <c r="F1" s="45"/>
      <c r="G1" s="45"/>
      <c r="H1" s="45"/>
      <c r="I1" s="45"/>
      <c r="J1" s="45"/>
      <c r="K1" s="45"/>
    </row>
    <row r="3" spans="2:11" ht="16.5" thickBot="1" x14ac:dyDescent="0.3"/>
    <row r="4" spans="2:11" ht="38.25" x14ac:dyDescent="0.25">
      <c r="B4" s="46" t="s">
        <v>23</v>
      </c>
      <c r="C4" s="47" t="s">
        <v>24</v>
      </c>
      <c r="D4" s="48" t="s">
        <v>25</v>
      </c>
      <c r="E4" s="48" t="s">
        <v>26</v>
      </c>
    </row>
    <row r="5" spans="2:11" x14ac:dyDescent="0.25">
      <c r="B5" s="49">
        <v>1.4999999999999999E-4</v>
      </c>
      <c r="C5" s="50" t="s">
        <v>27</v>
      </c>
      <c r="D5" s="51">
        <v>365</v>
      </c>
      <c r="E5" s="52">
        <f>B5*D5</f>
        <v>5.4749999999999993E-2</v>
      </c>
    </row>
    <row r="6" spans="2:11" x14ac:dyDescent="0.25">
      <c r="B6" s="53">
        <v>8.0000000000000004E-4</v>
      </c>
      <c r="C6" s="54" t="s">
        <v>28</v>
      </c>
      <c r="D6" s="55">
        <v>52</v>
      </c>
      <c r="E6" s="56">
        <f t="shared" ref="E6:E8" si="0">B6*D6</f>
        <v>4.1600000000000005E-2</v>
      </c>
    </row>
    <row r="7" spans="2:11" x14ac:dyDescent="0.25">
      <c r="B7" s="49">
        <v>2.8E-3</v>
      </c>
      <c r="C7" s="50" t="s">
        <v>29</v>
      </c>
      <c r="D7" s="51">
        <v>12</v>
      </c>
      <c r="E7" s="52">
        <f t="shared" si="0"/>
        <v>3.3599999999999998E-2</v>
      </c>
    </row>
    <row r="8" spans="2:11" x14ac:dyDescent="0.25">
      <c r="B8" s="53">
        <v>1.0699999999999999E-2</v>
      </c>
      <c r="C8" s="54" t="s">
        <v>30</v>
      </c>
      <c r="D8" s="55">
        <v>4</v>
      </c>
      <c r="E8" s="56">
        <f t="shared" si="0"/>
        <v>4.2799999999999998E-2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A709-E621-4ED1-8111-424F940EF139}">
  <dimension ref="B1:M22"/>
  <sheetViews>
    <sheetView showGridLines="0" zoomScale="115" zoomScaleNormal="115" workbookViewId="0">
      <selection activeCell="J20" sqref="J20"/>
    </sheetView>
  </sheetViews>
  <sheetFormatPr defaultColWidth="8.85546875" defaultRowHeight="15.75" x14ac:dyDescent="0.25"/>
  <cols>
    <col min="1" max="1" width="3.42578125" style="13" customWidth="1"/>
    <col min="2" max="2" width="19.28515625" style="13" customWidth="1"/>
    <col min="3" max="5" width="8.85546875" style="13"/>
    <col min="6" max="6" width="4.140625" style="13" customWidth="1"/>
    <col min="7" max="16384" width="8.85546875" style="13"/>
  </cols>
  <sheetData>
    <row r="1" spans="2:13" ht="21" x14ac:dyDescent="0.35">
      <c r="B1" s="45" t="s">
        <v>31</v>
      </c>
      <c r="C1" s="45"/>
      <c r="D1" s="45"/>
      <c r="E1" s="45"/>
      <c r="F1" s="45"/>
      <c r="G1" s="45"/>
      <c r="H1" s="45"/>
    </row>
    <row r="2" spans="2:13" ht="6" customHeight="1" x14ac:dyDescent="0.25"/>
    <row r="3" spans="2:13" x14ac:dyDescent="0.25">
      <c r="B3" s="13" t="s">
        <v>13</v>
      </c>
      <c r="C3" s="57">
        <v>100</v>
      </c>
      <c r="G3" s="58"/>
    </row>
    <row r="4" spans="2:13" x14ac:dyDescent="0.25">
      <c r="B4" s="13" t="s">
        <v>32</v>
      </c>
      <c r="C4" s="59">
        <v>0.12</v>
      </c>
      <c r="D4" s="13" t="s">
        <v>33</v>
      </c>
      <c r="G4" s="60"/>
      <c r="L4" s="13" t="s">
        <v>34</v>
      </c>
      <c r="M4" s="60">
        <f>(1+C4/C5)^C5-1</f>
        <v>0.12682503013196977</v>
      </c>
    </row>
    <row r="5" spans="2:13" ht="31.5" x14ac:dyDescent="0.25">
      <c r="B5" s="37" t="s">
        <v>35</v>
      </c>
      <c r="C5" s="61">
        <v>12</v>
      </c>
      <c r="G5" s="60"/>
      <c r="L5" s="13" t="s">
        <v>36</v>
      </c>
      <c r="M5" s="62">
        <f>100*(1+M4)</f>
        <v>112.68250301319698</v>
      </c>
    </row>
    <row r="6" spans="2:13" x14ac:dyDescent="0.25">
      <c r="B6" s="13" t="s">
        <v>37</v>
      </c>
      <c r="C6" s="63">
        <f>C4/12</f>
        <v>0.01</v>
      </c>
    </row>
    <row r="7" spans="2:13" x14ac:dyDescent="0.25">
      <c r="I7" s="13" t="s">
        <v>38</v>
      </c>
      <c r="K7" s="58"/>
    </row>
    <row r="8" spans="2:13" x14ac:dyDescent="0.25">
      <c r="B8" s="64"/>
      <c r="C8" s="64" t="s">
        <v>39</v>
      </c>
      <c r="D8" s="64" t="s">
        <v>40</v>
      </c>
      <c r="I8" s="62" t="s">
        <v>41</v>
      </c>
      <c r="J8" s="58"/>
      <c r="K8" s="58"/>
    </row>
    <row r="9" spans="2:13" x14ac:dyDescent="0.25">
      <c r="B9" s="64" t="s">
        <v>42</v>
      </c>
      <c r="C9" s="64" t="s">
        <v>43</v>
      </c>
      <c r="D9" s="64" t="s">
        <v>43</v>
      </c>
      <c r="I9" s="13" t="s">
        <v>44</v>
      </c>
      <c r="K9" s="58"/>
    </row>
    <row r="10" spans="2:13" x14ac:dyDescent="0.25">
      <c r="B10" s="14">
        <v>0</v>
      </c>
      <c r="C10" s="62">
        <f>C3</f>
        <v>100</v>
      </c>
      <c r="D10" s="62">
        <f>FV($C$6, B10, 0, -$C$3)</f>
        <v>100</v>
      </c>
      <c r="I10" s="13" t="s">
        <v>45</v>
      </c>
      <c r="K10" s="58"/>
    </row>
    <row r="11" spans="2:13" x14ac:dyDescent="0.25">
      <c r="B11" s="14">
        <v>1</v>
      </c>
      <c r="C11" s="62">
        <f>C10*(1+$C$6)</f>
        <v>101</v>
      </c>
      <c r="D11" s="62">
        <f t="shared" ref="D11:D21" si="0">FV($C$6, B11, 0, -$C$3)</f>
        <v>101</v>
      </c>
    </row>
    <row r="12" spans="2:13" x14ac:dyDescent="0.25">
      <c r="B12" s="14">
        <v>2</v>
      </c>
      <c r="C12" s="62">
        <f>C11*(1+$C$6)</f>
        <v>102.01</v>
      </c>
      <c r="D12" s="62">
        <f t="shared" si="0"/>
        <v>102.01</v>
      </c>
    </row>
    <row r="13" spans="2:13" x14ac:dyDescent="0.25">
      <c r="B13" s="14">
        <v>3</v>
      </c>
      <c r="C13" s="62">
        <f t="shared" ref="C13:C22" si="1">C12*(1+$C$6)</f>
        <v>103.0301</v>
      </c>
      <c r="D13" s="62">
        <f t="shared" si="0"/>
        <v>103.03009999999999</v>
      </c>
      <c r="G13" s="13" t="s">
        <v>36</v>
      </c>
      <c r="H13" s="13">
        <f>100*(1+C4/1)^1</f>
        <v>112.00000000000001</v>
      </c>
    </row>
    <row r="14" spans="2:13" x14ac:dyDescent="0.25">
      <c r="B14" s="14">
        <v>4</v>
      </c>
      <c r="C14" s="62">
        <f t="shared" si="1"/>
        <v>104.060401</v>
      </c>
      <c r="D14" s="62">
        <f t="shared" si="0"/>
        <v>104.060401</v>
      </c>
    </row>
    <row r="15" spans="2:13" x14ac:dyDescent="0.25">
      <c r="B15" s="14">
        <v>5</v>
      </c>
      <c r="C15" s="62">
        <f t="shared" si="1"/>
        <v>105.10100500999999</v>
      </c>
      <c r="D15" s="62">
        <f t="shared" si="0"/>
        <v>105.10100500999999</v>
      </c>
    </row>
    <row r="16" spans="2:13" x14ac:dyDescent="0.25">
      <c r="B16" s="14">
        <v>6</v>
      </c>
      <c r="C16" s="62">
        <f t="shared" si="1"/>
        <v>106.1520150601</v>
      </c>
      <c r="D16" s="62">
        <f t="shared" si="0"/>
        <v>106.15201506010001</v>
      </c>
    </row>
    <row r="17" spans="2:4" x14ac:dyDescent="0.25">
      <c r="B17" s="14">
        <v>7</v>
      </c>
      <c r="C17" s="62">
        <f t="shared" si="1"/>
        <v>107.213535210701</v>
      </c>
      <c r="D17" s="62">
        <f t="shared" si="0"/>
        <v>107.21353521070098</v>
      </c>
    </row>
    <row r="18" spans="2:4" x14ac:dyDescent="0.25">
      <c r="B18" s="14">
        <v>8</v>
      </c>
      <c r="C18" s="62">
        <f t="shared" si="1"/>
        <v>108.28567056280801</v>
      </c>
      <c r="D18" s="62">
        <f t="shared" si="0"/>
        <v>108.28567056280802</v>
      </c>
    </row>
    <row r="19" spans="2:4" x14ac:dyDescent="0.25">
      <c r="B19" s="14">
        <v>9</v>
      </c>
      <c r="C19" s="62">
        <f t="shared" si="1"/>
        <v>109.36852726843608</v>
      </c>
      <c r="D19" s="62">
        <f t="shared" si="0"/>
        <v>109.36852726843611</v>
      </c>
    </row>
    <row r="20" spans="2:4" x14ac:dyDescent="0.25">
      <c r="B20" s="14">
        <v>10</v>
      </c>
      <c r="C20" s="62">
        <f t="shared" si="1"/>
        <v>110.46221254112045</v>
      </c>
      <c r="D20" s="62">
        <f t="shared" si="0"/>
        <v>110.46221254112048</v>
      </c>
    </row>
    <row r="21" spans="2:4" x14ac:dyDescent="0.25">
      <c r="B21" s="14">
        <v>11</v>
      </c>
      <c r="C21" s="62">
        <f t="shared" si="1"/>
        <v>111.56683466653166</v>
      </c>
      <c r="D21" s="62">
        <f t="shared" si="0"/>
        <v>111.56683466653166</v>
      </c>
    </row>
    <row r="22" spans="2:4" x14ac:dyDescent="0.25">
      <c r="B22" s="14">
        <v>12</v>
      </c>
      <c r="C22" s="62">
        <f t="shared" si="1"/>
        <v>112.68250301319698</v>
      </c>
      <c r="D22" s="62">
        <f>FV($C$6, B22, 0, -$C$3)</f>
        <v>112.68250301319698</v>
      </c>
    </row>
  </sheetData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15F1-D9BD-4030-8885-C7D8BA8443A9}">
  <dimension ref="B1:L15"/>
  <sheetViews>
    <sheetView showGridLines="0" workbookViewId="0">
      <selection activeCell="E19" sqref="E19"/>
    </sheetView>
  </sheetViews>
  <sheetFormatPr defaultColWidth="8.85546875" defaultRowHeight="15.75" x14ac:dyDescent="0.25"/>
  <cols>
    <col min="1" max="1" width="8.85546875" style="13"/>
    <col min="2" max="2" width="12.28515625" style="13" customWidth="1"/>
    <col min="3" max="3" width="11.42578125" style="13" customWidth="1"/>
    <col min="4" max="4" width="11.7109375" style="13" bestFit="1" customWidth="1"/>
    <col min="5" max="9" width="14.140625" style="14" customWidth="1"/>
    <col min="10" max="10" width="12.28515625" style="13" bestFit="1" customWidth="1"/>
    <col min="11" max="11" width="8.85546875" style="13"/>
    <col min="12" max="12" width="22.85546875" style="13" bestFit="1" customWidth="1"/>
    <col min="13" max="16384" width="8.85546875" style="13"/>
  </cols>
  <sheetData>
    <row r="1" spans="2:12" ht="21" x14ac:dyDescent="0.35">
      <c r="B1" s="45" t="s">
        <v>46</v>
      </c>
      <c r="C1" s="65"/>
      <c r="D1" s="65"/>
      <c r="E1" s="11"/>
      <c r="F1" s="11"/>
      <c r="G1" s="11"/>
      <c r="H1" s="11"/>
      <c r="I1" s="11"/>
      <c r="J1" s="65"/>
    </row>
    <row r="2" spans="2:12" x14ac:dyDescent="0.25">
      <c r="L2" s="13" t="s">
        <v>47</v>
      </c>
    </row>
    <row r="4" spans="2:12" x14ac:dyDescent="0.25">
      <c r="B4" s="66" t="s">
        <v>21</v>
      </c>
      <c r="C4" s="67">
        <v>0.12</v>
      </c>
    </row>
    <row r="5" spans="2:12" x14ac:dyDescent="0.25">
      <c r="E5" s="68" t="s">
        <v>48</v>
      </c>
      <c r="F5" s="68" t="s">
        <v>49</v>
      </c>
      <c r="G5" s="68" t="s">
        <v>30</v>
      </c>
      <c r="H5" s="68" t="s">
        <v>29</v>
      </c>
      <c r="I5" s="68" t="s">
        <v>27</v>
      </c>
      <c r="J5" s="68" t="s">
        <v>50</v>
      </c>
    </row>
    <row r="6" spans="2:12" x14ac:dyDescent="0.25">
      <c r="C6" s="157" t="s">
        <v>51</v>
      </c>
      <c r="D6" s="157"/>
      <c r="E6" s="14">
        <v>1</v>
      </c>
      <c r="F6" s="14">
        <v>2</v>
      </c>
      <c r="G6" s="14">
        <v>4</v>
      </c>
      <c r="H6" s="14">
        <v>12</v>
      </c>
      <c r="I6" s="14">
        <v>365</v>
      </c>
      <c r="J6" s="69" t="s">
        <v>52</v>
      </c>
      <c r="L6" s="70"/>
    </row>
    <row r="7" spans="2:12" x14ac:dyDescent="0.25">
      <c r="D7" s="16" t="s">
        <v>53</v>
      </c>
      <c r="E7" s="71">
        <f>EFFECT($C$4, E6)</f>
        <v>0.12000000000000011</v>
      </c>
      <c r="F7" s="71">
        <f>EFFECT($C$4, F6)</f>
        <v>0.12360000000000015</v>
      </c>
      <c r="G7" s="71">
        <f t="shared" ref="G7:I7" si="0">EFFECT($C$4, G6)</f>
        <v>0.12550880999999992</v>
      </c>
      <c r="H7" s="71">
        <f t="shared" si="0"/>
        <v>0.12682503013196977</v>
      </c>
      <c r="I7" s="71">
        <f t="shared" si="0"/>
        <v>0.12747461563839413</v>
      </c>
      <c r="J7" s="71">
        <f>EXP(C4)-1</f>
        <v>0.12749685157937574</v>
      </c>
    </row>
    <row r="8" spans="2:12" x14ac:dyDescent="0.25">
      <c r="D8" s="13" t="s">
        <v>54</v>
      </c>
      <c r="E8" s="72">
        <f>$C$4/E6</f>
        <v>0.12</v>
      </c>
      <c r="F8" s="72">
        <f>$C$4/F6</f>
        <v>0.06</v>
      </c>
      <c r="G8" s="72">
        <f>$C$4/G6</f>
        <v>0.03</v>
      </c>
      <c r="H8" s="72">
        <f>$C$4/H6</f>
        <v>0.01</v>
      </c>
      <c r="I8" s="73">
        <f>$C$4/I6</f>
        <v>3.2876712328767124E-4</v>
      </c>
      <c r="J8" s="74" t="s">
        <v>52</v>
      </c>
    </row>
    <row r="11" spans="2:12" x14ac:dyDescent="0.25">
      <c r="B11" s="66" t="s">
        <v>55</v>
      </c>
      <c r="C11" s="67">
        <v>0.12</v>
      </c>
    </row>
    <row r="12" spans="2:12" x14ac:dyDescent="0.25">
      <c r="E12" s="68" t="s">
        <v>48</v>
      </c>
      <c r="F12" s="68" t="s">
        <v>49</v>
      </c>
      <c r="G12" s="68" t="s">
        <v>30</v>
      </c>
      <c r="H12" s="68" t="s">
        <v>29</v>
      </c>
      <c r="I12" s="68" t="s">
        <v>27</v>
      </c>
      <c r="J12" s="68" t="s">
        <v>50</v>
      </c>
    </row>
    <row r="13" spans="2:12" x14ac:dyDescent="0.25">
      <c r="C13" s="75" t="s">
        <v>51</v>
      </c>
      <c r="D13" s="75"/>
      <c r="E13" s="14">
        <v>1</v>
      </c>
      <c r="F13" s="14">
        <v>2</v>
      </c>
      <c r="G13" s="14">
        <v>4</v>
      </c>
      <c r="H13" s="14">
        <v>12</v>
      </c>
      <c r="I13" s="14">
        <v>365</v>
      </c>
      <c r="J13" s="69" t="s">
        <v>52</v>
      </c>
    </row>
    <row r="14" spans="2:12" x14ac:dyDescent="0.25">
      <c r="D14" s="66" t="s">
        <v>56</v>
      </c>
      <c r="E14" s="71">
        <f>NOMINAL($C$11, E13)</f>
        <v>0.12000000000000011</v>
      </c>
      <c r="F14" s="71">
        <f>NOMINAL($C$11, F13)</f>
        <v>0.11660104885167266</v>
      </c>
      <c r="G14" s="71">
        <f>NOMINAL($C$11, G13)</f>
        <v>0.11494937888832091</v>
      </c>
      <c r="H14" s="71">
        <f>NOMINAL($C$11, H13)</f>
        <v>0.11386551521499655</v>
      </c>
      <c r="I14" s="71">
        <f>NOMINAL($C$11, I13)</f>
        <v>0.1133462808142105</v>
      </c>
      <c r="J14" s="74">
        <f>LN(C11+1)</f>
        <v>0.11332868530700327</v>
      </c>
    </row>
    <row r="15" spans="2:12" x14ac:dyDescent="0.25">
      <c r="D15" s="13" t="s">
        <v>54</v>
      </c>
      <c r="E15" s="72">
        <f>E14/E13</f>
        <v>0.12000000000000011</v>
      </c>
      <c r="F15" s="72">
        <f t="shared" ref="F15:I15" si="1">F14/F13</f>
        <v>5.8300524425836331E-2</v>
      </c>
      <c r="G15" s="72">
        <f t="shared" si="1"/>
        <v>2.8737344722080227E-2</v>
      </c>
      <c r="H15" s="72">
        <f t="shared" si="1"/>
        <v>9.4887929345830457E-3</v>
      </c>
      <c r="I15" s="76">
        <f t="shared" si="1"/>
        <v>3.1053775565537123E-4</v>
      </c>
      <c r="J15" s="69" t="s">
        <v>52</v>
      </c>
    </row>
  </sheetData>
  <mergeCells count="1">
    <mergeCell ref="C6:D6"/>
  </mergeCells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0767-27BA-45D2-AA23-6A91E2DA2139}">
  <dimension ref="B1:K28"/>
  <sheetViews>
    <sheetView showGridLines="0" workbookViewId="0">
      <selection activeCell="I35" sqref="I35"/>
    </sheetView>
  </sheetViews>
  <sheetFormatPr defaultColWidth="8.85546875" defaultRowHeight="15.75" x14ac:dyDescent="0.25"/>
  <cols>
    <col min="1" max="1" width="4.7109375" style="13" customWidth="1"/>
    <col min="2" max="2" width="8.85546875" style="13"/>
    <col min="3" max="3" width="11.7109375" style="13" bestFit="1" customWidth="1"/>
    <col min="4" max="5" width="11.42578125" style="13" bestFit="1" customWidth="1"/>
    <col min="6" max="7" width="12.5703125" style="13" bestFit="1" customWidth="1"/>
    <col min="8" max="16384" width="8.85546875" style="13"/>
  </cols>
  <sheetData>
    <row r="1" spans="2:11" ht="21" x14ac:dyDescent="0.35">
      <c r="B1" s="45" t="s">
        <v>57</v>
      </c>
      <c r="C1" s="65"/>
      <c r="D1" s="65"/>
      <c r="E1" s="65"/>
      <c r="F1" s="65"/>
      <c r="G1" s="65"/>
      <c r="H1" s="65"/>
      <c r="I1" s="65"/>
      <c r="J1" s="65"/>
      <c r="K1" s="65"/>
    </row>
    <row r="3" spans="2:11" x14ac:dyDescent="0.25">
      <c r="B3" s="13" t="s">
        <v>13</v>
      </c>
      <c r="C3" s="20">
        <v>10000</v>
      </c>
    </row>
    <row r="5" spans="2:11" x14ac:dyDescent="0.25">
      <c r="B5" s="16" t="s">
        <v>58</v>
      </c>
    </row>
    <row r="7" spans="2:11" x14ac:dyDescent="0.25">
      <c r="B7" s="64" t="s">
        <v>14</v>
      </c>
      <c r="C7" s="77">
        <v>0.05</v>
      </c>
      <c r="D7" s="78">
        <v>0.1</v>
      </c>
      <c r="E7" s="78">
        <v>0.12</v>
      </c>
      <c r="F7" s="78">
        <v>0.15</v>
      </c>
      <c r="G7" s="78">
        <v>0.2</v>
      </c>
    </row>
    <row r="8" spans="2:11" x14ac:dyDescent="0.25">
      <c r="B8" s="14">
        <v>0</v>
      </c>
      <c r="C8" s="24">
        <f>FV(C$7, $B8, 0, -$C$3)</f>
        <v>10000</v>
      </c>
      <c r="D8" s="24">
        <f t="shared" ref="D8:G8" si="0">FV(D$7, $B8, 0, -$C$3)</f>
        <v>10000</v>
      </c>
      <c r="E8" s="24">
        <f t="shared" si="0"/>
        <v>10000</v>
      </c>
      <c r="F8" s="24">
        <f t="shared" si="0"/>
        <v>10000</v>
      </c>
      <c r="G8" s="24">
        <f t="shared" si="0"/>
        <v>10000</v>
      </c>
    </row>
    <row r="9" spans="2:11" x14ac:dyDescent="0.25">
      <c r="B9" s="14">
        <v>1</v>
      </c>
      <c r="C9" s="24">
        <f t="shared" ref="C9:G28" si="1">FV(C$7, $B9, 0, -$C$3)</f>
        <v>10500</v>
      </c>
      <c r="D9" s="24">
        <f t="shared" si="1"/>
        <v>11000</v>
      </c>
      <c r="E9" s="24">
        <f t="shared" si="1"/>
        <v>11200.000000000002</v>
      </c>
      <c r="F9" s="24">
        <f t="shared" si="1"/>
        <v>11500</v>
      </c>
      <c r="G9" s="24">
        <f t="shared" si="1"/>
        <v>12000</v>
      </c>
    </row>
    <row r="10" spans="2:11" x14ac:dyDescent="0.25">
      <c r="B10" s="14">
        <v>2</v>
      </c>
      <c r="C10" s="24">
        <f t="shared" si="1"/>
        <v>11025</v>
      </c>
      <c r="D10" s="24">
        <f t="shared" si="1"/>
        <v>12100.000000000002</v>
      </c>
      <c r="E10" s="24">
        <f t="shared" si="1"/>
        <v>12544.000000000002</v>
      </c>
      <c r="F10" s="24">
        <f t="shared" si="1"/>
        <v>13224.999999999998</v>
      </c>
      <c r="G10" s="24">
        <f t="shared" si="1"/>
        <v>14400</v>
      </c>
    </row>
    <row r="11" spans="2:11" x14ac:dyDescent="0.25">
      <c r="B11" s="14">
        <v>3</v>
      </c>
      <c r="C11" s="24">
        <f t="shared" si="1"/>
        <v>11576.250000000002</v>
      </c>
      <c r="D11" s="24">
        <f t="shared" si="1"/>
        <v>13310.000000000004</v>
      </c>
      <c r="E11" s="24">
        <f t="shared" si="1"/>
        <v>14049.280000000004</v>
      </c>
      <c r="F11" s="24">
        <f t="shared" si="1"/>
        <v>15208.749999999995</v>
      </c>
      <c r="G11" s="24">
        <f t="shared" si="1"/>
        <v>17280</v>
      </c>
    </row>
    <row r="12" spans="2:11" x14ac:dyDescent="0.25">
      <c r="B12" s="14">
        <v>4</v>
      </c>
      <c r="C12" s="24">
        <f t="shared" si="1"/>
        <v>12155.0625</v>
      </c>
      <c r="D12" s="24">
        <f t="shared" si="1"/>
        <v>14641.000000000004</v>
      </c>
      <c r="E12" s="24">
        <f t="shared" si="1"/>
        <v>15735.193600000004</v>
      </c>
      <c r="F12" s="24">
        <f t="shared" si="1"/>
        <v>17490.062499999993</v>
      </c>
      <c r="G12" s="24">
        <f t="shared" si="1"/>
        <v>20736</v>
      </c>
    </row>
    <row r="13" spans="2:11" x14ac:dyDescent="0.25">
      <c r="B13" s="14">
        <v>5</v>
      </c>
      <c r="C13" s="24">
        <f t="shared" si="1"/>
        <v>12762.815625000001</v>
      </c>
      <c r="D13" s="24">
        <f t="shared" si="1"/>
        <v>16105.100000000006</v>
      </c>
      <c r="E13" s="24">
        <f t="shared" si="1"/>
        <v>17623.416832000006</v>
      </c>
      <c r="F13" s="24">
        <f t="shared" si="1"/>
        <v>20113.571874999994</v>
      </c>
      <c r="G13" s="24">
        <f t="shared" si="1"/>
        <v>24883.199999999997</v>
      </c>
    </row>
    <row r="14" spans="2:11" x14ac:dyDescent="0.25">
      <c r="B14" s="14">
        <v>6</v>
      </c>
      <c r="C14" s="24">
        <f t="shared" si="1"/>
        <v>13400.956406249999</v>
      </c>
      <c r="D14" s="24">
        <f t="shared" si="1"/>
        <v>17715.610000000008</v>
      </c>
      <c r="E14" s="24">
        <f t="shared" si="1"/>
        <v>19738.226851840009</v>
      </c>
      <c r="F14" s="24">
        <f t="shared" si="1"/>
        <v>23130.607656249991</v>
      </c>
      <c r="G14" s="24">
        <f t="shared" si="1"/>
        <v>29859.839999999997</v>
      </c>
    </row>
    <row r="15" spans="2:11" x14ac:dyDescent="0.25">
      <c r="B15" s="14">
        <v>7</v>
      </c>
      <c r="C15" s="24">
        <f t="shared" si="1"/>
        <v>14071.004226562502</v>
      </c>
      <c r="D15" s="24">
        <f t="shared" si="1"/>
        <v>19487.171000000013</v>
      </c>
      <c r="E15" s="24">
        <f t="shared" si="1"/>
        <v>22106.814074060811</v>
      </c>
      <c r="F15" s="24">
        <f t="shared" si="1"/>
        <v>26600.198804687483</v>
      </c>
      <c r="G15" s="24">
        <f t="shared" si="1"/>
        <v>35831.807999999997</v>
      </c>
    </row>
    <row r="16" spans="2:11" x14ac:dyDescent="0.25">
      <c r="B16" s="14">
        <v>8</v>
      </c>
      <c r="C16" s="24">
        <f t="shared" si="1"/>
        <v>14774.554437890625</v>
      </c>
      <c r="D16" s="24">
        <f t="shared" si="1"/>
        <v>21435.888100000011</v>
      </c>
      <c r="E16" s="24">
        <f t="shared" si="1"/>
        <v>24759.631762948109</v>
      </c>
      <c r="F16" s="24">
        <f t="shared" si="1"/>
        <v>30590.228625390602</v>
      </c>
      <c r="G16" s="24">
        <f t="shared" si="1"/>
        <v>42998.169599999994</v>
      </c>
    </row>
    <row r="17" spans="2:7" x14ac:dyDescent="0.25">
      <c r="B17" s="14">
        <v>9</v>
      </c>
      <c r="C17" s="24">
        <f t="shared" si="1"/>
        <v>15513.282159785158</v>
      </c>
      <c r="D17" s="24">
        <f t="shared" si="1"/>
        <v>23579.476910000016</v>
      </c>
      <c r="E17" s="24">
        <f t="shared" si="1"/>
        <v>27730.787574501883</v>
      </c>
      <c r="F17" s="24">
        <f t="shared" si="1"/>
        <v>35178.762919199195</v>
      </c>
      <c r="G17" s="24">
        <f t="shared" si="1"/>
        <v>51597.803519999994</v>
      </c>
    </row>
    <row r="18" spans="2:7" x14ac:dyDescent="0.25">
      <c r="B18" s="14">
        <v>10</v>
      </c>
      <c r="C18" s="24">
        <f t="shared" si="1"/>
        <v>16288.946267774416</v>
      </c>
      <c r="D18" s="24">
        <f t="shared" si="1"/>
        <v>25937.424601000017</v>
      </c>
      <c r="E18" s="24">
        <f t="shared" si="1"/>
        <v>31058.482083442112</v>
      </c>
      <c r="F18" s="24">
        <f t="shared" si="1"/>
        <v>40455.57735707907</v>
      </c>
      <c r="G18" s="24">
        <f t="shared" si="1"/>
        <v>61917.36422399999</v>
      </c>
    </row>
    <row r="19" spans="2:7" x14ac:dyDescent="0.25">
      <c r="B19" s="14">
        <v>11</v>
      </c>
      <c r="C19" s="24">
        <f t="shared" si="1"/>
        <v>17103.393581163138</v>
      </c>
      <c r="D19" s="24">
        <f t="shared" si="1"/>
        <v>28531.167061100026</v>
      </c>
      <c r="E19" s="24">
        <f t="shared" si="1"/>
        <v>34785.499933455169</v>
      </c>
      <c r="F19" s="24">
        <f t="shared" si="1"/>
        <v>46523.913960640923</v>
      </c>
      <c r="G19" s="24">
        <f t="shared" si="1"/>
        <v>74300.837068799985</v>
      </c>
    </row>
    <row r="20" spans="2:7" x14ac:dyDescent="0.25">
      <c r="B20" s="14">
        <v>12</v>
      </c>
      <c r="C20" s="24">
        <f t="shared" si="1"/>
        <v>17958.563260221294</v>
      </c>
      <c r="D20" s="24">
        <f t="shared" si="1"/>
        <v>31384.283767210025</v>
      </c>
      <c r="E20" s="24">
        <f t="shared" si="1"/>
        <v>38959.759925469785</v>
      </c>
      <c r="F20" s="24">
        <f t="shared" si="1"/>
        <v>53502.501054737055</v>
      </c>
      <c r="G20" s="24">
        <f t="shared" si="1"/>
        <v>89161.004482559976</v>
      </c>
    </row>
    <row r="21" spans="2:7" x14ac:dyDescent="0.25">
      <c r="B21" s="14">
        <v>13</v>
      </c>
      <c r="C21" s="24">
        <f t="shared" si="1"/>
        <v>18856.491423232361</v>
      </c>
      <c r="D21" s="24">
        <f t="shared" si="1"/>
        <v>34522.712143931029</v>
      </c>
      <c r="E21" s="24">
        <f t="shared" si="1"/>
        <v>43634.931116526168</v>
      </c>
      <c r="F21" s="24">
        <f t="shared" si="1"/>
        <v>61527.876212947616</v>
      </c>
      <c r="G21" s="24">
        <f t="shared" si="1"/>
        <v>106993.20537907198</v>
      </c>
    </row>
    <row r="22" spans="2:7" x14ac:dyDescent="0.25">
      <c r="B22" s="14">
        <v>14</v>
      </c>
      <c r="C22" s="24">
        <f t="shared" si="1"/>
        <v>19799.315994393972</v>
      </c>
      <c r="D22" s="24">
        <f t="shared" si="1"/>
        <v>37974.983358324142</v>
      </c>
      <c r="E22" s="24">
        <f t="shared" si="1"/>
        <v>48871.122850509317</v>
      </c>
      <c r="F22" s="24">
        <f t="shared" si="1"/>
        <v>70757.057644889748</v>
      </c>
      <c r="G22" s="24">
        <f t="shared" si="1"/>
        <v>128391.84645488636</v>
      </c>
    </row>
    <row r="23" spans="2:7" x14ac:dyDescent="0.25">
      <c r="B23" s="14">
        <v>15</v>
      </c>
      <c r="C23" s="24">
        <f t="shared" si="1"/>
        <v>20789.281794113678</v>
      </c>
      <c r="D23" s="24">
        <f t="shared" si="1"/>
        <v>41772.481694156551</v>
      </c>
      <c r="E23" s="24">
        <f t="shared" si="1"/>
        <v>54735.657592570431</v>
      </c>
      <c r="F23" s="24">
        <f t="shared" si="1"/>
        <v>81370.616291623199</v>
      </c>
      <c r="G23" s="24">
        <f t="shared" si="1"/>
        <v>154070.21574586365</v>
      </c>
    </row>
    <row r="24" spans="2:7" x14ac:dyDescent="0.25">
      <c r="B24" s="14">
        <v>16</v>
      </c>
      <c r="C24" s="24">
        <f t="shared" si="1"/>
        <v>21828.74588381936</v>
      </c>
      <c r="D24" s="24">
        <f t="shared" si="1"/>
        <v>45949.729863572211</v>
      </c>
      <c r="E24" s="24">
        <f t="shared" si="1"/>
        <v>61303.936503678888</v>
      </c>
      <c r="F24" s="24">
        <f t="shared" si="1"/>
        <v>93576.208735366657</v>
      </c>
      <c r="G24" s="24">
        <f t="shared" si="1"/>
        <v>184884.25889503636</v>
      </c>
    </row>
    <row r="25" spans="2:7" x14ac:dyDescent="0.25">
      <c r="B25" s="14">
        <v>17</v>
      </c>
      <c r="C25" s="24">
        <f t="shared" si="1"/>
        <v>22920.183178010331</v>
      </c>
      <c r="D25" s="24">
        <f t="shared" si="1"/>
        <v>50544.702849929432</v>
      </c>
      <c r="E25" s="24">
        <f t="shared" si="1"/>
        <v>68660.408884120363</v>
      </c>
      <c r="F25" s="24">
        <f t="shared" si="1"/>
        <v>107612.64004567165</v>
      </c>
      <c r="G25" s="24">
        <f t="shared" si="1"/>
        <v>221861.11067404362</v>
      </c>
    </row>
    <row r="26" spans="2:7" x14ac:dyDescent="0.25">
      <c r="B26" s="14">
        <v>18</v>
      </c>
      <c r="C26" s="24">
        <f t="shared" si="1"/>
        <v>24066.192336910848</v>
      </c>
      <c r="D26" s="24">
        <f t="shared" si="1"/>
        <v>55599.173134922377</v>
      </c>
      <c r="E26" s="24">
        <f t="shared" si="1"/>
        <v>76899.657950214809</v>
      </c>
      <c r="F26" s="24">
        <f t="shared" si="1"/>
        <v>123754.53605252238</v>
      </c>
      <c r="G26" s="24">
        <f t="shared" si="1"/>
        <v>266233.33280885231</v>
      </c>
    </row>
    <row r="27" spans="2:7" x14ac:dyDescent="0.25">
      <c r="B27" s="14">
        <v>19</v>
      </c>
      <c r="C27" s="24">
        <f t="shared" si="1"/>
        <v>25269.501953756389</v>
      </c>
      <c r="D27" s="24">
        <f t="shared" si="1"/>
        <v>61159.09044841463</v>
      </c>
      <c r="E27" s="24">
        <f t="shared" si="1"/>
        <v>86127.616904240596</v>
      </c>
      <c r="F27" s="24">
        <f t="shared" si="1"/>
        <v>142317.71646040073</v>
      </c>
      <c r="G27" s="24">
        <f t="shared" si="1"/>
        <v>319479.9993706228</v>
      </c>
    </row>
    <row r="28" spans="2:7" x14ac:dyDescent="0.25">
      <c r="B28" s="14">
        <v>20</v>
      </c>
      <c r="C28" s="24">
        <f t="shared" si="1"/>
        <v>26532.97705144421</v>
      </c>
      <c r="D28" s="24">
        <f t="shared" si="1"/>
        <v>67274.999493256095</v>
      </c>
      <c r="E28" s="24">
        <f t="shared" si="1"/>
        <v>96462.93093274947</v>
      </c>
      <c r="F28" s="24">
        <f t="shared" si="1"/>
        <v>163665.37392946082</v>
      </c>
      <c r="G28" s="24">
        <f t="shared" si="1"/>
        <v>383375.99924474739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55019BAB0549B2C20BFAAB8A2896" ma:contentTypeVersion="16" ma:contentTypeDescription="Create a new document." ma:contentTypeScope="" ma:versionID="85cef1d12f529d56583853ef5dc33f7c">
  <xsd:schema xmlns:xsd="http://www.w3.org/2001/XMLSchema" xmlns:xs="http://www.w3.org/2001/XMLSchema" xmlns:p="http://schemas.microsoft.com/office/2006/metadata/properties" xmlns:ns2="5e41b080-9453-459c-bb93-b19be7335f42" xmlns:ns3="4e58ebf2-e4df-4cd3-9186-1e42b3ede124" targetNamespace="http://schemas.microsoft.com/office/2006/metadata/properties" ma:root="true" ma:fieldsID="ccccdfc22f8c8f07a3477280a29706aa" ns2:_="" ns3:_="">
    <xsd:import namespace="5e41b080-9453-459c-bb93-b19be7335f42"/>
    <xsd:import namespace="4e58ebf2-e4df-4cd3-9186-1e42b3ede124"/>
    <xsd:element name="properties">
      <xsd:complexType>
        <xsd:sequence>
          <xsd:element name="documentManagement">
            <xsd:complexType>
              <xsd:all>
                <xsd:element ref="ns2:Due_x0020_Date" minOccurs="0"/>
                <xsd:element ref="ns2:Status" minOccurs="0"/>
                <xsd:element ref="ns2:Comment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1b080-9453-459c-bb93-b19be7335f42" elementFormDefault="qualified">
    <xsd:import namespace="http://schemas.microsoft.com/office/2006/documentManagement/types"/>
    <xsd:import namespace="http://schemas.microsoft.com/office/infopath/2007/PartnerControls"/>
    <xsd:element name="Due_x0020_Date" ma:index="8" nillable="true" ma:displayName="Due Date" ma:format="DateOnly" ma:internalName="Due_x0020_Date">
      <xsd:simpleType>
        <xsd:restriction base="dms:DateTime"/>
      </xsd:simpleType>
    </xsd:element>
    <xsd:element name="Status" ma:index="9" nillable="true" ma:displayName="Status" ma:format="Dropdown" ma:internalName="Status">
      <xsd:simpleType>
        <xsd:restriction base="dms:Choice">
          <xsd:enumeration value="For Partner Review"/>
          <xsd:enumeration value="For Collegis Review"/>
          <xsd:enumeration value="Approved by Partner"/>
        </xsd:restriction>
      </xsd:simpleType>
    </xsd:element>
    <xsd:element name="Comments" ma:index="10" nillable="true" ma:displayName="Comments" ma:internalName="Comment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040b95-0fdc-46ce-be91-73dc89545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8ebf2-e4df-4cd3-9186-1e42b3ede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f5f3a8b-878a-4d06-a8de-79a1d9f1fffd}" ma:internalName="TaxCatchAll" ma:showField="CatchAllData" ma:web="4e58ebf2-e4df-4cd3-9186-1e42b3ede1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5e41b080-9453-459c-bb93-b19be7335f42" xsi:nil="true"/>
    <Comments xmlns="5e41b080-9453-459c-bb93-b19be7335f42" xsi:nil="true"/>
    <Due_x0020_Date xmlns="5e41b080-9453-459c-bb93-b19be7335f42" xsi:nil="true"/>
    <lcf76f155ced4ddcb4097134ff3c332f xmlns="5e41b080-9453-459c-bb93-b19be7335f42">
      <Terms xmlns="http://schemas.microsoft.com/office/infopath/2007/PartnerControls"/>
    </lcf76f155ced4ddcb4097134ff3c332f>
    <TaxCatchAll xmlns="4e58ebf2-e4df-4cd3-9186-1e42b3ede124" xsi:nil="true"/>
  </documentManagement>
</p:properties>
</file>

<file path=customXml/itemProps1.xml><?xml version="1.0" encoding="utf-8"?>
<ds:datastoreItem xmlns:ds="http://schemas.openxmlformats.org/officeDocument/2006/customXml" ds:itemID="{32F019B9-1CA1-4166-82BE-00E4B1E4C2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2C9A37-BD21-4B64-9ECA-9BFFD32AD1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1b080-9453-459c-bb93-b19be7335f42"/>
    <ds:schemaRef ds:uri="4e58ebf2-e4df-4cd3-9186-1e42b3ede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067E92-66A8-4F4A-9A0B-9DBB917F8A3C}">
  <ds:schemaRefs>
    <ds:schemaRef ds:uri="http://schemas.microsoft.com/office/2006/metadata/properties"/>
    <ds:schemaRef ds:uri="http://schemas.microsoft.com/office/infopath/2007/PartnerControls"/>
    <ds:schemaRef ds:uri="5e41b080-9453-459c-bb93-b19be7335f42"/>
    <ds:schemaRef ds:uri="4e58ebf2-e4df-4cd3-9186-1e42b3ede1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5</vt:i4>
      </vt:variant>
    </vt:vector>
  </HeadingPairs>
  <TitlesOfParts>
    <vt:vector size="31" baseType="lpstr">
      <vt:lpstr>Summary</vt:lpstr>
      <vt:lpstr>Cash Flow Representations</vt:lpstr>
      <vt:lpstr>Simple &amp; Compounding Interest</vt:lpstr>
      <vt:lpstr>Rule of 72</vt:lpstr>
      <vt:lpstr>Simple vs. Compounding Interest</vt:lpstr>
      <vt:lpstr>Nominal vs APR</vt:lpstr>
      <vt:lpstr>Effective Interest Rate</vt:lpstr>
      <vt:lpstr>Nominal_Effective Annual Rate</vt:lpstr>
      <vt:lpstr>Rate -- Power of Compounding</vt:lpstr>
      <vt:lpstr>No. Compounding Periods Effect</vt:lpstr>
      <vt:lpstr>Future Value (FV)</vt:lpstr>
      <vt:lpstr>Present Value (PV)</vt:lpstr>
      <vt:lpstr>Future Value (FV) -- 2 </vt:lpstr>
      <vt:lpstr>NPER -- Example 1</vt:lpstr>
      <vt:lpstr>NPER -- Example 2</vt:lpstr>
      <vt:lpstr>RATE</vt:lpstr>
      <vt:lpstr>Quote, EAR, FV Example</vt:lpstr>
      <vt:lpstr>Mismatch quoted rate &amp; period</vt:lpstr>
      <vt:lpstr>More Complex Example</vt:lpstr>
      <vt:lpstr>More Complex Example (2)</vt:lpstr>
      <vt:lpstr>NPV</vt:lpstr>
      <vt:lpstr>XNPV</vt:lpstr>
      <vt:lpstr>Example - Annuity Payout</vt:lpstr>
      <vt:lpstr>Example - Annuity</vt:lpstr>
      <vt:lpstr>Example -- Down Payment Savings</vt:lpstr>
      <vt:lpstr>Example -- Scholarship</vt:lpstr>
      <vt:lpstr>Simple Interest Chart</vt:lpstr>
      <vt:lpstr>Compound Interest Chart</vt:lpstr>
      <vt:lpstr>Simple_Compount Interest_Chart</vt:lpstr>
      <vt:lpstr>Effect of Interest, r</vt:lpstr>
      <vt:lpstr>Effect of No. Periods, n</vt:lpstr>
    </vt:vector>
  </TitlesOfParts>
  <Company>IIT Stuart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Durango-Cohen</dc:creator>
  <cp:lastModifiedBy>MBOGO.A.ALFRED</cp:lastModifiedBy>
  <dcterms:created xsi:type="dcterms:W3CDTF">2023-08-07T14:22:01Z</dcterms:created>
  <dcterms:modified xsi:type="dcterms:W3CDTF">2025-01-25T08:33:20Z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0x010100F3EF55019BAB0549B2C20BFAAB8A2896</vt:lpwstr>
  </property>
</Properties>
</file>