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OGO.A.ALFRED\Desktop\An Excel Masterclass\"/>
    </mc:Choice>
  </mc:AlternateContent>
  <xr:revisionPtr revIDLastSave="0" documentId="8_{EFCF76D2-FF74-404C-B350-9C40E61A6F10}" xr6:coauthVersionLast="44" xr6:coauthVersionMax="44" xr10:uidLastSave="{00000000-0000-0000-0000-000000000000}"/>
  <bookViews>
    <workbookView xWindow="-120" yWindow="-120" windowWidth="24240" windowHeight="13140" tabRatio="839" activeTab="8" xr2:uid="{00000000-000D-0000-FFFF-FFFF00000000}"/>
  </bookViews>
  <sheets>
    <sheet name="Summary" sheetId="85" r:id="rId1"/>
    <sheet name="Overview of Loans" sheetId="68" r:id="rId2"/>
    <sheet name="Temperance Loan" sheetId="76" r:id="rId3"/>
    <sheet name="Amortization Schedule" sheetId="77" r:id="rId4"/>
    <sheet name="Temperance Amortization Schd." sheetId="78" r:id="rId5"/>
    <sheet name="Loan Balance" sheetId="79" r:id="rId6"/>
    <sheet name="Cumulative Totals" sheetId="80" r:id="rId7"/>
    <sheet name="Impact of Extra Payment " sheetId="81" r:id="rId8"/>
    <sheet name="Credit Cards" sheetId="83" r:id="rId9"/>
  </sheets>
  <externalReferences>
    <externalReference r:id="rId10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dditional_Payment">'Impact of Extra Payment '!$C$10</definedName>
    <definedName name="APR">'Impact of Extra Payment '!$C$6</definedName>
    <definedName name="CBWorkbookPriority" hidden="1">-1591358542</definedName>
    <definedName name="ds" localSheetId="6" hidden="1">#REF!</definedName>
    <definedName name="ds" localSheetId="5" hidden="1">#REF!</definedName>
    <definedName name="ds" hidden="1">#REF!</definedName>
    <definedName name="erw" localSheetId="6" hidden="1">#REF!</definedName>
    <definedName name="erw" localSheetId="5" hidden="1">#REF!</definedName>
    <definedName name="erw" hidden="1">#REF!</definedName>
    <definedName name="ew" localSheetId="6" hidden="1">#REF!</definedName>
    <definedName name="ew" localSheetId="5" hidden="1">#REF!</definedName>
    <definedName name="ew" hidden="1">#REF!</definedName>
    <definedName name="ffff" localSheetId="6" hidden="1">#REF!</definedName>
    <definedName name="ffff" localSheetId="5" hidden="1">#REF!</definedName>
    <definedName name="ffff" hidden="1">#REF!</definedName>
    <definedName name="fffff" localSheetId="6" hidden="1">#REF!</definedName>
    <definedName name="fffff" hidden="1">#REF!</definedName>
    <definedName name="ffffff" localSheetId="6" hidden="1">#REF!</definedName>
    <definedName name="ffffff" hidden="1">#REF!</definedName>
    <definedName name="fg" localSheetId="6" hidden="1">#REF!</definedName>
    <definedName name="fg" hidden="1">#REF!</definedName>
    <definedName name="fsdsd" localSheetId="6" hidden="1">PTreeObjectReference(PTDecisionTree_9,[1]treeCalc_9!$A$1)</definedName>
    <definedName name="fsdsd" localSheetId="5" hidden="1">PTreeObjectReference(PTDecisionTree_9,[1]treeCalc_9!$A$1)</definedName>
    <definedName name="fsdsd" hidden="1">PTreeObjectReference(PTDecisionTree_9,[1]treeCalc_9!$A$1)</definedName>
    <definedName name="gg" localSheetId="6" hidden="1">#REF!</definedName>
    <definedName name="gg" localSheetId="5" hidden="1">#REF!</definedName>
    <definedName name="gg" hidden="1">#REF!</definedName>
    <definedName name="Loan_Amount" localSheetId="7">'Impact of Extra Payment '!$C$4</definedName>
    <definedName name="Loan_Term_Years">'Impact of Extra Payment '!$C$5</definedName>
    <definedName name="Month" localSheetId="7">'Impact of Extra Payment '!$J$16:$J$375</definedName>
    <definedName name="Monthly_Payment" localSheetId="7">'Impact of Extra Payment '!$C$8</definedName>
    <definedName name="Pal_Workbook_GUID" hidden="1">"UYWG6RU9N5BDGXZHMJ46F8PV"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FALSE</definedName>
    <definedName name="PTree_SensitivityAnalysis_IncludeSpiderGraph" hidden="1">FALSE</definedName>
    <definedName name="PTree_SensitivityAnalysis_IncludeStrategyRegion" hidden="1">TRUE</definedName>
    <definedName name="PTree_SensitivityAnalysis_IncludeTornadoGraph" hidden="1">FALSE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100</definedName>
    <definedName name="PTree_SensitivityAnalysis_Inputs_1_Minimum" hidden="1">-100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localSheetId="3" hidden="1">#REF!</definedName>
    <definedName name="PTree_SensitivityAnalysis_Inputs_1_VaryCell" localSheetId="6" hidden="1">#REF!</definedName>
    <definedName name="PTree_SensitivityAnalysis_Inputs_1_VaryCell" localSheetId="5" hidden="1">#REF!</definedName>
    <definedName name="PTree_SensitivityAnalysis_Inputs_1_VaryCell" localSheetId="1" hidden="1">#REF!</definedName>
    <definedName name="PTree_SensitivityAnalysis_Inputs_1_VaryCell" hidden="1">#REF!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100</definedName>
    <definedName name="PTree_SensitivityAnalysis_Inputs_2_Minimum" hidden="1">-100</definedName>
    <definedName name="PTree_SensitivityAnalysis_Inputs_2_OneWayAnalysis" hidden="1">1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2_VaryCell" localSheetId="3" hidden="1">#REF!</definedName>
    <definedName name="PTree_SensitivityAnalysis_Inputs_2_VaryCell" localSheetId="6" hidden="1">#REF!</definedName>
    <definedName name="PTree_SensitivityAnalysis_Inputs_2_VaryCell" localSheetId="5" hidden="1">#REF!</definedName>
    <definedName name="PTree_SensitivityAnalysis_Inputs_2_VaryCell" localSheetId="1" hidden="1">#REF!</definedName>
    <definedName name="PTree_SensitivityAnalysis_Inputs_2_VaryCell" hidden="1">#REF!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100</definedName>
    <definedName name="PTree_SensitivityAnalysis_Inputs_3_Minimum" hidden="1">-100</definedName>
    <definedName name="PTree_SensitivityAnalysis_Inputs_3_OneWayAnalysis" hidden="1">1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3_VaryCell" localSheetId="3" hidden="1">#REF!</definedName>
    <definedName name="PTree_SensitivityAnalysis_Inputs_3_VaryCell" localSheetId="6" hidden="1">#REF!</definedName>
    <definedName name="PTree_SensitivityAnalysis_Inputs_3_VaryCell" localSheetId="5" hidden="1">#REF!</definedName>
    <definedName name="PTree_SensitivityAnalysis_Inputs_3_VaryCell" localSheetId="1" hidden="1">#REF!</definedName>
    <definedName name="PTree_SensitivityAnalysis_Inputs_3_VaryCell" hidden="1">#REF!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100</definedName>
    <definedName name="PTree_SensitivityAnalysis_Inputs_4_Minimum" hidden="1">-100</definedName>
    <definedName name="PTree_SensitivityAnalysis_Inputs_4_OneWayAnalysis" hidden="1">1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0</definedName>
    <definedName name="PTree_SensitivityAnalysis_Inputs_4_VaryCell" localSheetId="3" hidden="1">#REF!</definedName>
    <definedName name="PTree_SensitivityAnalysis_Inputs_4_VaryCell" localSheetId="6" hidden="1">#REF!</definedName>
    <definedName name="PTree_SensitivityAnalysis_Inputs_4_VaryCell" localSheetId="5" hidden="1">#REF!</definedName>
    <definedName name="PTree_SensitivityAnalysis_Inputs_4_VaryCell" localSheetId="1" hidden="1">#REF!</definedName>
    <definedName name="PTree_SensitivityAnalysis_Inputs_4_VaryCell" hidden="1">#REF!</definedName>
    <definedName name="PTree_SensitivityAnalysis_Inputs_5_AlternateCellLabel" hidden="1">""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100</definedName>
    <definedName name="PTree_SensitivityAnalysis_Inputs_5_Minimum" hidden="1">-100</definedName>
    <definedName name="PTree_SensitivityAnalysis_Inputs_5_OneWayAnalysis" hidden="1">1</definedName>
    <definedName name="PTree_SensitivityAnalysis_Inputs_5_Steps" hidden="1">11</definedName>
    <definedName name="PTree_SensitivityAnalysis_Inputs_5_TwoWayAnalysis" hidden="1">0</definedName>
    <definedName name="PTree_SensitivityAnalysis_Inputs_5_VariationMethod" hidden="1">0</definedName>
    <definedName name="PTree_SensitivityAnalysis_Inputs_5_VaryCell" localSheetId="3" hidden="1">#REF!</definedName>
    <definedName name="PTree_SensitivityAnalysis_Inputs_5_VaryCell" localSheetId="6" hidden="1">#REF!</definedName>
    <definedName name="PTree_SensitivityAnalysis_Inputs_5_VaryCell" localSheetId="5" hidden="1">#REF!</definedName>
    <definedName name="PTree_SensitivityAnalysis_Inputs_5_VaryCell" localSheetId="1" hidden="1">#REF!</definedName>
    <definedName name="PTree_SensitivityAnalysis_Inputs_5_VaryCell" hidden="1">#REF!</definedName>
    <definedName name="PTree_SensitivityAnalysis_Inputs_6_AlternateCellLabel" hidden="1">""</definedName>
    <definedName name="PTree_SensitivityAnalysis_Inputs_6_BaseValueIsAutomatic" hidden="1">TRUE</definedName>
    <definedName name="PTree_SensitivityAnalysis_Inputs_6_MaintainProbabilityNormalization" hidden="1">FALSE</definedName>
    <definedName name="PTree_SensitivityAnalysis_Inputs_6_ManualBaseValue" hidden="1">0</definedName>
    <definedName name="PTree_SensitivityAnalysis_Inputs_6_Maximum" hidden="1">100</definedName>
    <definedName name="PTree_SensitivityAnalysis_Inputs_6_Minimum" hidden="1">-100</definedName>
    <definedName name="PTree_SensitivityAnalysis_Inputs_6_OneWayAnalysis" hidden="1">1</definedName>
    <definedName name="PTree_SensitivityAnalysis_Inputs_6_Steps" hidden="1">11</definedName>
    <definedName name="PTree_SensitivityAnalysis_Inputs_6_TwoWayAnalysis" hidden="1">0</definedName>
    <definedName name="PTree_SensitivityAnalysis_Inputs_6_VariationMethod" hidden="1">0</definedName>
    <definedName name="PTree_SensitivityAnalysis_Inputs_6_VaryCell" localSheetId="3" hidden="1">#REF!</definedName>
    <definedName name="PTree_SensitivityAnalysis_Inputs_6_VaryCell" localSheetId="6" hidden="1">#REF!</definedName>
    <definedName name="PTree_SensitivityAnalysis_Inputs_6_VaryCell" localSheetId="5" hidden="1">#REF!</definedName>
    <definedName name="PTree_SensitivityAnalysis_Inputs_6_VaryCell" localSheetId="1" hidden="1">#REF!</definedName>
    <definedName name="PTree_SensitivityAnalysis_Inputs_6_VaryCell" hidden="1">#REF!</definedName>
    <definedName name="PTree_SensitivityAnalysis_Inputs_7_AlternateCellLabel" hidden="1">""</definedName>
    <definedName name="PTree_SensitivityAnalysis_Inputs_7_BaseValueIsAutomatic" hidden="1">TRUE</definedName>
    <definedName name="PTree_SensitivityAnalysis_Inputs_7_MaintainProbabilityNormalization" hidden="1">FALSE</definedName>
    <definedName name="PTree_SensitivityAnalysis_Inputs_7_ManualBaseValue" hidden="1">0</definedName>
    <definedName name="PTree_SensitivityAnalysis_Inputs_7_Maximum" hidden="1">100</definedName>
    <definedName name="PTree_SensitivityAnalysis_Inputs_7_Minimum" hidden="1">-100</definedName>
    <definedName name="PTree_SensitivityAnalysis_Inputs_7_OneWayAnalysis" hidden="1">1</definedName>
    <definedName name="PTree_SensitivityAnalysis_Inputs_7_Steps" hidden="1">11</definedName>
    <definedName name="PTree_SensitivityAnalysis_Inputs_7_TwoWayAnalysis" hidden="1">0</definedName>
    <definedName name="PTree_SensitivityAnalysis_Inputs_7_VariationMethod" hidden="1">0</definedName>
    <definedName name="PTree_SensitivityAnalysis_Inputs_7_VaryCell" localSheetId="3" hidden="1">#REF!</definedName>
    <definedName name="PTree_SensitivityAnalysis_Inputs_7_VaryCell" localSheetId="6" hidden="1">#REF!</definedName>
    <definedName name="PTree_SensitivityAnalysis_Inputs_7_VaryCell" localSheetId="5" hidden="1">#REF!</definedName>
    <definedName name="PTree_SensitivityAnalysis_Inputs_7_VaryCell" localSheetId="1" hidden="1">#REF!</definedName>
    <definedName name="PTree_SensitivityAnalysis_Inputs_7_VaryCell" hidden="1">#REF!</definedName>
    <definedName name="PTree_SensitivityAnalysis_Inputs_8_AlternateCellLabel" hidden="1">""</definedName>
    <definedName name="PTree_SensitivityAnalysis_Inputs_8_BaseValueIsAutomatic" hidden="1">TRUE</definedName>
    <definedName name="PTree_SensitivityAnalysis_Inputs_8_MaintainProbabilityNormalization" hidden="1">FALSE</definedName>
    <definedName name="PTree_SensitivityAnalysis_Inputs_8_ManualBaseValue" hidden="1">0</definedName>
    <definedName name="PTree_SensitivityAnalysis_Inputs_8_Maximum" hidden="1">100</definedName>
    <definedName name="PTree_SensitivityAnalysis_Inputs_8_Minimum" hidden="1">-100</definedName>
    <definedName name="PTree_SensitivityAnalysis_Inputs_8_OneWayAnalysis" hidden="1">1</definedName>
    <definedName name="PTree_SensitivityAnalysis_Inputs_8_Steps" hidden="1">11</definedName>
    <definedName name="PTree_SensitivityAnalysis_Inputs_8_TwoWayAnalysis" hidden="1">0</definedName>
    <definedName name="PTree_SensitivityAnalysis_Inputs_8_VariationMethod" hidden="1">0</definedName>
    <definedName name="PTree_SensitivityAnalysis_Inputs_8_VaryCell" localSheetId="3" hidden="1">#REF!</definedName>
    <definedName name="PTree_SensitivityAnalysis_Inputs_8_VaryCell" localSheetId="6" hidden="1">#REF!</definedName>
    <definedName name="PTree_SensitivityAnalysis_Inputs_8_VaryCell" localSheetId="5" hidden="1">#REF!</definedName>
    <definedName name="PTree_SensitivityAnalysis_Inputs_8_VaryCell" localSheetId="1" hidden="1">#REF!</definedName>
    <definedName name="PTree_SensitivityAnalysis_Inputs_8_VaryCell" hidden="1">#REF!</definedName>
    <definedName name="PTree_SensitivityAnalysis_Inputs_Count" hidden="1">8</definedName>
    <definedName name="PTree_SensitivityAnalysis_Output_AlternateCellLabel" hidden="1">""</definedName>
    <definedName name="PTree_SensitivityAnalysis_Output_Model" localSheetId="3" hidden="1">PTreeObjectReference(PTDecisionTree_9,[1]treeCalc_9!$A$1)</definedName>
    <definedName name="PTree_SensitivityAnalysis_Output_Model" localSheetId="6" hidden="1">PTreeObjectReference(PTDecisionTree_9,[1]treeCalc_9!$A$1)</definedName>
    <definedName name="PTree_SensitivityAnalysis_Output_Model" localSheetId="5" hidden="1">PTreeObjectReference(PTDecisionTree_9,[1]treeCalc_9!$A$1)</definedName>
    <definedName name="PTree_SensitivityAnalysis_Output_Model" localSheetId="1" hidden="1">PTreeObjectReference(PTDecisionTree_9,[1]treeCalc_9!$A$1)</definedName>
    <definedName name="PTree_SensitivityAnalysis_Output_Model" localSheetId="2" hidden="1">PTreeObjectReference(PTDecisionTree_9,[1]treeCalc_9!$A$1)</definedName>
    <definedName name="PTree_SensitivityAnalysis_Output_Model" hidden="1">PTreeObjectReference(PTDecisionTree_9,[1]treeCalc_9!$A$1)</definedName>
    <definedName name="PTree_SensitivityAnalysis_Output_OutputType" hidden="1">1</definedName>
    <definedName name="PTree_SensitivityAnalysis_Output_StartingNode" localSheetId="3" hidden="1">PTreeObjectReference(PTDecisionTreeNode_9_8,#REF!)</definedName>
    <definedName name="PTree_SensitivityAnalysis_Output_StartingNode" localSheetId="6" hidden="1">PTreeObjectReference(PTDecisionTreeNode_9_8,#REF!)</definedName>
    <definedName name="PTree_SensitivityAnalysis_Output_StartingNode" localSheetId="5" hidden="1">PTreeObjectReference(PTDecisionTreeNode_9_8,#REF!)</definedName>
    <definedName name="PTree_SensitivityAnalysis_Output_StartingNode" localSheetId="1" hidden="1">PTreeObjectReference(PTDecisionTreeNode_9_8,#REF!)</definedName>
    <definedName name="PTree_SensitivityAnalysis_Output_StartingNode" localSheetId="2" hidden="1">PTreeObjectReference(PTDecisionTreeNode_9_8,#REF!)</definedName>
    <definedName name="PTree_SensitivityAnalysis_Output_StartingNode" hidden="1">PTreeObjectReference(PTDecisionTreeNode_9_8,#REF!)</definedName>
    <definedName name="PTree_SensitivityAnalysis_UpdateDisplay" hidden="1">FALSE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FALSE</definedName>
    <definedName name="riskATSSpercentileValue" hidden="1">0.5</definedName>
    <definedName name="riskATSSprintReport" hidden="1">FALSE</definedName>
    <definedName name="riskATSSreportsInActiveBook" hidden="1">TRUE</definedName>
    <definedName name="riskATSSreportsSelected" hidden="1">TRUE</definedName>
    <definedName name="riskATSSsummaryReport" hidden="1">TRUE</definedName>
    <definedName name="riskATSStornadoGraph" hidden="1">FALSE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dsdsd" localSheetId="6" hidden="1">PTreeObjectReference(PTDecisionTreeNode_9_8,#REF!)</definedName>
    <definedName name="sdsdsd" localSheetId="5" hidden="1">PTreeObjectReference(PTDecisionTreeNode_9_8,#REF!)</definedName>
    <definedName name="sdsdsd" hidden="1">PTreeObjectReference(PTDecisionTreeNode_9_8,#REF!)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"RiskSolver.UI.Charts.OutDlgPars:-1000001;5;11;55;45;0;1;90;80;0;0;0;0;"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reeList" hidden="1">"00000100100000000000000000000000000000000000000000000000000000000000000000000000000000000000000000000000000000000000000000000000000000000000000000000000000000000000000000000000000000000000000000000000"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83" l="1"/>
  <c r="D11" i="83" s="1"/>
  <c r="C11" i="83" l="1"/>
  <c r="C15" i="83" s="1"/>
  <c r="C16" i="83" s="1"/>
  <c r="G8" i="83" s="1"/>
  <c r="G9" i="83" s="1"/>
  <c r="L375" i="81"/>
  <c r="K375" i="81"/>
  <c r="L374" i="81"/>
  <c r="K374" i="81"/>
  <c r="L373" i="81"/>
  <c r="K373" i="81"/>
  <c r="L372" i="81"/>
  <c r="K372" i="81"/>
  <c r="L371" i="81"/>
  <c r="K371" i="81"/>
  <c r="L370" i="81"/>
  <c r="K370" i="81"/>
  <c r="L369" i="81"/>
  <c r="K369" i="81"/>
  <c r="L368" i="81"/>
  <c r="K368" i="81"/>
  <c r="L367" i="81"/>
  <c r="K367" i="81"/>
  <c r="L366" i="81"/>
  <c r="K366" i="81"/>
  <c r="L365" i="81"/>
  <c r="K365" i="81"/>
  <c r="L364" i="81"/>
  <c r="K364" i="81"/>
  <c r="L363" i="81"/>
  <c r="K363" i="81"/>
  <c r="L362" i="81"/>
  <c r="K362" i="81"/>
  <c r="L361" i="81"/>
  <c r="K361" i="81"/>
  <c r="L360" i="81"/>
  <c r="K360" i="81"/>
  <c r="L359" i="81"/>
  <c r="K359" i="81"/>
  <c r="L358" i="81"/>
  <c r="K358" i="81"/>
  <c r="L357" i="81"/>
  <c r="K357" i="81"/>
  <c r="L356" i="81"/>
  <c r="K356" i="81"/>
  <c r="L355" i="81"/>
  <c r="K355" i="81"/>
  <c r="L354" i="81"/>
  <c r="K354" i="81"/>
  <c r="L353" i="81"/>
  <c r="K353" i="81"/>
  <c r="L352" i="81"/>
  <c r="K352" i="81"/>
  <c r="L351" i="81"/>
  <c r="K351" i="81"/>
  <c r="L350" i="81"/>
  <c r="K350" i="81"/>
  <c r="L349" i="81"/>
  <c r="K349" i="81"/>
  <c r="L348" i="81"/>
  <c r="K348" i="81"/>
  <c r="L347" i="81"/>
  <c r="K347" i="81"/>
  <c r="L346" i="81"/>
  <c r="K346" i="81"/>
  <c r="L345" i="81"/>
  <c r="K345" i="81"/>
  <c r="L344" i="81"/>
  <c r="K344" i="81"/>
  <c r="L343" i="81"/>
  <c r="K343" i="81"/>
  <c r="L342" i="81"/>
  <c r="K342" i="81"/>
  <c r="L341" i="81"/>
  <c r="K341" i="81"/>
  <c r="L340" i="81"/>
  <c r="K340" i="81"/>
  <c r="L339" i="81"/>
  <c r="K339" i="81"/>
  <c r="L338" i="81"/>
  <c r="K338" i="81"/>
  <c r="L337" i="81"/>
  <c r="K337" i="81"/>
  <c r="L336" i="81"/>
  <c r="K336" i="81"/>
  <c r="L335" i="81"/>
  <c r="K335" i="81"/>
  <c r="L334" i="81"/>
  <c r="K334" i="81"/>
  <c r="L333" i="81"/>
  <c r="K333" i="81"/>
  <c r="L332" i="81"/>
  <c r="K332" i="81"/>
  <c r="L331" i="81"/>
  <c r="K331" i="81"/>
  <c r="L330" i="81"/>
  <c r="K330" i="81"/>
  <c r="L329" i="81"/>
  <c r="K329" i="81"/>
  <c r="L328" i="81"/>
  <c r="K328" i="81"/>
  <c r="L327" i="81"/>
  <c r="K327" i="81"/>
  <c r="L326" i="81"/>
  <c r="K326" i="81"/>
  <c r="L325" i="81"/>
  <c r="K325" i="81"/>
  <c r="L324" i="81"/>
  <c r="K324" i="81"/>
  <c r="L323" i="81"/>
  <c r="K323" i="81"/>
  <c r="L322" i="81"/>
  <c r="K322" i="81"/>
  <c r="L321" i="81"/>
  <c r="K321" i="81"/>
  <c r="L320" i="81"/>
  <c r="K320" i="81"/>
  <c r="L319" i="81"/>
  <c r="K319" i="81"/>
  <c r="L318" i="81"/>
  <c r="K318" i="81"/>
  <c r="L317" i="81"/>
  <c r="K317" i="81"/>
  <c r="L316" i="81"/>
  <c r="K316" i="81"/>
  <c r="L315" i="81"/>
  <c r="K315" i="81"/>
  <c r="L314" i="81"/>
  <c r="K314" i="81"/>
  <c r="L313" i="81"/>
  <c r="K313" i="81"/>
  <c r="L312" i="81"/>
  <c r="K312" i="81"/>
  <c r="L311" i="81"/>
  <c r="K311" i="81"/>
  <c r="L310" i="81"/>
  <c r="K310" i="81"/>
  <c r="L309" i="81"/>
  <c r="K309" i="81"/>
  <c r="L308" i="81"/>
  <c r="K308" i="81"/>
  <c r="L307" i="81"/>
  <c r="K307" i="81"/>
  <c r="L306" i="81"/>
  <c r="K306" i="81"/>
  <c r="L305" i="81"/>
  <c r="K305" i="81"/>
  <c r="L304" i="81"/>
  <c r="K304" i="81"/>
  <c r="L303" i="81"/>
  <c r="K303" i="81"/>
  <c r="L302" i="81"/>
  <c r="K302" i="81"/>
  <c r="L301" i="81"/>
  <c r="K301" i="81"/>
  <c r="L300" i="81"/>
  <c r="K300" i="81"/>
  <c r="L299" i="81"/>
  <c r="K299" i="81"/>
  <c r="L298" i="81"/>
  <c r="K298" i="81"/>
  <c r="L297" i="81"/>
  <c r="K297" i="81"/>
  <c r="L296" i="81"/>
  <c r="K296" i="81"/>
  <c r="L295" i="81"/>
  <c r="K295" i="81"/>
  <c r="L294" i="81"/>
  <c r="K294" i="81"/>
  <c r="L293" i="81"/>
  <c r="K293" i="81"/>
  <c r="L292" i="81"/>
  <c r="K292" i="81"/>
  <c r="L291" i="81"/>
  <c r="K291" i="81"/>
  <c r="L290" i="81"/>
  <c r="K290" i="81"/>
  <c r="L289" i="81"/>
  <c r="K289" i="81"/>
  <c r="L288" i="81"/>
  <c r="K288" i="81"/>
  <c r="L287" i="81"/>
  <c r="K287" i="81"/>
  <c r="L286" i="81"/>
  <c r="K286" i="81"/>
  <c r="L285" i="81"/>
  <c r="K285" i="81"/>
  <c r="L284" i="81"/>
  <c r="K284" i="81"/>
  <c r="L283" i="81"/>
  <c r="K283" i="81"/>
  <c r="L282" i="81"/>
  <c r="K282" i="81"/>
  <c r="L281" i="81"/>
  <c r="K281" i="81"/>
  <c r="L280" i="81"/>
  <c r="K280" i="81"/>
  <c r="L279" i="81"/>
  <c r="K279" i="81"/>
  <c r="L278" i="81"/>
  <c r="K278" i="81"/>
  <c r="L277" i="81"/>
  <c r="K277" i="81"/>
  <c r="L276" i="81"/>
  <c r="K276" i="81"/>
  <c r="L275" i="81"/>
  <c r="K275" i="81"/>
  <c r="L274" i="81"/>
  <c r="K274" i="81"/>
  <c r="L273" i="81"/>
  <c r="K273" i="81"/>
  <c r="L272" i="81"/>
  <c r="K272" i="81"/>
  <c r="L271" i="81"/>
  <c r="K271" i="81"/>
  <c r="L270" i="81"/>
  <c r="K270" i="81"/>
  <c r="L269" i="81"/>
  <c r="K269" i="81"/>
  <c r="L268" i="81"/>
  <c r="K268" i="81"/>
  <c r="L267" i="81"/>
  <c r="K267" i="81"/>
  <c r="L266" i="81"/>
  <c r="K266" i="81"/>
  <c r="L265" i="81"/>
  <c r="K265" i="81"/>
  <c r="L264" i="81"/>
  <c r="K264" i="81"/>
  <c r="L263" i="81"/>
  <c r="K263" i="81"/>
  <c r="L262" i="81"/>
  <c r="K262" i="81"/>
  <c r="L261" i="81"/>
  <c r="K261" i="81"/>
  <c r="L260" i="81"/>
  <c r="K260" i="81"/>
  <c r="L259" i="81"/>
  <c r="K259" i="81"/>
  <c r="L258" i="81"/>
  <c r="K258" i="81"/>
  <c r="L257" i="81"/>
  <c r="K257" i="81"/>
  <c r="L256" i="81"/>
  <c r="K256" i="81"/>
  <c r="L255" i="81"/>
  <c r="K255" i="81"/>
  <c r="L254" i="81"/>
  <c r="K254" i="81"/>
  <c r="L253" i="81"/>
  <c r="K253" i="81"/>
  <c r="L252" i="81"/>
  <c r="K252" i="81"/>
  <c r="L251" i="81"/>
  <c r="K251" i="81"/>
  <c r="L250" i="81"/>
  <c r="K250" i="81"/>
  <c r="L249" i="81"/>
  <c r="K249" i="81"/>
  <c r="L248" i="81"/>
  <c r="K248" i="81"/>
  <c r="L247" i="81"/>
  <c r="K247" i="81"/>
  <c r="L246" i="81"/>
  <c r="K246" i="81"/>
  <c r="L245" i="81"/>
  <c r="K245" i="81"/>
  <c r="L244" i="81"/>
  <c r="K244" i="81"/>
  <c r="L243" i="81"/>
  <c r="K243" i="81"/>
  <c r="L242" i="81"/>
  <c r="K242" i="81"/>
  <c r="L241" i="81"/>
  <c r="K241" i="81"/>
  <c r="L240" i="81"/>
  <c r="K240" i="81"/>
  <c r="L239" i="81"/>
  <c r="K239" i="81"/>
  <c r="L238" i="81"/>
  <c r="K238" i="81"/>
  <c r="L237" i="81"/>
  <c r="K237" i="81"/>
  <c r="L236" i="81"/>
  <c r="K236" i="81"/>
  <c r="L235" i="81"/>
  <c r="K235" i="81"/>
  <c r="L234" i="81"/>
  <c r="K234" i="81"/>
  <c r="L233" i="81"/>
  <c r="K233" i="81"/>
  <c r="L232" i="81"/>
  <c r="K232" i="81"/>
  <c r="L231" i="81"/>
  <c r="K231" i="81"/>
  <c r="L230" i="81"/>
  <c r="K230" i="81"/>
  <c r="L229" i="81"/>
  <c r="K229" i="81"/>
  <c r="L228" i="81"/>
  <c r="K228" i="81"/>
  <c r="L227" i="81"/>
  <c r="K227" i="81"/>
  <c r="L226" i="81"/>
  <c r="K226" i="81"/>
  <c r="L225" i="81"/>
  <c r="K225" i="81"/>
  <c r="L224" i="81"/>
  <c r="K224" i="81"/>
  <c r="L223" i="81"/>
  <c r="K223" i="81"/>
  <c r="L222" i="81"/>
  <c r="K222" i="81"/>
  <c r="L221" i="81"/>
  <c r="K221" i="81"/>
  <c r="L220" i="81"/>
  <c r="K220" i="81"/>
  <c r="L219" i="81"/>
  <c r="K219" i="81"/>
  <c r="L218" i="81"/>
  <c r="K218" i="81"/>
  <c r="L217" i="81"/>
  <c r="K217" i="81"/>
  <c r="L216" i="81"/>
  <c r="K216" i="81"/>
  <c r="L215" i="81"/>
  <c r="K215" i="81"/>
  <c r="L214" i="81"/>
  <c r="K214" i="81"/>
  <c r="L213" i="81"/>
  <c r="K213" i="81"/>
  <c r="L212" i="81"/>
  <c r="K212" i="81"/>
  <c r="L211" i="81"/>
  <c r="K211" i="81"/>
  <c r="L210" i="81"/>
  <c r="K210" i="81"/>
  <c r="L209" i="81"/>
  <c r="K209" i="81"/>
  <c r="L208" i="81"/>
  <c r="K208" i="81"/>
  <c r="L207" i="81"/>
  <c r="K207" i="81"/>
  <c r="L206" i="81"/>
  <c r="K206" i="81"/>
  <c r="L205" i="81"/>
  <c r="K205" i="81"/>
  <c r="L204" i="81"/>
  <c r="K204" i="81"/>
  <c r="L203" i="81"/>
  <c r="K203" i="81"/>
  <c r="L202" i="81"/>
  <c r="K202" i="81"/>
  <c r="L201" i="81"/>
  <c r="K201" i="81"/>
  <c r="L200" i="81"/>
  <c r="K200" i="81"/>
  <c r="L199" i="81"/>
  <c r="K199" i="81"/>
  <c r="L198" i="81"/>
  <c r="K198" i="81"/>
  <c r="L197" i="81"/>
  <c r="K197" i="81"/>
  <c r="L196" i="81"/>
  <c r="K196" i="81"/>
  <c r="L195" i="81"/>
  <c r="K195" i="81"/>
  <c r="L194" i="81"/>
  <c r="K194" i="81"/>
  <c r="L193" i="81"/>
  <c r="K193" i="81"/>
  <c r="L192" i="81"/>
  <c r="K192" i="81"/>
  <c r="L191" i="81"/>
  <c r="K191" i="81"/>
  <c r="L190" i="81"/>
  <c r="K190" i="81"/>
  <c r="L189" i="81"/>
  <c r="K189" i="81"/>
  <c r="L188" i="81"/>
  <c r="K188" i="81"/>
  <c r="L187" i="81"/>
  <c r="K187" i="81"/>
  <c r="L186" i="81"/>
  <c r="K186" i="81"/>
  <c r="L185" i="81"/>
  <c r="K185" i="81"/>
  <c r="L184" i="81"/>
  <c r="K184" i="81"/>
  <c r="L183" i="81"/>
  <c r="K183" i="81"/>
  <c r="L182" i="81"/>
  <c r="K182" i="81"/>
  <c r="L181" i="81"/>
  <c r="K181" i="81"/>
  <c r="L180" i="81"/>
  <c r="K180" i="81"/>
  <c r="L179" i="81"/>
  <c r="K179" i="81"/>
  <c r="L178" i="81"/>
  <c r="K178" i="81"/>
  <c r="L177" i="81"/>
  <c r="K177" i="81"/>
  <c r="L176" i="81"/>
  <c r="K176" i="81"/>
  <c r="L175" i="81"/>
  <c r="K175" i="81"/>
  <c r="L174" i="81"/>
  <c r="K174" i="81"/>
  <c r="L173" i="81"/>
  <c r="K173" i="81"/>
  <c r="L172" i="81"/>
  <c r="K172" i="81"/>
  <c r="L171" i="81"/>
  <c r="K171" i="81"/>
  <c r="L170" i="81"/>
  <c r="K170" i="81"/>
  <c r="L169" i="81"/>
  <c r="K169" i="81"/>
  <c r="L168" i="81"/>
  <c r="K168" i="81"/>
  <c r="L167" i="81"/>
  <c r="K167" i="81"/>
  <c r="L166" i="81"/>
  <c r="K166" i="81"/>
  <c r="L165" i="81"/>
  <c r="K165" i="81"/>
  <c r="L164" i="81"/>
  <c r="K164" i="81"/>
  <c r="L163" i="81"/>
  <c r="K163" i="81"/>
  <c r="L162" i="81"/>
  <c r="K162" i="81"/>
  <c r="L161" i="81"/>
  <c r="K161" i="81"/>
  <c r="L160" i="81"/>
  <c r="K160" i="81"/>
  <c r="L159" i="81"/>
  <c r="K159" i="81"/>
  <c r="L158" i="81"/>
  <c r="K158" i="81"/>
  <c r="L157" i="81"/>
  <c r="K157" i="81"/>
  <c r="L156" i="81"/>
  <c r="K156" i="81"/>
  <c r="L155" i="81"/>
  <c r="K155" i="81"/>
  <c r="L154" i="81"/>
  <c r="K154" i="81"/>
  <c r="L153" i="81"/>
  <c r="K153" i="81"/>
  <c r="L152" i="81"/>
  <c r="K152" i="81"/>
  <c r="L151" i="81"/>
  <c r="K151" i="81"/>
  <c r="L150" i="81"/>
  <c r="K150" i="81"/>
  <c r="L149" i="81"/>
  <c r="K149" i="81"/>
  <c r="L148" i="81"/>
  <c r="K148" i="81"/>
  <c r="L147" i="81"/>
  <c r="K147" i="81"/>
  <c r="L146" i="81"/>
  <c r="K146" i="81"/>
  <c r="L145" i="81"/>
  <c r="K145" i="81"/>
  <c r="L144" i="81"/>
  <c r="K144" i="81"/>
  <c r="L143" i="81"/>
  <c r="K143" i="81"/>
  <c r="L142" i="81"/>
  <c r="K142" i="81"/>
  <c r="L141" i="81"/>
  <c r="K141" i="81"/>
  <c r="L140" i="81"/>
  <c r="K140" i="81"/>
  <c r="L139" i="81"/>
  <c r="K139" i="81"/>
  <c r="L138" i="81"/>
  <c r="K138" i="81"/>
  <c r="L137" i="81"/>
  <c r="K137" i="81"/>
  <c r="L136" i="81"/>
  <c r="K136" i="81"/>
  <c r="L135" i="81"/>
  <c r="K135" i="81"/>
  <c r="L134" i="81"/>
  <c r="K134" i="81"/>
  <c r="L133" i="81"/>
  <c r="K133" i="81"/>
  <c r="L132" i="81"/>
  <c r="K132" i="81"/>
  <c r="L131" i="81"/>
  <c r="K131" i="81"/>
  <c r="L130" i="81"/>
  <c r="K130" i="81"/>
  <c r="L129" i="81"/>
  <c r="K129" i="81"/>
  <c r="L128" i="81"/>
  <c r="K128" i="81"/>
  <c r="L127" i="81"/>
  <c r="K127" i="81"/>
  <c r="L126" i="81"/>
  <c r="K126" i="81"/>
  <c r="L125" i="81"/>
  <c r="K125" i="81"/>
  <c r="L124" i="81"/>
  <c r="K124" i="81"/>
  <c r="L123" i="81"/>
  <c r="K123" i="81"/>
  <c r="L122" i="81"/>
  <c r="K122" i="81"/>
  <c r="L121" i="81"/>
  <c r="K121" i="81"/>
  <c r="L120" i="81"/>
  <c r="K120" i="81"/>
  <c r="L119" i="81"/>
  <c r="K119" i="81"/>
  <c r="L118" i="81"/>
  <c r="K118" i="81"/>
  <c r="L117" i="81"/>
  <c r="K117" i="81"/>
  <c r="L116" i="81"/>
  <c r="K116" i="81"/>
  <c r="L115" i="81"/>
  <c r="K115" i="81"/>
  <c r="L114" i="81"/>
  <c r="K114" i="81"/>
  <c r="L113" i="81"/>
  <c r="K113" i="81"/>
  <c r="L112" i="81"/>
  <c r="K112" i="81"/>
  <c r="L111" i="81"/>
  <c r="K111" i="81"/>
  <c r="L110" i="81"/>
  <c r="K110" i="81"/>
  <c r="L109" i="81"/>
  <c r="K109" i="81"/>
  <c r="L108" i="81"/>
  <c r="K108" i="81"/>
  <c r="L107" i="81"/>
  <c r="K107" i="81"/>
  <c r="L106" i="81"/>
  <c r="K106" i="81"/>
  <c r="L105" i="81"/>
  <c r="K105" i="81"/>
  <c r="L104" i="81"/>
  <c r="K104" i="81"/>
  <c r="L103" i="81"/>
  <c r="K103" i="81"/>
  <c r="L102" i="81"/>
  <c r="K102" i="81"/>
  <c r="L101" i="81"/>
  <c r="K101" i="81"/>
  <c r="L100" i="81"/>
  <c r="K100" i="81"/>
  <c r="L99" i="81"/>
  <c r="K99" i="81"/>
  <c r="L98" i="81"/>
  <c r="K98" i="81"/>
  <c r="L97" i="81"/>
  <c r="K97" i="81"/>
  <c r="L96" i="81"/>
  <c r="K96" i="81"/>
  <c r="L95" i="81"/>
  <c r="K95" i="81"/>
  <c r="L94" i="81"/>
  <c r="K94" i="81"/>
  <c r="L93" i="81"/>
  <c r="K93" i="81"/>
  <c r="L92" i="81"/>
  <c r="K92" i="81"/>
  <c r="L91" i="81"/>
  <c r="K91" i="81"/>
  <c r="L90" i="81"/>
  <c r="K90" i="81"/>
  <c r="L89" i="81"/>
  <c r="K89" i="81"/>
  <c r="L88" i="81"/>
  <c r="K88" i="81"/>
  <c r="L87" i="81"/>
  <c r="K87" i="81"/>
  <c r="L86" i="81"/>
  <c r="K86" i="81"/>
  <c r="L85" i="81"/>
  <c r="K85" i="81"/>
  <c r="L84" i="81"/>
  <c r="K84" i="81"/>
  <c r="L83" i="81"/>
  <c r="K83" i="81"/>
  <c r="L82" i="81"/>
  <c r="K82" i="81"/>
  <c r="L81" i="81"/>
  <c r="K81" i="81"/>
  <c r="L80" i="81"/>
  <c r="K80" i="81"/>
  <c r="L79" i="81"/>
  <c r="K79" i="81"/>
  <c r="L78" i="81"/>
  <c r="K78" i="81"/>
  <c r="L77" i="81"/>
  <c r="K77" i="81"/>
  <c r="L76" i="81"/>
  <c r="K76" i="81"/>
  <c r="L75" i="81"/>
  <c r="K75" i="81"/>
  <c r="L74" i="81"/>
  <c r="K74" i="81"/>
  <c r="L73" i="81"/>
  <c r="K73" i="81"/>
  <c r="L72" i="81"/>
  <c r="K72" i="81"/>
  <c r="L71" i="81"/>
  <c r="K71" i="81"/>
  <c r="L70" i="81"/>
  <c r="K70" i="81"/>
  <c r="L69" i="81"/>
  <c r="K69" i="81"/>
  <c r="L68" i="81"/>
  <c r="K68" i="81"/>
  <c r="L67" i="81"/>
  <c r="K67" i="81"/>
  <c r="L66" i="81"/>
  <c r="K66" i="81"/>
  <c r="L65" i="81"/>
  <c r="K65" i="81"/>
  <c r="L64" i="81"/>
  <c r="K64" i="81"/>
  <c r="L63" i="81"/>
  <c r="K63" i="81"/>
  <c r="L62" i="81"/>
  <c r="K62" i="81"/>
  <c r="L61" i="81"/>
  <c r="K61" i="81"/>
  <c r="L60" i="81"/>
  <c r="K60" i="81"/>
  <c r="L59" i="81"/>
  <c r="K59" i="81"/>
  <c r="L58" i="81"/>
  <c r="K58" i="81"/>
  <c r="L57" i="81"/>
  <c r="K57" i="81"/>
  <c r="L56" i="81"/>
  <c r="K56" i="81"/>
  <c r="L55" i="81"/>
  <c r="K55" i="81"/>
  <c r="L54" i="81"/>
  <c r="K54" i="81"/>
  <c r="L53" i="81"/>
  <c r="K53" i="81"/>
  <c r="L52" i="81"/>
  <c r="K52" i="81"/>
  <c r="L51" i="81"/>
  <c r="K51" i="81"/>
  <c r="L50" i="81"/>
  <c r="K50" i="81"/>
  <c r="L49" i="81"/>
  <c r="K49" i="81"/>
  <c r="L48" i="81"/>
  <c r="K48" i="81"/>
  <c r="L47" i="81"/>
  <c r="K47" i="81"/>
  <c r="L46" i="81"/>
  <c r="K46" i="81"/>
  <c r="L45" i="81"/>
  <c r="K45" i="81"/>
  <c r="L44" i="81"/>
  <c r="K44" i="81"/>
  <c r="L43" i="81"/>
  <c r="K43" i="81"/>
  <c r="L42" i="81"/>
  <c r="K42" i="81"/>
  <c r="L41" i="81"/>
  <c r="K41" i="81"/>
  <c r="L40" i="81"/>
  <c r="K40" i="81"/>
  <c r="L39" i="81"/>
  <c r="K39" i="81"/>
  <c r="L38" i="81"/>
  <c r="K38" i="81"/>
  <c r="L37" i="81"/>
  <c r="K37" i="81"/>
  <c r="L36" i="81"/>
  <c r="K36" i="81"/>
  <c r="L35" i="81"/>
  <c r="K35" i="81"/>
  <c r="L34" i="81"/>
  <c r="K34" i="81"/>
  <c r="L33" i="81"/>
  <c r="K33" i="81"/>
  <c r="L32" i="81"/>
  <c r="K32" i="81"/>
  <c r="L31" i="81"/>
  <c r="K31" i="81"/>
  <c r="L30" i="81"/>
  <c r="K30" i="81"/>
  <c r="L29" i="81"/>
  <c r="K29" i="81"/>
  <c r="L28" i="81"/>
  <c r="K28" i="81"/>
  <c r="L27" i="81"/>
  <c r="K27" i="81"/>
  <c r="L26" i="81"/>
  <c r="K26" i="81"/>
  <c r="L25" i="81"/>
  <c r="K25" i="81"/>
  <c r="L24" i="81"/>
  <c r="K24" i="81"/>
  <c r="L23" i="81"/>
  <c r="K23" i="81"/>
  <c r="L22" i="81"/>
  <c r="K22" i="81"/>
  <c r="L21" i="81"/>
  <c r="K21" i="81"/>
  <c r="L20" i="81"/>
  <c r="K20" i="81"/>
  <c r="L19" i="81"/>
  <c r="K19" i="81"/>
  <c r="L18" i="81"/>
  <c r="K18" i="81"/>
  <c r="L17" i="81"/>
  <c r="K17" i="81"/>
  <c r="L16" i="81"/>
  <c r="K16" i="81"/>
  <c r="M15" i="81"/>
  <c r="N15" i="81" s="1"/>
  <c r="C8" i="81"/>
  <c r="M325" i="81" s="1"/>
  <c r="E5" i="81"/>
  <c r="M19" i="81" l="1"/>
  <c r="M30" i="81"/>
  <c r="M94" i="81"/>
  <c r="M169" i="81"/>
  <c r="M38" i="81"/>
  <c r="M102" i="81"/>
  <c r="M233" i="81"/>
  <c r="M46" i="81"/>
  <c r="M297" i="81"/>
  <c r="M54" i="81"/>
  <c r="M341" i="81"/>
  <c r="M62" i="81"/>
  <c r="M18" i="81"/>
  <c r="M70" i="81"/>
  <c r="C12" i="81"/>
  <c r="C17" i="81" s="1"/>
  <c r="N16" i="81"/>
  <c r="N17" i="81" s="1"/>
  <c r="N18" i="81" s="1"/>
  <c r="N19" i="81" s="1"/>
  <c r="N20" i="81" s="1"/>
  <c r="N21" i="81" s="1"/>
  <c r="N22" i="81" s="1"/>
  <c r="N23" i="81" s="1"/>
  <c r="N24" i="81" s="1"/>
  <c r="N25" i="81" s="1"/>
  <c r="N26" i="81" s="1"/>
  <c r="N27" i="81" s="1"/>
  <c r="N28" i="81" s="1"/>
  <c r="N29" i="81" s="1"/>
  <c r="N30" i="81" s="1"/>
  <c r="N31" i="81" s="1"/>
  <c r="N32" i="81" s="1"/>
  <c r="N33" i="81" s="1"/>
  <c r="N34" i="81" s="1"/>
  <c r="N35" i="81" s="1"/>
  <c r="N36" i="81" s="1"/>
  <c r="N37" i="81" s="1"/>
  <c r="N38" i="81" s="1"/>
  <c r="N39" i="81" s="1"/>
  <c r="N40" i="81" s="1"/>
  <c r="N41" i="81" s="1"/>
  <c r="N42" i="81" s="1"/>
  <c r="N43" i="81" s="1"/>
  <c r="N44" i="81" s="1"/>
  <c r="N45" i="81" s="1"/>
  <c r="N46" i="81" s="1"/>
  <c r="N47" i="81" s="1"/>
  <c r="N48" i="81" s="1"/>
  <c r="N49" i="81" s="1"/>
  <c r="N50" i="81" s="1"/>
  <c r="N51" i="81" s="1"/>
  <c r="N52" i="81" s="1"/>
  <c r="N53" i="81" s="1"/>
  <c r="N54" i="81" s="1"/>
  <c r="N55" i="81" s="1"/>
  <c r="N56" i="81" s="1"/>
  <c r="N57" i="81" s="1"/>
  <c r="N58" i="81" s="1"/>
  <c r="N59" i="81" s="1"/>
  <c r="N60" i="81" s="1"/>
  <c r="N61" i="81" s="1"/>
  <c r="N62" i="81" s="1"/>
  <c r="N63" i="81" s="1"/>
  <c r="N64" i="81" s="1"/>
  <c r="N65" i="81" s="1"/>
  <c r="N66" i="81" s="1"/>
  <c r="N67" i="81" s="1"/>
  <c r="N68" i="81" s="1"/>
  <c r="N69" i="81" s="1"/>
  <c r="N70" i="81" s="1"/>
  <c r="N71" i="81" s="1"/>
  <c r="N72" i="81" s="1"/>
  <c r="N73" i="81" s="1"/>
  <c r="N74" i="81" s="1"/>
  <c r="N75" i="81" s="1"/>
  <c r="N76" i="81" s="1"/>
  <c r="N77" i="81" s="1"/>
  <c r="N78" i="81" s="1"/>
  <c r="N79" i="81" s="1"/>
  <c r="N80" i="81" s="1"/>
  <c r="N81" i="81" s="1"/>
  <c r="N82" i="81" s="1"/>
  <c r="N83" i="81" s="1"/>
  <c r="N84" i="81" s="1"/>
  <c r="N85" i="81" s="1"/>
  <c r="N86" i="81" s="1"/>
  <c r="N87" i="81" s="1"/>
  <c r="N88" i="81" s="1"/>
  <c r="N89" i="81" s="1"/>
  <c r="N90" i="81" s="1"/>
  <c r="N91" i="81" s="1"/>
  <c r="N92" i="81" s="1"/>
  <c r="N93" i="81" s="1"/>
  <c r="N94" i="81" s="1"/>
  <c r="N95" i="81" s="1"/>
  <c r="N96" i="81" s="1"/>
  <c r="N97" i="81" s="1"/>
  <c r="N98" i="81" s="1"/>
  <c r="N99" i="81" s="1"/>
  <c r="N100" i="81" s="1"/>
  <c r="N101" i="81" s="1"/>
  <c r="N102" i="81" s="1"/>
  <c r="N103" i="81" s="1"/>
  <c r="N104" i="81" s="1"/>
  <c r="N105" i="81" s="1"/>
  <c r="N106" i="81" s="1"/>
  <c r="N107" i="81" s="1"/>
  <c r="N108" i="81" s="1"/>
  <c r="N109" i="81" s="1"/>
  <c r="N110" i="81" s="1"/>
  <c r="N111" i="81" s="1"/>
  <c r="N112" i="81" s="1"/>
  <c r="N113" i="81" s="1"/>
  <c r="N114" i="81" s="1"/>
  <c r="N115" i="81" s="1"/>
  <c r="N116" i="81" s="1"/>
  <c r="N117" i="81" s="1"/>
  <c r="N118" i="81" s="1"/>
  <c r="N119" i="81" s="1"/>
  <c r="N120" i="81" s="1"/>
  <c r="N121" i="81" s="1"/>
  <c r="N122" i="81" s="1"/>
  <c r="N123" i="81" s="1"/>
  <c r="N124" i="81" s="1"/>
  <c r="N125" i="81" s="1"/>
  <c r="N126" i="81" s="1"/>
  <c r="N127" i="81" s="1"/>
  <c r="N128" i="81" s="1"/>
  <c r="N129" i="81" s="1"/>
  <c r="N130" i="81" s="1"/>
  <c r="N131" i="81" s="1"/>
  <c r="N132" i="81" s="1"/>
  <c r="N133" i="81" s="1"/>
  <c r="N134" i="81" s="1"/>
  <c r="N135" i="81" s="1"/>
  <c r="N136" i="81" s="1"/>
  <c r="N137" i="81" s="1"/>
  <c r="N138" i="81" s="1"/>
  <c r="N139" i="81" s="1"/>
  <c r="N140" i="81" s="1"/>
  <c r="N141" i="81" s="1"/>
  <c r="N142" i="81" s="1"/>
  <c r="N143" i="81" s="1"/>
  <c r="N144" i="81" s="1"/>
  <c r="N145" i="81" s="1"/>
  <c r="N146" i="81" s="1"/>
  <c r="N147" i="81" s="1"/>
  <c r="N148" i="81" s="1"/>
  <c r="N149" i="81" s="1"/>
  <c r="N150" i="81" s="1"/>
  <c r="N151" i="81" s="1"/>
  <c r="N152" i="81" s="1"/>
  <c r="N153" i="81" s="1"/>
  <c r="N154" i="81" s="1"/>
  <c r="N155" i="81" s="1"/>
  <c r="N156" i="81" s="1"/>
  <c r="N157" i="81" s="1"/>
  <c r="N158" i="81" s="1"/>
  <c r="N159" i="81" s="1"/>
  <c r="N160" i="81" s="1"/>
  <c r="N161" i="81" s="1"/>
  <c r="N162" i="81" s="1"/>
  <c r="N163" i="81" s="1"/>
  <c r="N164" i="81" s="1"/>
  <c r="N165" i="81" s="1"/>
  <c r="N166" i="81" s="1"/>
  <c r="N167" i="81" s="1"/>
  <c r="N168" i="81" s="1"/>
  <c r="N169" i="81" s="1"/>
  <c r="N170" i="81" s="1"/>
  <c r="N171" i="81" s="1"/>
  <c r="N172" i="81" s="1"/>
  <c r="N173" i="81" s="1"/>
  <c r="N174" i="81" s="1"/>
  <c r="N175" i="81" s="1"/>
  <c r="N176" i="81" s="1"/>
  <c r="N177" i="81" s="1"/>
  <c r="N178" i="81" s="1"/>
  <c r="N179" i="81" s="1"/>
  <c r="N180" i="81" s="1"/>
  <c r="N181" i="81" s="1"/>
  <c r="N182" i="81" s="1"/>
  <c r="N183" i="81" s="1"/>
  <c r="N184" i="81" s="1"/>
  <c r="N185" i="81" s="1"/>
  <c r="N186" i="81" s="1"/>
  <c r="N187" i="81" s="1"/>
  <c r="N188" i="81" s="1"/>
  <c r="N189" i="81" s="1"/>
  <c r="N190" i="81" s="1"/>
  <c r="N191" i="81" s="1"/>
  <c r="N192" i="81" s="1"/>
  <c r="N193" i="81" s="1"/>
  <c r="N194" i="81" s="1"/>
  <c r="N195" i="81" s="1"/>
  <c r="N196" i="81" s="1"/>
  <c r="N197" i="81" s="1"/>
  <c r="N198" i="81" s="1"/>
  <c r="N199" i="81" s="1"/>
  <c r="N200" i="81" s="1"/>
  <c r="N201" i="81" s="1"/>
  <c r="N202" i="81" s="1"/>
  <c r="N203" i="81" s="1"/>
  <c r="N204" i="81" s="1"/>
  <c r="N205" i="81" s="1"/>
  <c r="N206" i="81" s="1"/>
  <c r="N207" i="81" s="1"/>
  <c r="N208" i="81" s="1"/>
  <c r="N209" i="81" s="1"/>
  <c r="N210" i="81" s="1"/>
  <c r="N211" i="81" s="1"/>
  <c r="N212" i="81" s="1"/>
  <c r="N213" i="81" s="1"/>
  <c r="N214" i="81" s="1"/>
  <c r="N215" i="81" s="1"/>
  <c r="N216" i="81" s="1"/>
  <c r="N217" i="81" s="1"/>
  <c r="N218" i="81" s="1"/>
  <c r="N219" i="81" s="1"/>
  <c r="N220" i="81" s="1"/>
  <c r="N221" i="81" s="1"/>
  <c r="N222" i="81" s="1"/>
  <c r="N223" i="81" s="1"/>
  <c r="N224" i="81" s="1"/>
  <c r="N225" i="81" s="1"/>
  <c r="N226" i="81" s="1"/>
  <c r="N227" i="81" s="1"/>
  <c r="N228" i="81" s="1"/>
  <c r="N229" i="81" s="1"/>
  <c r="N230" i="81" s="1"/>
  <c r="N231" i="81" s="1"/>
  <c r="N232" i="81" s="1"/>
  <c r="N233" i="81" s="1"/>
  <c r="N234" i="81" s="1"/>
  <c r="N235" i="81" s="1"/>
  <c r="N236" i="81" s="1"/>
  <c r="N237" i="81" s="1"/>
  <c r="N238" i="81" s="1"/>
  <c r="N239" i="81" s="1"/>
  <c r="N240" i="81" s="1"/>
  <c r="N241" i="81" s="1"/>
  <c r="N242" i="81" s="1"/>
  <c r="N243" i="81" s="1"/>
  <c r="N244" i="81" s="1"/>
  <c r="N245" i="81" s="1"/>
  <c r="N246" i="81" s="1"/>
  <c r="N247" i="81" s="1"/>
  <c r="N248" i="81" s="1"/>
  <c r="N249" i="81" s="1"/>
  <c r="N250" i="81" s="1"/>
  <c r="N251" i="81" s="1"/>
  <c r="N252" i="81" s="1"/>
  <c r="N253" i="81" s="1"/>
  <c r="N254" i="81" s="1"/>
  <c r="N255" i="81" s="1"/>
  <c r="N256" i="81" s="1"/>
  <c r="N257" i="81" s="1"/>
  <c r="N258" i="81" s="1"/>
  <c r="N259" i="81" s="1"/>
  <c r="N260" i="81" s="1"/>
  <c r="N261" i="81" s="1"/>
  <c r="N262" i="81" s="1"/>
  <c r="N263" i="81" s="1"/>
  <c r="N264" i="81" s="1"/>
  <c r="N265" i="81" s="1"/>
  <c r="N266" i="81" s="1"/>
  <c r="N267" i="81" s="1"/>
  <c r="N268" i="81" s="1"/>
  <c r="N269" i="81" s="1"/>
  <c r="N270" i="81" s="1"/>
  <c r="N271" i="81" s="1"/>
  <c r="N272" i="81" s="1"/>
  <c r="N273" i="81" s="1"/>
  <c r="N274" i="81" s="1"/>
  <c r="N275" i="81" s="1"/>
  <c r="N276" i="81" s="1"/>
  <c r="N277" i="81" s="1"/>
  <c r="N278" i="81" s="1"/>
  <c r="N279" i="81" s="1"/>
  <c r="N280" i="81" s="1"/>
  <c r="N281" i="81" s="1"/>
  <c r="N282" i="81" s="1"/>
  <c r="N283" i="81" s="1"/>
  <c r="N284" i="81" s="1"/>
  <c r="N285" i="81" s="1"/>
  <c r="N286" i="81" s="1"/>
  <c r="N287" i="81" s="1"/>
  <c r="N288" i="81" s="1"/>
  <c r="N289" i="81" s="1"/>
  <c r="N290" i="81" s="1"/>
  <c r="N291" i="81" s="1"/>
  <c r="N292" i="81" s="1"/>
  <c r="N293" i="81" s="1"/>
  <c r="N294" i="81" s="1"/>
  <c r="N295" i="81" s="1"/>
  <c r="N296" i="81" s="1"/>
  <c r="N297" i="81" s="1"/>
  <c r="N298" i="81" s="1"/>
  <c r="N299" i="81" s="1"/>
  <c r="N300" i="81" s="1"/>
  <c r="N301" i="81" s="1"/>
  <c r="N302" i="81" s="1"/>
  <c r="N303" i="81" s="1"/>
  <c r="N304" i="81" s="1"/>
  <c r="N305" i="81" s="1"/>
  <c r="N306" i="81" s="1"/>
  <c r="N307" i="81" s="1"/>
  <c r="N308" i="81" s="1"/>
  <c r="N309" i="81" s="1"/>
  <c r="N310" i="81" s="1"/>
  <c r="M78" i="81"/>
  <c r="M22" i="81"/>
  <c r="M86" i="81"/>
  <c r="C13" i="81"/>
  <c r="M27" i="81"/>
  <c r="M35" i="81"/>
  <c r="M43" i="81"/>
  <c r="M51" i="81"/>
  <c r="M59" i="81"/>
  <c r="M67" i="81"/>
  <c r="M75" i="81"/>
  <c r="M83" i="81"/>
  <c r="M91" i="81"/>
  <c r="M99" i="81"/>
  <c r="M107" i="81"/>
  <c r="M129" i="81"/>
  <c r="M193" i="81"/>
  <c r="M257" i="81"/>
  <c r="M349" i="81"/>
  <c r="M24" i="81"/>
  <c r="M32" i="81"/>
  <c r="M40" i="81"/>
  <c r="M48" i="81"/>
  <c r="M56" i="81"/>
  <c r="M64" i="81"/>
  <c r="M72" i="81"/>
  <c r="M80" i="81"/>
  <c r="M88" i="81"/>
  <c r="M96" i="81"/>
  <c r="M104" i="81"/>
  <c r="M153" i="81"/>
  <c r="M217" i="81"/>
  <c r="M281" i="81"/>
  <c r="M357" i="81"/>
  <c r="M29" i="81"/>
  <c r="M37" i="81"/>
  <c r="M45" i="81"/>
  <c r="M53" i="81"/>
  <c r="M61" i="81"/>
  <c r="M69" i="81"/>
  <c r="M77" i="81"/>
  <c r="M85" i="81"/>
  <c r="M93" i="81"/>
  <c r="M101" i="81"/>
  <c r="M113" i="81"/>
  <c r="M177" i="81"/>
  <c r="M241" i="81"/>
  <c r="M305" i="81"/>
  <c r="M365" i="81"/>
  <c r="M26" i="81"/>
  <c r="M34" i="81"/>
  <c r="M42" i="81"/>
  <c r="M50" i="81"/>
  <c r="M58" i="81"/>
  <c r="M66" i="81"/>
  <c r="M74" i="81"/>
  <c r="M82" i="81"/>
  <c r="M90" i="81"/>
  <c r="M98" i="81"/>
  <c r="M106" i="81"/>
  <c r="M137" i="81"/>
  <c r="M201" i="81"/>
  <c r="M265" i="81"/>
  <c r="M21" i="81"/>
  <c r="M17" i="81"/>
  <c r="M23" i="81"/>
  <c r="M31" i="81"/>
  <c r="M39" i="81"/>
  <c r="M47" i="81"/>
  <c r="M55" i="81"/>
  <c r="M63" i="81"/>
  <c r="M71" i="81"/>
  <c r="M79" i="81"/>
  <c r="M87" i="81"/>
  <c r="M95" i="81"/>
  <c r="M103" i="81"/>
  <c r="M161" i="81"/>
  <c r="M225" i="81"/>
  <c r="M289" i="81"/>
  <c r="M317" i="81"/>
  <c r="M20" i="81"/>
  <c r="M28" i="81"/>
  <c r="M36" i="81"/>
  <c r="M44" i="81"/>
  <c r="M52" i="81"/>
  <c r="M60" i="81"/>
  <c r="M68" i="81"/>
  <c r="M76" i="81"/>
  <c r="M84" i="81"/>
  <c r="M92" i="81"/>
  <c r="M100" i="81"/>
  <c r="M121" i="81"/>
  <c r="M185" i="81"/>
  <c r="M249" i="81"/>
  <c r="M375" i="81"/>
  <c r="M367" i="81"/>
  <c r="M359" i="81"/>
  <c r="M351" i="81"/>
  <c r="M343" i="81"/>
  <c r="M335" i="81"/>
  <c r="M327" i="81"/>
  <c r="M319" i="81"/>
  <c r="M311" i="81"/>
  <c r="M303" i="81"/>
  <c r="M295" i="81"/>
  <c r="M287" i="81"/>
  <c r="M279" i="81"/>
  <c r="M271" i="81"/>
  <c r="M263" i="81"/>
  <c r="M255" i="81"/>
  <c r="M247" i="81"/>
  <c r="M239" i="81"/>
  <c r="M231" i="81"/>
  <c r="M223" i="81"/>
  <c r="M215" i="81"/>
  <c r="M207" i="81"/>
  <c r="M199" i="81"/>
  <c r="M191" i="81"/>
  <c r="M183" i="81"/>
  <c r="M175" i="81"/>
  <c r="M167" i="81"/>
  <c r="M159" i="81"/>
  <c r="M151" i="81"/>
  <c r="M143" i="81"/>
  <c r="M135" i="81"/>
  <c r="M127" i="81"/>
  <c r="M119" i="81"/>
  <c r="M111" i="81"/>
  <c r="M372" i="81"/>
  <c r="M364" i="81"/>
  <c r="M356" i="81"/>
  <c r="M348" i="81"/>
  <c r="M340" i="81"/>
  <c r="M332" i="81"/>
  <c r="M324" i="81"/>
  <c r="M316" i="81"/>
  <c r="M306" i="81"/>
  <c r="M298" i="81"/>
  <c r="M290" i="81"/>
  <c r="M282" i="81"/>
  <c r="M274" i="81"/>
  <c r="M266" i="81"/>
  <c r="M258" i="81"/>
  <c r="M250" i="81"/>
  <c r="M242" i="81"/>
  <c r="M234" i="81"/>
  <c r="M226" i="81"/>
  <c r="M218" i="81"/>
  <c r="M210" i="81"/>
  <c r="M202" i="81"/>
  <c r="M194" i="81"/>
  <c r="M186" i="81"/>
  <c r="M178" i="81"/>
  <c r="M170" i="81"/>
  <c r="M162" i="81"/>
  <c r="M154" i="81"/>
  <c r="M146" i="81"/>
  <c r="M138" i="81"/>
  <c r="M130" i="81"/>
  <c r="M122" i="81"/>
  <c r="M114" i="81"/>
  <c r="M369" i="81"/>
  <c r="M361" i="81"/>
  <c r="M353" i="81"/>
  <c r="M345" i="81"/>
  <c r="M337" i="81"/>
  <c r="M329" i="81"/>
  <c r="M321" i="81"/>
  <c r="M313" i="81"/>
  <c r="M309" i="81"/>
  <c r="M301" i="81"/>
  <c r="M293" i="81"/>
  <c r="M285" i="81"/>
  <c r="M277" i="81"/>
  <c r="M269" i="81"/>
  <c r="M261" i="81"/>
  <c r="M253" i="81"/>
  <c r="M245" i="81"/>
  <c r="M237" i="81"/>
  <c r="M229" i="81"/>
  <c r="M221" i="81"/>
  <c r="M213" i="81"/>
  <c r="M205" i="81"/>
  <c r="M197" i="81"/>
  <c r="M189" i="81"/>
  <c r="M181" i="81"/>
  <c r="M173" i="81"/>
  <c r="M165" i="81"/>
  <c r="M157" i="81"/>
  <c r="M149" i="81"/>
  <c r="M141" i="81"/>
  <c r="M133" i="81"/>
  <c r="M125" i="81"/>
  <c r="M117" i="81"/>
  <c r="M109" i="81"/>
  <c r="M374" i="81"/>
  <c r="M366" i="81"/>
  <c r="M358" i="81"/>
  <c r="M350" i="81"/>
  <c r="M342" i="81"/>
  <c r="M334" i="81"/>
  <c r="M326" i="81"/>
  <c r="M318" i="81"/>
  <c r="M304" i="81"/>
  <c r="M296" i="81"/>
  <c r="M288" i="81"/>
  <c r="M280" i="81"/>
  <c r="M272" i="81"/>
  <c r="M264" i="81"/>
  <c r="M256" i="81"/>
  <c r="M248" i="81"/>
  <c r="M240" i="81"/>
  <c r="M232" i="81"/>
  <c r="M224" i="81"/>
  <c r="M216" i="81"/>
  <c r="M208" i="81"/>
  <c r="M200" i="81"/>
  <c r="M192" i="81"/>
  <c r="M184" i="81"/>
  <c r="M176" i="81"/>
  <c r="M168" i="81"/>
  <c r="M160" i="81"/>
  <c r="M152" i="81"/>
  <c r="M144" i="81"/>
  <c r="M136" i="81"/>
  <c r="M128" i="81"/>
  <c r="M120" i="81"/>
  <c r="M112" i="81"/>
  <c r="M371" i="81"/>
  <c r="M363" i="81"/>
  <c r="M355" i="81"/>
  <c r="M347" i="81"/>
  <c r="M339" i="81"/>
  <c r="M331" i="81"/>
  <c r="M323" i="81"/>
  <c r="M315" i="81"/>
  <c r="M307" i="81"/>
  <c r="M299" i="81"/>
  <c r="M291" i="81"/>
  <c r="M283" i="81"/>
  <c r="M275" i="81"/>
  <c r="M267" i="81"/>
  <c r="M259" i="81"/>
  <c r="M251" i="81"/>
  <c r="M243" i="81"/>
  <c r="M235" i="81"/>
  <c r="M227" i="81"/>
  <c r="M219" i="81"/>
  <c r="M211" i="81"/>
  <c r="M203" i="81"/>
  <c r="M195" i="81"/>
  <c r="M187" i="81"/>
  <c r="M179" i="81"/>
  <c r="M171" i="81"/>
  <c r="M163" i="81"/>
  <c r="M155" i="81"/>
  <c r="M147" i="81"/>
  <c r="M139" i="81"/>
  <c r="M131" i="81"/>
  <c r="M123" i="81"/>
  <c r="M115" i="81"/>
  <c r="M368" i="81"/>
  <c r="M360" i="81"/>
  <c r="M352" i="81"/>
  <c r="M344" i="81"/>
  <c r="M336" i="81"/>
  <c r="M328" i="81"/>
  <c r="M320" i="81"/>
  <c r="M312" i="81"/>
  <c r="M310" i="81"/>
  <c r="M302" i="81"/>
  <c r="M294" i="81"/>
  <c r="M286" i="81"/>
  <c r="M278" i="81"/>
  <c r="M270" i="81"/>
  <c r="M262" i="81"/>
  <c r="M254" i="81"/>
  <c r="M246" i="81"/>
  <c r="M238" i="81"/>
  <c r="M230" i="81"/>
  <c r="M222" i="81"/>
  <c r="M214" i="81"/>
  <c r="M206" i="81"/>
  <c r="M198" i="81"/>
  <c r="M190" i="81"/>
  <c r="M182" i="81"/>
  <c r="M174" i="81"/>
  <c r="M166" i="81"/>
  <c r="M158" i="81"/>
  <c r="M150" i="81"/>
  <c r="M142" i="81"/>
  <c r="M134" i="81"/>
  <c r="M126" i="81"/>
  <c r="M118" i="81"/>
  <c r="M110" i="81"/>
  <c r="M373" i="81"/>
  <c r="M370" i="81"/>
  <c r="M362" i="81"/>
  <c r="M354" i="81"/>
  <c r="M346" i="81"/>
  <c r="M338" i="81"/>
  <c r="M330" i="81"/>
  <c r="M322" i="81"/>
  <c r="M314" i="81"/>
  <c r="M308" i="81"/>
  <c r="M300" i="81"/>
  <c r="M292" i="81"/>
  <c r="M284" i="81"/>
  <c r="M276" i="81"/>
  <c r="M268" i="81"/>
  <c r="M260" i="81"/>
  <c r="M252" i="81"/>
  <c r="M244" i="81"/>
  <c r="M236" i="81"/>
  <c r="M228" i="81"/>
  <c r="M220" i="81"/>
  <c r="M212" i="81"/>
  <c r="M204" i="81"/>
  <c r="M196" i="81"/>
  <c r="M188" i="81"/>
  <c r="M180" i="81"/>
  <c r="M172" i="81"/>
  <c r="M164" i="81"/>
  <c r="M156" i="81"/>
  <c r="M148" i="81"/>
  <c r="M140" i="81"/>
  <c r="M132" i="81"/>
  <c r="M124" i="81"/>
  <c r="M116" i="81"/>
  <c r="M108" i="81"/>
  <c r="M16" i="81"/>
  <c r="M25" i="81"/>
  <c r="M33" i="81"/>
  <c r="M41" i="81"/>
  <c r="M49" i="81"/>
  <c r="M57" i="81"/>
  <c r="M65" i="81"/>
  <c r="M73" i="81"/>
  <c r="M81" i="81"/>
  <c r="M89" i="81"/>
  <c r="M97" i="81"/>
  <c r="M105" i="81"/>
  <c r="M145" i="81"/>
  <c r="M209" i="81"/>
  <c r="M273" i="81"/>
  <c r="M333" i="81"/>
  <c r="O16" i="81" l="1"/>
  <c r="O18" i="81"/>
  <c r="O62" i="81"/>
  <c r="O57" i="81"/>
  <c r="O21" i="81"/>
  <c r="O81" i="81"/>
  <c r="O36" i="81"/>
  <c r="O31" i="81"/>
  <c r="O93" i="81"/>
  <c r="O29" i="81"/>
  <c r="O80" i="81"/>
  <c r="O54" i="81"/>
  <c r="O105" i="81"/>
  <c r="O73" i="81"/>
  <c r="O41" i="81"/>
  <c r="O108" i="81"/>
  <c r="O28" i="81"/>
  <c r="O23" i="81"/>
  <c r="O90" i="81"/>
  <c r="O26" i="81"/>
  <c r="O89" i="81"/>
  <c r="O25" i="81"/>
  <c r="O83" i="81"/>
  <c r="O49" i="81"/>
  <c r="O97" i="81"/>
  <c r="O65" i="81"/>
  <c r="O33" i="81"/>
  <c r="O116" i="81"/>
  <c r="O180" i="81"/>
  <c r="O158" i="81"/>
  <c r="O147" i="81"/>
  <c r="O136" i="81"/>
  <c r="O200" i="81"/>
  <c r="O125" i="81"/>
  <c r="O189" i="81"/>
  <c r="O114" i="81"/>
  <c r="O178" i="81"/>
  <c r="O167" i="81"/>
  <c r="O84" i="81"/>
  <c r="O20" i="81"/>
  <c r="O79" i="81"/>
  <c r="O17" i="81"/>
  <c r="O70" i="81"/>
  <c r="O308" i="81"/>
  <c r="O264" i="81"/>
  <c r="O209" i="81"/>
  <c r="O124" i="81"/>
  <c r="O188" i="81"/>
  <c r="O252" i="81"/>
  <c r="O166" i="81"/>
  <c r="O230" i="81"/>
  <c r="O294" i="81"/>
  <c r="O155" i="81"/>
  <c r="O219" i="81"/>
  <c r="O283" i="81"/>
  <c r="O144" i="81"/>
  <c r="O208" i="81"/>
  <c r="O272" i="81"/>
  <c r="O133" i="81"/>
  <c r="O197" i="81"/>
  <c r="O261" i="81"/>
  <c r="O122" i="81"/>
  <c r="O186" i="81"/>
  <c r="O250" i="81"/>
  <c r="O111" i="81"/>
  <c r="O175" i="81"/>
  <c r="O239" i="81"/>
  <c r="O303" i="81"/>
  <c r="O76" i="81"/>
  <c r="O71" i="81"/>
  <c r="O82" i="81"/>
  <c r="O233" i="81"/>
  <c r="O85" i="81"/>
  <c r="O72" i="81"/>
  <c r="O75" i="81"/>
  <c r="O86" i="81"/>
  <c r="O46" i="81"/>
  <c r="O211" i="81"/>
  <c r="O253" i="81"/>
  <c r="O145" i="81"/>
  <c r="O132" i="81"/>
  <c r="O196" i="81"/>
  <c r="O260" i="81"/>
  <c r="O110" i="81"/>
  <c r="O174" i="81"/>
  <c r="O238" i="81"/>
  <c r="O302" i="81"/>
  <c r="O163" i="81"/>
  <c r="O227" i="81"/>
  <c r="O291" i="81"/>
  <c r="O152" i="81"/>
  <c r="O216" i="81"/>
  <c r="O280" i="81"/>
  <c r="O141" i="81"/>
  <c r="O205" i="81"/>
  <c r="O269" i="81"/>
  <c r="O130" i="81"/>
  <c r="O194" i="81"/>
  <c r="O258" i="81"/>
  <c r="O119" i="81"/>
  <c r="O183" i="81"/>
  <c r="O247" i="81"/>
  <c r="O68" i="81"/>
  <c r="O289" i="81"/>
  <c r="O63" i="81"/>
  <c r="O169" i="81"/>
  <c r="O74" i="81"/>
  <c r="O77" i="81"/>
  <c r="O281" i="81"/>
  <c r="O64" i="81"/>
  <c r="O257" i="81"/>
  <c r="O67" i="81"/>
  <c r="O22" i="81"/>
  <c r="O102" i="81"/>
  <c r="O222" i="81"/>
  <c r="O295" i="81"/>
  <c r="O140" i="81"/>
  <c r="O204" i="81"/>
  <c r="O268" i="81"/>
  <c r="O118" i="81"/>
  <c r="O182" i="81"/>
  <c r="O246" i="81"/>
  <c r="O310" i="81"/>
  <c r="O171" i="81"/>
  <c r="O235" i="81"/>
  <c r="O299" i="81"/>
  <c r="O160" i="81"/>
  <c r="O224" i="81"/>
  <c r="O288" i="81"/>
  <c r="O149" i="81"/>
  <c r="O213" i="81"/>
  <c r="O277" i="81"/>
  <c r="O138" i="81"/>
  <c r="O202" i="81"/>
  <c r="O266" i="81"/>
  <c r="O127" i="81"/>
  <c r="O191" i="81"/>
  <c r="O255" i="81"/>
  <c r="O249" i="81"/>
  <c r="O60" i="81"/>
  <c r="O225" i="81"/>
  <c r="O55" i="81"/>
  <c r="O265" i="81"/>
  <c r="O66" i="81"/>
  <c r="O305" i="81"/>
  <c r="O69" i="81"/>
  <c r="O217" i="81"/>
  <c r="O56" i="81"/>
  <c r="O193" i="81"/>
  <c r="O59" i="81"/>
  <c r="O94" i="81"/>
  <c r="O38" i="81"/>
  <c r="O273" i="81"/>
  <c r="O242" i="81"/>
  <c r="O297" i="81"/>
  <c r="O148" i="81"/>
  <c r="O212" i="81"/>
  <c r="O276" i="81"/>
  <c r="O126" i="81"/>
  <c r="O190" i="81"/>
  <c r="O254" i="81"/>
  <c r="O115" i="81"/>
  <c r="O179" i="81"/>
  <c r="O243" i="81"/>
  <c r="O307" i="81"/>
  <c r="O168" i="81"/>
  <c r="O232" i="81"/>
  <c r="O296" i="81"/>
  <c r="O157" i="81"/>
  <c r="O221" i="81"/>
  <c r="O285" i="81"/>
  <c r="O146" i="81"/>
  <c r="O210" i="81"/>
  <c r="O274" i="81"/>
  <c r="O135" i="81"/>
  <c r="O199" i="81"/>
  <c r="O263" i="81"/>
  <c r="O185" i="81"/>
  <c r="O52" i="81"/>
  <c r="O161" i="81"/>
  <c r="O47" i="81"/>
  <c r="O201" i="81"/>
  <c r="O58" i="81"/>
  <c r="O241" i="81"/>
  <c r="O61" i="81"/>
  <c r="O153" i="81"/>
  <c r="O48" i="81"/>
  <c r="O129" i="81"/>
  <c r="O51" i="81"/>
  <c r="O78" i="81"/>
  <c r="O30" i="81"/>
  <c r="O244" i="81"/>
  <c r="O306" i="81"/>
  <c r="O156" i="81"/>
  <c r="O220" i="81"/>
  <c r="O284" i="81"/>
  <c r="O134" i="81"/>
  <c r="O198" i="81"/>
  <c r="O262" i="81"/>
  <c r="O123" i="81"/>
  <c r="O187" i="81"/>
  <c r="O251" i="81"/>
  <c r="O112" i="81"/>
  <c r="O176" i="81"/>
  <c r="O240" i="81"/>
  <c r="O304" i="81"/>
  <c r="O165" i="81"/>
  <c r="O229" i="81"/>
  <c r="O293" i="81"/>
  <c r="O154" i="81"/>
  <c r="O218" i="81"/>
  <c r="O282" i="81"/>
  <c r="O143" i="81"/>
  <c r="O207" i="81"/>
  <c r="O271" i="81"/>
  <c r="O121" i="81"/>
  <c r="O44" i="81"/>
  <c r="O103" i="81"/>
  <c r="O39" i="81"/>
  <c r="O137" i="81"/>
  <c r="O50" i="81"/>
  <c r="O177" i="81"/>
  <c r="O53" i="81"/>
  <c r="O104" i="81"/>
  <c r="O40" i="81"/>
  <c r="O107" i="81"/>
  <c r="O43" i="81"/>
  <c r="O275" i="81"/>
  <c r="O164" i="81"/>
  <c r="O228" i="81"/>
  <c r="O292" i="81"/>
  <c r="O142" i="81"/>
  <c r="O206" i="81"/>
  <c r="O270" i="81"/>
  <c r="O131" i="81"/>
  <c r="O195" i="81"/>
  <c r="O259" i="81"/>
  <c r="O120" i="81"/>
  <c r="O184" i="81"/>
  <c r="O248" i="81"/>
  <c r="O109" i="81"/>
  <c r="O173" i="81"/>
  <c r="O237" i="81"/>
  <c r="O301" i="81"/>
  <c r="O162" i="81"/>
  <c r="O226" i="81"/>
  <c r="O290" i="81"/>
  <c r="O151" i="81"/>
  <c r="O215" i="81"/>
  <c r="O279" i="81"/>
  <c r="O100" i="81"/>
  <c r="O95" i="81"/>
  <c r="O106" i="81"/>
  <c r="O42" i="81"/>
  <c r="O113" i="81"/>
  <c r="O45" i="81"/>
  <c r="O96" i="81"/>
  <c r="O32" i="81"/>
  <c r="O99" i="81"/>
  <c r="O35" i="81"/>
  <c r="O286" i="81"/>
  <c r="O231" i="81"/>
  <c r="O172" i="81"/>
  <c r="O236" i="81"/>
  <c r="O300" i="81"/>
  <c r="O150" i="81"/>
  <c r="O214" i="81"/>
  <c r="O278" i="81"/>
  <c r="O139" i="81"/>
  <c r="O203" i="81"/>
  <c r="O267" i="81"/>
  <c r="O128" i="81"/>
  <c r="O192" i="81"/>
  <c r="O256" i="81"/>
  <c r="O117" i="81"/>
  <c r="O181" i="81"/>
  <c r="O245" i="81"/>
  <c r="O309" i="81"/>
  <c r="O170" i="81"/>
  <c r="O234" i="81"/>
  <c r="O298" i="81"/>
  <c r="O159" i="81"/>
  <c r="O223" i="81"/>
  <c r="O287" i="81"/>
  <c r="O92" i="81"/>
  <c r="O87" i="81"/>
  <c r="O98" i="81"/>
  <c r="O34" i="81"/>
  <c r="O101" i="81"/>
  <c r="O37" i="81"/>
  <c r="O88" i="81"/>
  <c r="O24" i="81"/>
  <c r="O91" i="81"/>
  <c r="O27" i="81"/>
  <c r="O19" i="81"/>
  <c r="C14" i="81"/>
  <c r="C20" i="81" s="1"/>
  <c r="C18" i="81"/>
  <c r="D32" i="80" l="1"/>
  <c r="C32" i="80"/>
  <c r="D31" i="80"/>
  <c r="C31" i="80"/>
  <c r="D30" i="80"/>
  <c r="C30" i="80"/>
  <c r="D29" i="80"/>
  <c r="C29" i="80"/>
  <c r="D28" i="80"/>
  <c r="C28" i="80"/>
  <c r="D27" i="80"/>
  <c r="C27" i="80"/>
  <c r="D26" i="80"/>
  <c r="C26" i="80"/>
  <c r="D25" i="80"/>
  <c r="C25" i="80"/>
  <c r="D24" i="80"/>
  <c r="C24" i="80"/>
  <c r="D23" i="80"/>
  <c r="C23" i="80"/>
  <c r="D22" i="80"/>
  <c r="C22" i="80"/>
  <c r="L21" i="80"/>
  <c r="K21" i="80"/>
  <c r="J21" i="80"/>
  <c r="I21" i="80"/>
  <c r="H21" i="80"/>
  <c r="M21" i="80" s="1"/>
  <c r="D21" i="80"/>
  <c r="C21" i="80"/>
  <c r="L20" i="80"/>
  <c r="K20" i="80"/>
  <c r="K22" i="80" s="1"/>
  <c r="J20" i="80"/>
  <c r="J22" i="80" s="1"/>
  <c r="I20" i="80"/>
  <c r="I22" i="80" s="1"/>
  <c r="H20" i="80"/>
  <c r="D20" i="80"/>
  <c r="C20" i="80"/>
  <c r="D19" i="80"/>
  <c r="C19" i="80"/>
  <c r="D18" i="80"/>
  <c r="C18" i="80"/>
  <c r="D17" i="80"/>
  <c r="C17" i="80"/>
  <c r="D16" i="80"/>
  <c r="C16" i="80"/>
  <c r="D15" i="80"/>
  <c r="C15" i="80"/>
  <c r="G6" i="80" s="1"/>
  <c r="D14" i="80"/>
  <c r="C14" i="80"/>
  <c r="L13" i="80"/>
  <c r="K13" i="80"/>
  <c r="K14" i="80" s="1"/>
  <c r="J13" i="80"/>
  <c r="I13" i="80"/>
  <c r="H13" i="80"/>
  <c r="D13" i="80"/>
  <c r="E13" i="80" s="1"/>
  <c r="E14" i="80" s="1"/>
  <c r="E15" i="80" s="1"/>
  <c r="E16" i="80" s="1"/>
  <c r="E17" i="80" s="1"/>
  <c r="E18" i="80" s="1"/>
  <c r="E19" i="80" s="1"/>
  <c r="E20" i="80" s="1"/>
  <c r="E21" i="80" s="1"/>
  <c r="E22" i="80" s="1"/>
  <c r="E23" i="80" s="1"/>
  <c r="E24" i="80" s="1"/>
  <c r="E25" i="80" s="1"/>
  <c r="E26" i="80" s="1"/>
  <c r="E27" i="80" s="1"/>
  <c r="E28" i="80" s="1"/>
  <c r="E29" i="80" s="1"/>
  <c r="E30" i="80" s="1"/>
  <c r="E31" i="80" s="1"/>
  <c r="E32" i="80" s="1"/>
  <c r="C13" i="80"/>
  <c r="L12" i="80"/>
  <c r="K12" i="80"/>
  <c r="J12" i="80"/>
  <c r="J14" i="80" s="1"/>
  <c r="I12" i="80"/>
  <c r="H12" i="80"/>
  <c r="E12" i="80"/>
  <c r="C8" i="80"/>
  <c r="K5" i="80" s="1"/>
  <c r="H24" i="80"/>
  <c r="H25" i="80"/>
  <c r="M20" i="80" l="1"/>
  <c r="L22" i="80"/>
  <c r="L14" i="80"/>
  <c r="M13" i="80"/>
  <c r="M14" i="80" s="1"/>
  <c r="M12" i="80"/>
  <c r="I14" i="80"/>
  <c r="H14" i="80"/>
  <c r="H22" i="80"/>
  <c r="M22" i="80" l="1"/>
  <c r="F32" i="79"/>
  <c r="D32" i="79"/>
  <c r="C32" i="79"/>
  <c r="F31" i="79"/>
  <c r="D31" i="79"/>
  <c r="C31" i="79"/>
  <c r="F30" i="79"/>
  <c r="D30" i="79"/>
  <c r="C30" i="79"/>
  <c r="F29" i="79"/>
  <c r="D29" i="79"/>
  <c r="C29" i="79"/>
  <c r="F28" i="79"/>
  <c r="D28" i="79"/>
  <c r="C28" i="79"/>
  <c r="F27" i="79"/>
  <c r="D27" i="79"/>
  <c r="C27" i="79"/>
  <c r="F26" i="79"/>
  <c r="D26" i="79"/>
  <c r="C26" i="79"/>
  <c r="F25" i="79"/>
  <c r="D25" i="79"/>
  <c r="C25" i="79"/>
  <c r="F24" i="79"/>
  <c r="D24" i="79"/>
  <c r="C24" i="79"/>
  <c r="F23" i="79"/>
  <c r="D23" i="79"/>
  <c r="C23" i="79"/>
  <c r="F22" i="79"/>
  <c r="D22" i="79"/>
  <c r="C22" i="79"/>
  <c r="G21" i="79"/>
  <c r="F21" i="79"/>
  <c r="D21" i="79"/>
  <c r="C21" i="79"/>
  <c r="F20" i="79"/>
  <c r="D20" i="79"/>
  <c r="C20" i="79"/>
  <c r="F19" i="79"/>
  <c r="D19" i="79"/>
  <c r="C19" i="79"/>
  <c r="F18" i="79"/>
  <c r="D18" i="79"/>
  <c r="C18" i="79"/>
  <c r="F17" i="79"/>
  <c r="D17" i="79"/>
  <c r="C17" i="79"/>
  <c r="G16" i="79"/>
  <c r="F16" i="79"/>
  <c r="D16" i="79"/>
  <c r="C16" i="79"/>
  <c r="F15" i="79"/>
  <c r="D15" i="79"/>
  <c r="C15" i="79"/>
  <c r="F14" i="79"/>
  <c r="D14" i="79"/>
  <c r="C14" i="79"/>
  <c r="F13" i="79"/>
  <c r="E13" i="79"/>
  <c r="D13" i="79"/>
  <c r="C13" i="79"/>
  <c r="G12" i="79"/>
  <c r="F12" i="79"/>
  <c r="C8" i="79"/>
  <c r="G32" i="79" s="1"/>
  <c r="E14" i="79" l="1"/>
  <c r="E15" i="79" s="1"/>
  <c r="E16" i="79" s="1"/>
  <c r="E17" i="79" s="1"/>
  <c r="E18" i="79" s="1"/>
  <c r="E19" i="79" s="1"/>
  <c r="E20" i="79" s="1"/>
  <c r="E21" i="79" s="1"/>
  <c r="E22" i="79" s="1"/>
  <c r="E23" i="79" s="1"/>
  <c r="E24" i="79" s="1"/>
  <c r="E25" i="79" s="1"/>
  <c r="E26" i="79" s="1"/>
  <c r="E27" i="79" s="1"/>
  <c r="E28" i="79" s="1"/>
  <c r="E29" i="79" s="1"/>
  <c r="E30" i="79" s="1"/>
  <c r="E31" i="79" s="1"/>
  <c r="E32" i="79" s="1"/>
  <c r="G13" i="79"/>
  <c r="G24" i="79"/>
  <c r="G29" i="79"/>
  <c r="G18" i="79"/>
  <c r="G26" i="79"/>
  <c r="G23" i="79"/>
  <c r="G31" i="79"/>
  <c r="G15" i="79"/>
  <c r="G20" i="79"/>
  <c r="G28" i="79"/>
  <c r="G17" i="79"/>
  <c r="G25" i="79"/>
  <c r="G14" i="79"/>
  <c r="G22" i="79"/>
  <c r="G30" i="79"/>
  <c r="G19" i="79"/>
  <c r="G27" i="79"/>
  <c r="D32" i="78" l="1"/>
  <c r="C32" i="78"/>
  <c r="E32" i="78" s="1"/>
  <c r="E31" i="78"/>
  <c r="D31" i="78"/>
  <c r="C31" i="78"/>
  <c r="D30" i="78"/>
  <c r="C30" i="78"/>
  <c r="E30" i="78" s="1"/>
  <c r="D29" i="78"/>
  <c r="C29" i="78"/>
  <c r="E29" i="78" s="1"/>
  <c r="D28" i="78"/>
  <c r="E28" i="78" s="1"/>
  <c r="C28" i="78"/>
  <c r="E27" i="78"/>
  <c r="D27" i="78"/>
  <c r="C27" i="78"/>
  <c r="D26" i="78"/>
  <c r="C26" i="78"/>
  <c r="E26" i="78" s="1"/>
  <c r="D25" i="78"/>
  <c r="C25" i="78"/>
  <c r="E25" i="78" s="1"/>
  <c r="D24" i="78"/>
  <c r="E24" i="78" s="1"/>
  <c r="C24" i="78"/>
  <c r="E23" i="78"/>
  <c r="D23" i="78"/>
  <c r="C23" i="78"/>
  <c r="D22" i="78"/>
  <c r="C22" i="78"/>
  <c r="E22" i="78" s="1"/>
  <c r="D21" i="78"/>
  <c r="C21" i="78"/>
  <c r="E21" i="78" s="1"/>
  <c r="D20" i="78"/>
  <c r="E20" i="78" s="1"/>
  <c r="C20" i="78"/>
  <c r="E19" i="78"/>
  <c r="D19" i="78"/>
  <c r="C19" i="78"/>
  <c r="D18" i="78"/>
  <c r="C18" i="78"/>
  <c r="E18" i="78" s="1"/>
  <c r="D17" i="78"/>
  <c r="C17" i="78"/>
  <c r="E17" i="78" s="1"/>
  <c r="E16" i="78"/>
  <c r="D16" i="78"/>
  <c r="C16" i="78"/>
  <c r="E15" i="78"/>
  <c r="D15" i="78"/>
  <c r="C15" i="78"/>
  <c r="D14" i="78"/>
  <c r="C14" i="78"/>
  <c r="E14" i="78" s="1"/>
  <c r="D13" i="78"/>
  <c r="C13" i="78"/>
  <c r="E13" i="78" s="1"/>
  <c r="F12" i="78"/>
  <c r="F13" i="78" s="1"/>
  <c r="F14" i="78" s="1"/>
  <c r="F15" i="78" s="1"/>
  <c r="F16" i="78" s="1"/>
  <c r="F17" i="78" s="1"/>
  <c r="F18" i="78" s="1"/>
  <c r="F19" i="78" s="1"/>
  <c r="F20" i="78" s="1"/>
  <c r="F21" i="78" s="1"/>
  <c r="F22" i="78" s="1"/>
  <c r="F23" i="78" s="1"/>
  <c r="F24" i="78" s="1"/>
  <c r="F25" i="78" s="1"/>
  <c r="F26" i="78" s="1"/>
  <c r="F27" i="78" s="1"/>
  <c r="F28" i="78" s="1"/>
  <c r="F29" i="78" s="1"/>
  <c r="F30" i="78" s="1"/>
  <c r="F31" i="78" s="1"/>
  <c r="F32" i="78" s="1"/>
  <c r="C8" i="78"/>
  <c r="E63" i="77"/>
  <c r="D63" i="77"/>
  <c r="C63" i="77"/>
  <c r="D62" i="77"/>
  <c r="C62" i="77"/>
  <c r="E62" i="77" s="1"/>
  <c r="D61" i="77"/>
  <c r="C61" i="77"/>
  <c r="E61" i="77" s="1"/>
  <c r="E60" i="77"/>
  <c r="D60" i="77"/>
  <c r="C60" i="77"/>
  <c r="E59" i="77"/>
  <c r="D59" i="77"/>
  <c r="C59" i="77"/>
  <c r="D58" i="77"/>
  <c r="C58" i="77"/>
  <c r="E58" i="77" s="1"/>
  <c r="D57" i="77"/>
  <c r="C57" i="77"/>
  <c r="E57" i="77" s="1"/>
  <c r="E56" i="77"/>
  <c r="D56" i="77"/>
  <c r="C56" i="77"/>
  <c r="E55" i="77"/>
  <c r="D55" i="77"/>
  <c r="C55" i="77"/>
  <c r="D54" i="77"/>
  <c r="C54" i="77"/>
  <c r="E54" i="77" s="1"/>
  <c r="D53" i="77"/>
  <c r="C53" i="77"/>
  <c r="E53" i="77" s="1"/>
  <c r="E52" i="77"/>
  <c r="D52" i="77"/>
  <c r="C52" i="77"/>
  <c r="E51" i="77"/>
  <c r="D51" i="77"/>
  <c r="C51" i="77"/>
  <c r="D50" i="77"/>
  <c r="C50" i="77"/>
  <c r="E50" i="77" s="1"/>
  <c r="D49" i="77"/>
  <c r="C49" i="77"/>
  <c r="E49" i="77" s="1"/>
  <c r="E48" i="77"/>
  <c r="D48" i="77"/>
  <c r="C48" i="77"/>
  <c r="E47" i="77"/>
  <c r="D47" i="77"/>
  <c r="C47" i="77"/>
  <c r="D46" i="77"/>
  <c r="C46" i="77"/>
  <c r="E46" i="77" s="1"/>
  <c r="D45" i="77"/>
  <c r="C45" i="77"/>
  <c r="E45" i="77" s="1"/>
  <c r="E44" i="77"/>
  <c r="D44" i="77"/>
  <c r="C44" i="77"/>
  <c r="E43" i="77"/>
  <c r="D43" i="77"/>
  <c r="C43" i="77"/>
  <c r="D42" i="77"/>
  <c r="C42" i="77"/>
  <c r="E42" i="77" s="1"/>
  <c r="D41" i="77"/>
  <c r="C41" i="77"/>
  <c r="E41" i="77" s="1"/>
  <c r="E40" i="77"/>
  <c r="D40" i="77"/>
  <c r="C40" i="77"/>
  <c r="E39" i="77"/>
  <c r="D39" i="77"/>
  <c r="C39" i="77"/>
  <c r="D38" i="77"/>
  <c r="C38" i="77"/>
  <c r="E38" i="77" s="1"/>
  <c r="D37" i="77"/>
  <c r="C37" i="77"/>
  <c r="E37" i="77" s="1"/>
  <c r="E36" i="77"/>
  <c r="D36" i="77"/>
  <c r="C36" i="77"/>
  <c r="E35" i="77"/>
  <c r="D35" i="77"/>
  <c r="C35" i="77"/>
  <c r="D34" i="77"/>
  <c r="C34" i="77"/>
  <c r="E34" i="77" s="1"/>
  <c r="D33" i="77"/>
  <c r="C33" i="77"/>
  <c r="E33" i="77" s="1"/>
  <c r="E32" i="77"/>
  <c r="D32" i="77"/>
  <c r="C32" i="77"/>
  <c r="E31" i="77"/>
  <c r="D31" i="77"/>
  <c r="C31" i="77"/>
  <c r="D30" i="77"/>
  <c r="C30" i="77"/>
  <c r="E30" i="77" s="1"/>
  <c r="D29" i="77"/>
  <c r="C29" i="77"/>
  <c r="E29" i="77" s="1"/>
  <c r="E28" i="77"/>
  <c r="D28" i="77"/>
  <c r="C28" i="77"/>
  <c r="E27" i="77"/>
  <c r="D27" i="77"/>
  <c r="C27" i="77"/>
  <c r="D26" i="77"/>
  <c r="C26" i="77"/>
  <c r="E26" i="77" s="1"/>
  <c r="D25" i="77"/>
  <c r="C25" i="77"/>
  <c r="E25" i="77" s="1"/>
  <c r="E24" i="77"/>
  <c r="D24" i="77"/>
  <c r="C24" i="77"/>
  <c r="E23" i="77"/>
  <c r="D23" i="77"/>
  <c r="C23" i="77"/>
  <c r="D22" i="77"/>
  <c r="C22" i="77"/>
  <c r="E22" i="77" s="1"/>
  <c r="D21" i="77"/>
  <c r="C21" i="77"/>
  <c r="E21" i="77" s="1"/>
  <c r="E20" i="77"/>
  <c r="D20" i="77"/>
  <c r="C20" i="77"/>
  <c r="E19" i="77"/>
  <c r="D19" i="77"/>
  <c r="C19" i="77"/>
  <c r="D18" i="77"/>
  <c r="C18" i="77"/>
  <c r="E18" i="77" s="1"/>
  <c r="D17" i="77"/>
  <c r="C17" i="77"/>
  <c r="E17" i="77" s="1"/>
  <c r="D16" i="77"/>
  <c r="C16" i="77"/>
  <c r="E16" i="77" s="1"/>
  <c r="F15" i="77"/>
  <c r="F16" i="77" s="1"/>
  <c r="F17" i="77" s="1"/>
  <c r="F18" i="77" s="1"/>
  <c r="F19" i="77" s="1"/>
  <c r="F20" i="77" s="1"/>
  <c r="F21" i="77" s="1"/>
  <c r="F22" i="77" s="1"/>
  <c r="F23" i="77" s="1"/>
  <c r="F24" i="77" s="1"/>
  <c r="F25" i="77" s="1"/>
  <c r="F26" i="77" s="1"/>
  <c r="F27" i="77" s="1"/>
  <c r="F28" i="77" s="1"/>
  <c r="F29" i="77" s="1"/>
  <c r="F30" i="77" s="1"/>
  <c r="F31" i="77" s="1"/>
  <c r="F32" i="77" s="1"/>
  <c r="F33" i="77" s="1"/>
  <c r="F34" i="77" s="1"/>
  <c r="F35" i="77" s="1"/>
  <c r="F36" i="77" s="1"/>
  <c r="F37" i="77" s="1"/>
  <c r="F38" i="77" s="1"/>
  <c r="F39" i="77" s="1"/>
  <c r="F40" i="77" s="1"/>
  <c r="F41" i="77" s="1"/>
  <c r="F42" i="77" s="1"/>
  <c r="F43" i="77" s="1"/>
  <c r="F44" i="77" s="1"/>
  <c r="F45" i="77" s="1"/>
  <c r="F46" i="77" s="1"/>
  <c r="F47" i="77" s="1"/>
  <c r="F48" i="77" s="1"/>
  <c r="F49" i="77" s="1"/>
  <c r="F50" i="77" s="1"/>
  <c r="F51" i="77" s="1"/>
  <c r="F52" i="77" s="1"/>
  <c r="F53" i="77" s="1"/>
  <c r="F54" i="77" s="1"/>
  <c r="F55" i="77" s="1"/>
  <c r="F56" i="77" s="1"/>
  <c r="F57" i="77" s="1"/>
  <c r="F58" i="77" s="1"/>
  <c r="F59" i="77" s="1"/>
  <c r="F60" i="77" s="1"/>
  <c r="F61" i="77" s="1"/>
  <c r="F62" i="77" s="1"/>
  <c r="F63" i="77" s="1"/>
  <c r="C11" i="77"/>
  <c r="C9" i="76" l="1"/>
  <c r="C14" i="68"/>
  <c r="C18" i="68" s="1"/>
  <c r="C13" i="68"/>
  <c r="C12" i="68"/>
  <c r="C17" i="68" l="1"/>
</calcChain>
</file>

<file path=xl/sharedStrings.xml><?xml version="1.0" encoding="utf-8"?>
<sst xmlns="http://schemas.openxmlformats.org/spreadsheetml/2006/main" count="135" uniqueCount="90">
  <si>
    <t>Sale Price</t>
  </si>
  <si>
    <t xml:space="preserve">Down Payment </t>
  </si>
  <si>
    <t>APR</t>
  </si>
  <si>
    <t>compounded monthly</t>
  </si>
  <si>
    <t>Loan Term</t>
  </si>
  <si>
    <t>years</t>
  </si>
  <si>
    <t>Monthly Payment</t>
  </si>
  <si>
    <t>Overview of Loans</t>
  </si>
  <si>
    <t>Loan Amount</t>
  </si>
  <si>
    <t>Loan Term (in years)</t>
  </si>
  <si>
    <t>Periods per Year</t>
  </si>
  <si>
    <t>Quarterly Payment</t>
  </si>
  <si>
    <t>First Bank and Trust</t>
  </si>
  <si>
    <t>Temperance Loan Example</t>
  </si>
  <si>
    <t>Loan Amount(PV )</t>
  </si>
  <si>
    <t>NPER (months)</t>
  </si>
  <si>
    <t>RATE (monthly)</t>
  </si>
  <si>
    <t>APR (compounded quarterly)</t>
  </si>
  <si>
    <t>Amortization Schedule Construction</t>
  </si>
  <si>
    <t>APR (monthly compounding)</t>
  </si>
  <si>
    <t>Period</t>
  </si>
  <si>
    <t>Interest</t>
  </si>
  <si>
    <t>Principal</t>
  </si>
  <si>
    <t>Total Payment</t>
  </si>
  <si>
    <t>Loan Balance</t>
  </si>
  <si>
    <t>Quarterly Loan Amortization Schedule</t>
  </si>
  <si>
    <t>APR (quarterly compounding)</t>
  </si>
  <si>
    <t>=PMT(4.25%/4, 20, -250000)</t>
  </si>
  <si>
    <t>Amt. Paid in Interest</t>
  </si>
  <si>
    <t>Amt. Paid to Principal</t>
  </si>
  <si>
    <t>Remaining Balance</t>
  </si>
  <si>
    <t>Using the CUMPRINC and CUMIPMT Functions</t>
  </si>
  <si>
    <t>Remaining Balance using
CUMPRINC</t>
  </si>
  <si>
    <t>Remaining Balance using
FV Function</t>
  </si>
  <si>
    <t>Total Interest</t>
  </si>
  <si>
    <t>Explicitly Enumerating Periods</t>
  </si>
  <si>
    <t xml:space="preserve">Amt. Paid in </t>
  </si>
  <si>
    <t>Amt. Paid</t>
  </si>
  <si>
    <t xml:space="preserve">Remaining </t>
  </si>
  <si>
    <t>Year</t>
  </si>
  <si>
    <t xml:space="preserve"> Interest</t>
  </si>
  <si>
    <t>to Principal</t>
  </si>
  <si>
    <t>Balance</t>
  </si>
  <si>
    <t>Total</t>
  </si>
  <si>
    <t>Total Principal</t>
  </si>
  <si>
    <t>Using a Formula to Devise Start and End Periods based on Year</t>
  </si>
  <si>
    <t>Making Extra Payments (NPER Applications)</t>
  </si>
  <si>
    <t>Loan amount</t>
  </si>
  <si>
    <t>or</t>
  </si>
  <si>
    <t>Additional Payment</t>
  </si>
  <si>
    <t>Understanding what's Happening</t>
  </si>
  <si>
    <t>Term to Payoff Loan</t>
  </si>
  <si>
    <t>Months</t>
  </si>
  <si>
    <t>No. Months Saved</t>
  </si>
  <si>
    <t>No. Years Saved</t>
  </si>
  <si>
    <t>Month</t>
  </si>
  <si>
    <t>Balance 
(pays additional  $200)</t>
  </si>
  <si>
    <t>Balance Reduction</t>
  </si>
  <si>
    <t>Extra Payments Total</t>
  </si>
  <si>
    <t>Payment $ Saved</t>
  </si>
  <si>
    <t>Variable Rate in Credit Cards</t>
  </si>
  <si>
    <t>Credit Card Balance</t>
  </si>
  <si>
    <t>Current APR</t>
  </si>
  <si>
    <t>Minimum Payment Horizon 
(in months)</t>
  </si>
  <si>
    <t>Minimum Payment</t>
  </si>
  <si>
    <t>Ending Balance</t>
  </si>
  <si>
    <t>New APR</t>
  </si>
  <si>
    <t>New Minumum Payment</t>
  </si>
  <si>
    <t>Worksheet</t>
  </si>
  <si>
    <t>Video Lesson</t>
  </si>
  <si>
    <t>Topics Covered</t>
  </si>
  <si>
    <t>Mastering Loans</t>
  </si>
  <si>
    <t>Temperance Loan</t>
  </si>
  <si>
    <t>Amortization Schedule</t>
  </si>
  <si>
    <t>Temperance Amortization Schd.</t>
  </si>
  <si>
    <t>Cumulative Totals</t>
  </si>
  <si>
    <t xml:space="preserve">Impact of Extra Payment </t>
  </si>
  <si>
    <t>Credit Cards</t>
  </si>
  <si>
    <t>Calculating Loan Payments (PMT)</t>
  </si>
  <si>
    <t>Creating an Amortization in Excel: Applying IPMT, PPMT Functions</t>
  </si>
  <si>
    <t>Calculating Loan Balances with CUMPRINC Function</t>
  </si>
  <si>
    <t>Calculating Total Interest and Principal Payments with CUMIPMT and CUMPRINC Functions</t>
  </si>
  <si>
    <t>Impact of Paying Extra each Period on Loan Repayment Horizon (NPER)</t>
  </si>
  <si>
    <t>Impact of Adjustable Rates on Mortgages and Credit Card Loans</t>
  </si>
  <si>
    <t>Overview of Loans -- Terminology and use of PMT Function</t>
  </si>
  <si>
    <t>Applying IPMT and PPMT to calculate Principal and Interest payments</t>
  </si>
  <si>
    <t>Loan Balance calculations using various approaches</t>
  </si>
  <si>
    <t>Using CUMIPMT and CUMPRINC to calculate tota interest and principal payments over a given set of perionds</t>
  </si>
  <si>
    <t>Impact of extra payments in reducing payback period</t>
  </si>
  <si>
    <t>Balance calculations in credit cards and adjustable rate mortgages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</si>
</sst>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"/>
    <numFmt numFmtId="168" formatCode="&quot;$&quot;#,##0.00"/>
    <numFmt numFmtId="169" formatCode="0.0"/>
    <numFmt numFmtId="170" formatCode="_(* #,##0_);_(* \(#,##0\);_(* &quot;-&quot;??_);_(@_)"/>
    <numFmt numFmtId="171" formatCode="0.000%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0000"/>
      <name val="Source Sans Pro"/>
      <family val="2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1"/>
      <name val="Symbol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4" fillId="2" borderId="0" applyNumberFormat="0" applyFont="0" applyBorder="0" applyAlignment="0" applyProtection="0"/>
    <xf numFmtId="0" fontId="4" fillId="3" borderId="0" applyNumberFormat="0" applyFon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5" borderId="2" applyNumberFormat="0" applyAlignment="0" applyProtection="0"/>
    <xf numFmtId="0" fontId="9" fillId="5" borderId="1" applyNumberFormat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4" applyNumberFormat="0" applyFill="0" applyAlignment="0" applyProtection="0"/>
    <xf numFmtId="0" fontId="1" fillId="3" borderId="0" applyNumberFormat="0" applyFont="0" applyBorder="0" applyAlignment="0" applyProtection="0"/>
    <xf numFmtId="0" fontId="11" fillId="7" borderId="0" applyNumberFormat="0" applyBorder="0" applyAlignment="0" applyProtection="0"/>
    <xf numFmtId="0" fontId="11" fillId="6" borderId="0" applyNumberFormat="0" applyBorder="0" applyAlignment="0" applyProtection="0"/>
    <xf numFmtId="0" fontId="16" fillId="5" borderId="2" applyNumberFormat="0" applyAlignment="0" applyProtection="0"/>
    <xf numFmtId="0" fontId="17" fillId="5" borderId="1" applyNumberFormat="0" applyAlignment="0" applyProtection="0"/>
    <xf numFmtId="0" fontId="19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168" fontId="0" fillId="0" borderId="0" xfId="0" applyNumberFormat="1"/>
    <xf numFmtId="0" fontId="0" fillId="0" borderId="0" xfId="0" quotePrefix="1"/>
    <xf numFmtId="164" fontId="0" fillId="0" borderId="0" xfId="0" quotePrefix="1" applyNumberFormat="1"/>
    <xf numFmtId="0" fontId="6" fillId="0" borderId="3" xfId="0" applyFont="1" applyBorder="1"/>
    <xf numFmtId="0" fontId="0" fillId="0" borderId="3" xfId="0" applyBorder="1" applyAlignment="1">
      <alignment horizontal="center"/>
    </xf>
    <xf numFmtId="0" fontId="0" fillId="0" borderId="3" xfId="0" applyBorder="1"/>
    <xf numFmtId="168" fontId="0" fillId="0" borderId="0" xfId="0" quotePrefix="1" applyNumberFormat="1"/>
    <xf numFmtId="168" fontId="8" fillId="5" borderId="0" xfId="11" applyNumberFormat="1" applyBorder="1"/>
    <xf numFmtId="167" fontId="0" fillId="3" borderId="0" xfId="8" applyNumberFormat="1" applyFont="1"/>
    <xf numFmtId="0" fontId="0" fillId="3" borderId="0" xfId="8" applyFont="1"/>
    <xf numFmtId="0" fontId="0" fillId="3" borderId="0" xfId="8" applyNumberFormat="1" applyFont="1"/>
    <xf numFmtId="167" fontId="0" fillId="3" borderId="0" xfId="8" applyNumberFormat="1" applyFont="1" applyAlignment="1">
      <alignment horizontal="center"/>
    </xf>
    <xf numFmtId="9" fontId="0" fillId="3" borderId="0" xfId="8" applyNumberFormat="1" applyFont="1" applyAlignment="1">
      <alignment horizontal="center"/>
    </xf>
    <xf numFmtId="0" fontId="0" fillId="3" borderId="0" xfId="8" applyFont="1" applyAlignment="1">
      <alignment horizontal="center"/>
    </xf>
    <xf numFmtId="167" fontId="9" fillId="5" borderId="0" xfId="12" applyNumberFormat="1" applyBorder="1" applyAlignment="1">
      <alignment horizontal="center"/>
    </xf>
    <xf numFmtId="0" fontId="9" fillId="5" borderId="0" xfId="12" applyBorder="1" applyAlignment="1">
      <alignment horizontal="center"/>
    </xf>
    <xf numFmtId="10" fontId="9" fillId="5" borderId="0" xfId="12" applyNumberFormat="1" applyBorder="1" applyAlignment="1">
      <alignment horizontal="center"/>
    </xf>
    <xf numFmtId="0" fontId="0" fillId="0" borderId="0" xfId="0" applyBorder="1" applyAlignment="1">
      <alignment horizontal="center"/>
    </xf>
    <xf numFmtId="168" fontId="8" fillId="5" borderId="0" xfId="11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0" fontId="0" fillId="3" borderId="0" xfId="6" applyNumberFormat="1" applyFont="1" applyFill="1"/>
    <xf numFmtId="0" fontId="7" fillId="0" borderId="3" xfId="0" applyFont="1" applyBorder="1"/>
    <xf numFmtId="0" fontId="7" fillId="0" borderId="0" xfId="0" applyFont="1" applyBorder="1"/>
    <xf numFmtId="167" fontId="0" fillId="3" borderId="0" xfId="16" applyNumberFormat="1" applyFont="1" applyAlignment="1">
      <alignment horizontal="center"/>
    </xf>
    <xf numFmtId="0" fontId="3" fillId="0" borderId="0" xfId="0" applyFont="1" applyAlignment="1"/>
    <xf numFmtId="9" fontId="0" fillId="3" borderId="0" xfId="16" applyNumberFormat="1" applyFont="1" applyAlignment="1">
      <alignment horizontal="center"/>
    </xf>
    <xf numFmtId="164" fontId="8" fillId="5" borderId="0" xfId="11" applyNumberFormat="1" applyBorder="1"/>
    <xf numFmtId="0" fontId="12" fillId="8" borderId="0" xfId="17" applyFont="1" applyFill="1"/>
    <xf numFmtId="167" fontId="0" fillId="0" borderId="0" xfId="0" applyNumberFormat="1"/>
    <xf numFmtId="164" fontId="0" fillId="0" borderId="0" xfId="0" applyNumberFormat="1"/>
    <xf numFmtId="0" fontId="13" fillId="0" borderId="3" xfId="0" applyFont="1" applyBorder="1"/>
    <xf numFmtId="0" fontId="13" fillId="0" borderId="0" xfId="0" applyFont="1"/>
    <xf numFmtId="0" fontId="13" fillId="0" borderId="0" xfId="0" applyFont="1" applyBorder="1"/>
    <xf numFmtId="10" fontId="0" fillId="0" borderId="0" xfId="0" applyNumberFormat="1"/>
    <xf numFmtId="0" fontId="12" fillId="6" borderId="0" xfId="18" applyFont="1" applyAlignment="1">
      <alignment horizontal="center"/>
    </xf>
    <xf numFmtId="0" fontId="12" fillId="6" borderId="0" xfId="18" applyFont="1" applyAlignment="1">
      <alignment wrapText="1"/>
    </xf>
    <xf numFmtId="0" fontId="6" fillId="0" borderId="0" xfId="0" applyFont="1" applyBorder="1"/>
    <xf numFmtId="164" fontId="8" fillId="5" borderId="2" xfId="11" applyNumberFormat="1"/>
    <xf numFmtId="0" fontId="12" fillId="8" borderId="0" xfId="18" applyFont="1" applyFill="1"/>
    <xf numFmtId="0" fontId="12" fillId="8" borderId="0" xfId="18" applyFont="1" applyFill="1" applyAlignment="1">
      <alignment wrapText="1"/>
    </xf>
    <xf numFmtId="0" fontId="12" fillId="8" borderId="0" xfId="18" applyFont="1" applyFill="1" applyAlignment="1">
      <alignment horizontal="center"/>
    </xf>
    <xf numFmtId="0" fontId="14" fillId="0" borderId="0" xfId="0" applyFont="1"/>
    <xf numFmtId="168" fontId="3" fillId="0" borderId="0" xfId="0" applyNumberFormat="1" applyFont="1"/>
    <xf numFmtId="164" fontId="0" fillId="9" borderId="0" xfId="0" applyNumberFormat="1" applyFill="1"/>
    <xf numFmtId="0" fontId="15" fillId="0" borderId="4" xfId="15" applyFont="1"/>
    <xf numFmtId="168" fontId="3" fillId="0" borderId="4" xfId="15" applyNumberFormat="1" applyFont="1"/>
    <xf numFmtId="167" fontId="0" fillId="10" borderId="0" xfId="0" applyNumberFormat="1" applyFill="1"/>
    <xf numFmtId="0" fontId="0" fillId="10" borderId="0" xfId="0" applyFill="1"/>
    <xf numFmtId="9" fontId="0" fillId="10" borderId="0" xfId="0" applyNumberFormat="1" applyFill="1"/>
    <xf numFmtId="164" fontId="16" fillId="5" borderId="0" xfId="19" applyNumberFormat="1" applyBorder="1"/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3" fillId="0" borderId="0" xfId="0" applyFont="1" applyAlignment="1">
      <alignment horizontal="left"/>
    </xf>
    <xf numFmtId="2" fontId="16" fillId="5" borderId="0" xfId="19" applyNumberFormat="1" applyBorder="1"/>
    <xf numFmtId="0" fontId="10" fillId="8" borderId="0" xfId="0" applyFont="1" applyFill="1" applyAlignment="1">
      <alignment horizontal="center"/>
    </xf>
    <xf numFmtId="169" fontId="16" fillId="5" borderId="0" xfId="19" applyNumberForma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9" fontId="0" fillId="0" borderId="0" xfId="0" applyNumberFormat="1"/>
    <xf numFmtId="164" fontId="0" fillId="0" borderId="0" xfId="13" applyNumberFormat="1" applyFont="1"/>
    <xf numFmtId="2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/>
    <xf numFmtId="168" fontId="0" fillId="0" borderId="0" xfId="0" applyNumberFormat="1" applyFill="1"/>
    <xf numFmtId="0" fontId="0" fillId="0" borderId="0" xfId="0" applyFill="1"/>
    <xf numFmtId="0" fontId="0" fillId="0" borderId="0" xfId="0" applyBorder="1"/>
    <xf numFmtId="10" fontId="0" fillId="10" borderId="0" xfId="0" applyNumberFormat="1" applyFill="1"/>
    <xf numFmtId="0" fontId="18" fillId="0" borderId="3" xfId="0" applyFont="1" applyBorder="1"/>
    <xf numFmtId="167" fontId="0" fillId="10" borderId="0" xfId="14" applyNumberFormat="1" applyFont="1" applyFill="1"/>
    <xf numFmtId="0" fontId="0" fillId="0" borderId="0" xfId="0" applyAlignment="1">
      <alignment wrapText="1"/>
    </xf>
    <xf numFmtId="170" fontId="0" fillId="10" borderId="0" xfId="13" applyNumberFormat="1" applyFont="1" applyFill="1" applyAlignment="1">
      <alignment vertical="center"/>
    </xf>
    <xf numFmtId="171" fontId="0" fillId="0" borderId="0" xfId="0" applyNumberFormat="1"/>
    <xf numFmtId="9" fontId="0" fillId="0" borderId="0" xfId="0" applyNumberFormat="1"/>
    <xf numFmtId="164" fontId="16" fillId="5" borderId="2" xfId="19" applyNumberFormat="1"/>
    <xf numFmtId="0" fontId="20" fillId="8" borderId="0" xfId="0" applyFont="1" applyFill="1" applyAlignment="1"/>
    <xf numFmtId="0" fontId="21" fillId="8" borderId="0" xfId="0" applyFont="1" applyFill="1" applyAlignment="1"/>
    <xf numFmtId="0" fontId="13" fillId="0" borderId="0" xfId="0" applyFont="1" applyAlignment="1"/>
    <xf numFmtId="0" fontId="19" fillId="0" borderId="0" xfId="21"/>
    <xf numFmtId="0" fontId="22" fillId="0" borderId="0" xfId="0" applyFont="1" applyAlignment="1">
      <alignment horizontal="left" vertical="center" indent="4"/>
    </xf>
    <xf numFmtId="0" fontId="12" fillId="8" borderId="0" xfId="18" applyFont="1" applyFill="1" applyAlignment="1">
      <alignment horizontal="center"/>
    </xf>
  </cellXfs>
  <cellStyles count="22">
    <cellStyle name="20% - Accent3 2" xfId="10" xr:uid="{00000000-0005-0000-0000-000000000000}"/>
    <cellStyle name="Accent2 2" xfId="18" xr:uid="{D1AE2247-6CE6-4AFA-97A1-FEFB6F4BD83A}"/>
    <cellStyle name="Accent6 2" xfId="17" xr:uid="{39047965-8234-4C55-887D-8CC9A50BF012}"/>
    <cellStyle name="Calculation" xfId="12" builtinId="22"/>
    <cellStyle name="Calculation 2" xfId="20" xr:uid="{311CD1DB-56BD-4DCB-AC33-BA4973784CBF}"/>
    <cellStyle name="Comma" xfId="13" builtinId="3"/>
    <cellStyle name="Currency" xfId="14" builtinId="4"/>
    <cellStyle name="GreyOrWhite" xfId="7" xr:uid="{00000000-0005-0000-0000-000003000000}"/>
    <cellStyle name="Hyperlink" xfId="21" builtinId="8"/>
    <cellStyle name="Normal" xfId="0" builtinId="0"/>
    <cellStyle name="Normal 2" xfId="1" xr:uid="{00000000-0005-0000-0000-000005000000}"/>
    <cellStyle name="Normal 3" xfId="2" xr:uid="{00000000-0005-0000-0000-000006000000}"/>
    <cellStyle name="Normal 4" xfId="3" xr:uid="{00000000-0005-0000-0000-000007000000}"/>
    <cellStyle name="Normal 5" xfId="4" xr:uid="{00000000-0005-0000-0000-000008000000}"/>
    <cellStyle name="Normal 6" xfId="5" xr:uid="{00000000-0005-0000-0000-000009000000}"/>
    <cellStyle name="Output" xfId="11" builtinId="21"/>
    <cellStyle name="Output 2" xfId="19" xr:uid="{2BF7F62F-A9C4-4AEA-9DBE-AC0FABC1C0E5}"/>
    <cellStyle name="Percent" xfId="6" builtinId="5"/>
    <cellStyle name="Title 2" xfId="9" xr:uid="{00000000-0005-0000-0000-00000C000000}"/>
    <cellStyle name="Total" xfId="15" builtinId="25"/>
    <cellStyle name="Yellow" xfId="8" xr:uid="{00000000-0005-0000-0000-00000D000000}"/>
    <cellStyle name="Yellow 2" xfId="16" xr:uid="{0E860EE5-2C10-4FFE-96A7-E4E1F3AC13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281354</xdr:colOff>
      <xdr:row>1</xdr:row>
      <xdr:rowOff>99646</xdr:rowOff>
    </xdr:from>
    <xdr:to>
      <xdr:col>9</xdr:col>
      <xdr:colOff>681942</xdr:colOff>
      <xdr:row>13</xdr:row>
      <xdr:rowOff>6555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563559-F3D8-45D5-A786-34A3A9E004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2514"/>
        <a:stretch/>
      </xdr:blipFill>
      <xdr:spPr>
        <a:xfrm>
          <a:off x="6537374" y="366346"/>
          <a:ext cx="4126768" cy="2078609"/>
        </a:xfrm>
        <a:prstGeom prst="rect">
          <a:avLst/>
        </a:prstGeom>
      </xdr:spPr>
    </xdr:pic>
    <xdr:clientData/>
  </xdr:twoCellAnchor>
  <xdr:twoCellAnchor editAs="oneCell">
    <xdr:from>
      <xdr:col>6</xdr:col>
      <xdr:colOff>1025770</xdr:colOff>
      <xdr:row>12</xdr:row>
      <xdr:rowOff>161524</xdr:rowOff>
    </xdr:from>
    <xdr:to>
      <xdr:col>8</xdr:col>
      <xdr:colOff>17585</xdr:colOff>
      <xdr:row>19</xdr:row>
      <xdr:rowOff>50498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7BE1A2-41AF-4A9F-B7CD-D32B4F9B1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1790" y="2417044"/>
          <a:ext cx="1475935" cy="1184374"/>
        </a:xfrm>
        <a:prstGeom prst="rect">
          <a:avLst/>
        </a:prstGeom>
      </xdr:spPr>
    </xdr:pic>
    <xdr:clientData/>
  </xdr:twoCellAnchor>
  <xdr:oneCellAnchor>
    <xdr:from>
      <xdr:col>7</xdr:col>
      <xdr:colOff>744415</xdr:colOff>
      <xdr:row>3</xdr:row>
      <xdr:rowOff>1</xdr:rowOff>
    </xdr:from>
    <xdr:ext cx="40671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E2D05D6-DC72-4BF6-B9B8-4F0091992641}"/>
            </a:ext>
          </a:extLst>
        </xdr:cNvPr>
        <xdr:cNvSpPr txBox="1"/>
      </xdr:nvSpPr>
      <xdr:spPr>
        <a:xfrm>
          <a:off x="8242495" y="601981"/>
          <a:ext cx="40671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B15</a:t>
          </a:r>
        </a:p>
      </xdr:txBody>
    </xdr:sp>
    <xdr:clientData/>
  </xdr:oneCellAnchor>
  <xdr:oneCellAnchor>
    <xdr:from>
      <xdr:col>7</xdr:col>
      <xdr:colOff>211015</xdr:colOff>
      <xdr:row>4</xdr:row>
      <xdr:rowOff>146538</xdr:rowOff>
    </xdr:from>
    <xdr:ext cx="344453" cy="217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C9B4C1-88D3-47B1-9B1B-86376B4BD870}"/>
            </a:ext>
          </a:extLst>
        </xdr:cNvPr>
        <xdr:cNvSpPr txBox="1"/>
      </xdr:nvSpPr>
      <xdr:spPr>
        <a:xfrm>
          <a:off x="7709095" y="923778"/>
          <a:ext cx="344453" cy="217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0">
              <a:solidFill>
                <a:srgbClr val="C00000"/>
              </a:solidFill>
            </a:rPr>
            <a:t>B15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rango/AppData/Local/Temp/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eCalc_9"/>
      <sheetName val="treeCalc_6"/>
      <sheetName val="__PT_treeCalc_9 (2)"/>
      <sheetName val="__PT_treeCalc_6 (2)"/>
      <sheetName val="Goal Seek"/>
      <sheetName val="Sensitivity Analysis"/>
      <sheetName val="goalSeekInfo"/>
      <sheetName val="senseInfo"/>
      <sheetName val="RiskSerializationData"/>
      <sheetName val="#REF"/>
    </sheetNames>
    <sheetDataSet>
      <sheetData sheetId="0">
        <row r="1">
          <cell r="A1" t="str">
            <v>Name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192B-ACEA-425C-9F5C-C6DA8F609F74}">
  <dimension ref="B1:D22"/>
  <sheetViews>
    <sheetView showGridLines="0" workbookViewId="0">
      <selection activeCell="C19" sqref="C19"/>
    </sheetView>
  </sheetViews>
  <sheetFormatPr defaultRowHeight="15" x14ac:dyDescent="0.25"/>
  <cols>
    <col min="1" max="1" width="3.5703125" customWidth="1"/>
    <col min="2" max="2" width="29" customWidth="1"/>
    <col min="3" max="3" width="77" customWidth="1"/>
  </cols>
  <sheetData>
    <row r="1" spans="2:4" ht="26.25" x14ac:dyDescent="0.4">
      <c r="B1" s="80" t="s">
        <v>71</v>
      </c>
      <c r="C1" s="80"/>
      <c r="D1" s="81"/>
    </row>
    <row r="4" spans="2:4" ht="18.75" x14ac:dyDescent="0.3">
      <c r="B4" s="82" t="s">
        <v>68</v>
      </c>
      <c r="C4" s="82" t="s">
        <v>69</v>
      </c>
      <c r="D4" s="82" t="s">
        <v>70</v>
      </c>
    </row>
    <row r="5" spans="2:4" ht="26.45" customHeight="1" x14ac:dyDescent="0.25">
      <c r="B5" s="83" t="s">
        <v>7</v>
      </c>
      <c r="C5" t="s">
        <v>78</v>
      </c>
      <c r="D5" t="s">
        <v>84</v>
      </c>
    </row>
    <row r="6" spans="2:4" ht="26.45" customHeight="1" x14ac:dyDescent="0.25">
      <c r="B6" s="83" t="s">
        <v>72</v>
      </c>
      <c r="C6" t="s">
        <v>78</v>
      </c>
      <c r="D6" t="s">
        <v>84</v>
      </c>
    </row>
    <row r="7" spans="2:4" ht="26.45" customHeight="1" x14ac:dyDescent="0.25">
      <c r="B7" s="83" t="s">
        <v>73</v>
      </c>
      <c r="C7" t="s">
        <v>79</v>
      </c>
      <c r="D7" t="s">
        <v>85</v>
      </c>
    </row>
    <row r="8" spans="2:4" ht="26.45" customHeight="1" x14ac:dyDescent="0.25">
      <c r="B8" s="83" t="s">
        <v>74</v>
      </c>
      <c r="C8" t="s">
        <v>79</v>
      </c>
      <c r="D8" t="s">
        <v>85</v>
      </c>
    </row>
    <row r="9" spans="2:4" ht="26.45" customHeight="1" x14ac:dyDescent="0.25">
      <c r="B9" s="83" t="s">
        <v>24</v>
      </c>
      <c r="C9" t="s">
        <v>80</v>
      </c>
      <c r="D9" t="s">
        <v>86</v>
      </c>
    </row>
    <row r="10" spans="2:4" ht="26.45" customHeight="1" x14ac:dyDescent="0.25">
      <c r="B10" s="83" t="s">
        <v>75</v>
      </c>
      <c r="C10" t="s">
        <v>81</v>
      </c>
      <c r="D10" t="s">
        <v>87</v>
      </c>
    </row>
    <row r="11" spans="2:4" ht="26.45" customHeight="1" x14ac:dyDescent="0.25">
      <c r="B11" s="83" t="s">
        <v>76</v>
      </c>
      <c r="C11" t="s">
        <v>82</v>
      </c>
      <c r="D11" t="s">
        <v>88</v>
      </c>
    </row>
    <row r="12" spans="2:4" ht="26.45" customHeight="1" x14ac:dyDescent="0.25">
      <c r="B12" s="83" t="s">
        <v>77</v>
      </c>
      <c r="C12" t="s">
        <v>83</v>
      </c>
      <c r="D12" t="s">
        <v>89</v>
      </c>
    </row>
    <row r="13" spans="2:4" x14ac:dyDescent="0.25">
      <c r="B13" s="83"/>
    </row>
    <row r="14" spans="2:4" x14ac:dyDescent="0.25">
      <c r="B14" s="83"/>
    </row>
    <row r="15" spans="2:4" x14ac:dyDescent="0.25">
      <c r="B15" s="83"/>
    </row>
    <row r="16" spans="2:4" x14ac:dyDescent="0.25">
      <c r="B16" s="83"/>
      <c r="C16" s="84"/>
    </row>
    <row r="17" spans="2:3" x14ac:dyDescent="0.25">
      <c r="B17" s="83"/>
      <c r="C17" s="84"/>
    </row>
    <row r="18" spans="2:3" x14ac:dyDescent="0.25">
      <c r="B18" s="83"/>
      <c r="C18" s="84"/>
    </row>
    <row r="19" spans="2:3" x14ac:dyDescent="0.25">
      <c r="C19" s="84"/>
    </row>
    <row r="20" spans="2:3" x14ac:dyDescent="0.25">
      <c r="C20" s="84"/>
    </row>
    <row r="21" spans="2:3" x14ac:dyDescent="0.25">
      <c r="C21" s="84"/>
    </row>
    <row r="22" spans="2:3" x14ac:dyDescent="0.25">
      <c r="C22" s="84"/>
    </row>
  </sheetData>
  <hyperlinks>
    <hyperlink ref="B5" location="'Overview of Loans'!A1" display="Overview of Loans" xr:uid="{B1E3CED4-FD49-4644-9A13-27C5A88133E8}"/>
    <hyperlink ref="B6" location="'Amortization Schedule'!A1" display="Temperance Loan" xr:uid="{BF7E2D0D-394F-4E90-8882-9635AA7A52E0}"/>
    <hyperlink ref="B7" location="'Amortization Schedule'!A1" display="Amortization Schedule" xr:uid="{04649625-CDA6-49E5-BBAA-28C783F76367}"/>
    <hyperlink ref="B8" location="'Temperance Amortization Schd.'!A1" display="Temperance Amortization Schd." xr:uid="{753E2935-C63B-422F-99C0-30562072ACFE}"/>
    <hyperlink ref="B9" location="'Loan Balance'!A1" display="Loan Balance" xr:uid="{B456813B-2E0D-4CC7-A82F-4BC7D97ADD1D}"/>
    <hyperlink ref="B10" location="'Cumulative Totals'!A1" display="Cumulative Totals" xr:uid="{3C47D50F-6369-4BB2-9F94-2EC65D8268DA}"/>
    <hyperlink ref="B11" location="'Impact of Extra Payment '!A1" display="Impact of Extra Payment " xr:uid="{FB89D12C-7E95-4D71-8F85-B0B89CB66F74}"/>
    <hyperlink ref="B12" location="'Credit Cards'!A1" display="Credit Cards" xr:uid="{AAB15A01-D4C4-4C9D-8514-B4ACC87E94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8"/>
  <sheetViews>
    <sheetView showGridLines="0" zoomScale="130" zoomScaleNormal="130" workbookViewId="0"/>
  </sheetViews>
  <sheetFormatPr defaultRowHeight="15" x14ac:dyDescent="0.25"/>
  <cols>
    <col min="2" max="2" width="18.28515625" customWidth="1"/>
    <col min="3" max="3" width="9.85546875" style="4" bestFit="1" customWidth="1"/>
  </cols>
  <sheetData>
    <row r="1" spans="2:9" ht="21" x14ac:dyDescent="0.35">
      <c r="B1" s="8" t="s">
        <v>7</v>
      </c>
      <c r="C1" s="9"/>
      <c r="D1" s="10"/>
      <c r="E1" s="10"/>
      <c r="F1" s="10"/>
      <c r="G1" s="10"/>
      <c r="H1" s="10"/>
      <c r="I1" s="10"/>
    </row>
    <row r="2" spans="2:9" x14ac:dyDescent="0.25">
      <c r="B2" s="1"/>
    </row>
    <row r="3" spans="2:9" x14ac:dyDescent="0.25">
      <c r="B3" s="1" t="s">
        <v>0</v>
      </c>
      <c r="C3" s="16">
        <v>25000</v>
      </c>
    </row>
    <row r="4" spans="2:9" x14ac:dyDescent="0.25">
      <c r="B4" s="1" t="s">
        <v>1</v>
      </c>
      <c r="C4" s="16">
        <v>4000</v>
      </c>
    </row>
    <row r="5" spans="2:9" x14ac:dyDescent="0.25">
      <c r="B5" s="1"/>
    </row>
    <row r="6" spans="2:9" x14ac:dyDescent="0.25">
      <c r="B6" s="1" t="s">
        <v>2</v>
      </c>
      <c r="C6" s="17">
        <v>0.03</v>
      </c>
      <c r="D6" t="s">
        <v>3</v>
      </c>
    </row>
    <row r="7" spans="2:9" x14ac:dyDescent="0.25">
      <c r="B7" s="1" t="s">
        <v>4</v>
      </c>
      <c r="C7" s="18">
        <v>6</v>
      </c>
      <c r="D7" t="s">
        <v>5</v>
      </c>
    </row>
    <row r="12" spans="2:9" ht="15.75" x14ac:dyDescent="0.25">
      <c r="B12" t="s">
        <v>14</v>
      </c>
      <c r="C12" s="19">
        <f>C3-C4</f>
        <v>21000</v>
      </c>
    </row>
    <row r="13" spans="2:9" ht="15.75" x14ac:dyDescent="0.25">
      <c r="B13" t="s">
        <v>15</v>
      </c>
      <c r="C13" s="20">
        <f>C7*12</f>
        <v>72</v>
      </c>
    </row>
    <row r="14" spans="2:9" ht="15.75" x14ac:dyDescent="0.25">
      <c r="B14" t="s">
        <v>16</v>
      </c>
      <c r="C14" s="21">
        <f>C6/12</f>
        <v>2.5000000000000001E-3</v>
      </c>
      <c r="D14" s="6"/>
    </row>
    <row r="15" spans="2:9" x14ac:dyDescent="0.25">
      <c r="C15" s="22"/>
    </row>
    <row r="16" spans="2:9" x14ac:dyDescent="0.25">
      <c r="C16" s="22"/>
    </row>
    <row r="17" spans="2:4" ht="15.75" x14ac:dyDescent="0.25">
      <c r="B17" s="1" t="s">
        <v>6</v>
      </c>
      <c r="C17" s="23">
        <f>PMT(C14, C13, C12)</f>
        <v>-319.06719220821356</v>
      </c>
      <c r="D17" s="7"/>
    </row>
    <row r="18" spans="2:4" x14ac:dyDescent="0.25">
      <c r="C18" s="24">
        <f>PMT(C14, C13, -C12)</f>
        <v>319.06719220821356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7855-7201-477C-A0B7-585045D4C9C9}">
  <dimension ref="B1:C11"/>
  <sheetViews>
    <sheetView showGridLines="0" zoomScale="160" zoomScaleNormal="160" workbookViewId="0">
      <selection activeCell="C10" sqref="C10"/>
    </sheetView>
  </sheetViews>
  <sheetFormatPr defaultRowHeight="15" x14ac:dyDescent="0.25"/>
  <cols>
    <col min="1" max="1" width="3.42578125" customWidth="1"/>
    <col min="2" max="2" width="25.7109375" customWidth="1"/>
    <col min="3" max="3" width="17.7109375" bestFit="1" customWidth="1"/>
  </cols>
  <sheetData>
    <row r="1" spans="2:3" ht="21" x14ac:dyDescent="0.35">
      <c r="B1" s="2" t="s">
        <v>13</v>
      </c>
    </row>
    <row r="3" spans="2:3" x14ac:dyDescent="0.25">
      <c r="C3" s="1" t="s">
        <v>12</v>
      </c>
    </row>
    <row r="4" spans="2:3" x14ac:dyDescent="0.25">
      <c r="B4" t="s">
        <v>8</v>
      </c>
      <c r="C4" s="13">
        <v>250000</v>
      </c>
    </row>
    <row r="5" spans="2:3" x14ac:dyDescent="0.25">
      <c r="B5" t="s">
        <v>9</v>
      </c>
      <c r="C5" s="14">
        <v>5</v>
      </c>
    </row>
    <row r="6" spans="2:3" x14ac:dyDescent="0.25">
      <c r="B6" t="s">
        <v>17</v>
      </c>
      <c r="C6" s="25">
        <v>4.2500000000000003E-2</v>
      </c>
    </row>
    <row r="7" spans="2:3" x14ac:dyDescent="0.25">
      <c r="B7" t="s">
        <v>10</v>
      </c>
      <c r="C7" s="15">
        <v>4</v>
      </c>
    </row>
    <row r="9" spans="2:3" ht="15.75" x14ac:dyDescent="0.25">
      <c r="B9" s="1" t="s">
        <v>11</v>
      </c>
      <c r="C9" s="12">
        <f>PMT(C6/C7, C5*C7, -C4)</f>
        <v>13941.169098013299</v>
      </c>
    </row>
    <row r="10" spans="2:3" x14ac:dyDescent="0.25">
      <c r="C10" s="11"/>
    </row>
    <row r="11" spans="2:3" x14ac:dyDescent="0.25">
      <c r="C11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50C1-6DEE-4CDB-A0DC-5B9AEA2E6B8E}">
  <dimension ref="B1:I63"/>
  <sheetViews>
    <sheetView showGridLines="0" zoomScale="130" zoomScaleNormal="130" workbookViewId="0">
      <selection activeCell="I21" sqref="I21"/>
    </sheetView>
  </sheetViews>
  <sheetFormatPr defaultColWidth="18.140625" defaultRowHeight="15" x14ac:dyDescent="0.25"/>
  <cols>
    <col min="1" max="1" width="5.28515625" customWidth="1"/>
    <col min="2" max="2" width="25.140625" customWidth="1"/>
    <col min="3" max="3" width="8.85546875" bestFit="1" customWidth="1"/>
    <col min="4" max="4" width="12.85546875" customWidth="1"/>
    <col min="5" max="5" width="20.7109375" customWidth="1"/>
    <col min="6" max="6" width="18.28515625" bestFit="1" customWidth="1"/>
  </cols>
  <sheetData>
    <row r="1" spans="2:9" s="3" customFormat="1" ht="21" x14ac:dyDescent="0.35">
      <c r="B1" s="26" t="s">
        <v>18</v>
      </c>
      <c r="C1" s="26"/>
      <c r="D1" s="26"/>
      <c r="E1" s="26"/>
      <c r="F1" s="26"/>
      <c r="G1" s="26"/>
      <c r="H1" s="26"/>
      <c r="I1" s="26"/>
    </row>
    <row r="2" spans="2:9" s="3" customFormat="1" ht="12.6" customHeight="1" x14ac:dyDescent="0.35">
      <c r="B2" s="27"/>
      <c r="C2" s="27"/>
      <c r="D2" s="27"/>
      <c r="E2" s="27"/>
      <c r="F2" s="27"/>
      <c r="G2" s="27"/>
      <c r="H2" s="27"/>
      <c r="I2" s="27"/>
    </row>
    <row r="3" spans="2:9" s="3" customFormat="1" ht="13.9" customHeight="1" x14ac:dyDescent="0.35">
      <c r="B3" s="27"/>
      <c r="C3" s="27"/>
      <c r="D3" s="27"/>
      <c r="E3" s="27"/>
      <c r="F3" s="27"/>
      <c r="G3" s="27"/>
      <c r="H3" s="27"/>
      <c r="I3" s="27"/>
    </row>
    <row r="4" spans="2:9" s="3" customFormat="1" ht="13.9" customHeight="1" x14ac:dyDescent="0.35">
      <c r="B4" s="27"/>
      <c r="C4" s="27"/>
      <c r="D4" s="27"/>
      <c r="E4" s="27"/>
      <c r="F4" s="27"/>
      <c r="G4" s="27"/>
      <c r="H4" s="27"/>
      <c r="I4" s="27"/>
    </row>
    <row r="5" spans="2:9" x14ac:dyDescent="0.25">
      <c r="B5" s="1" t="s">
        <v>8</v>
      </c>
      <c r="C5" s="28">
        <v>20000</v>
      </c>
    </row>
    <row r="6" spans="2:9" x14ac:dyDescent="0.25">
      <c r="B6" s="1"/>
      <c r="C6" s="4"/>
    </row>
    <row r="7" spans="2:9" x14ac:dyDescent="0.25">
      <c r="B7" s="29" t="s">
        <v>19</v>
      </c>
      <c r="C7" s="30">
        <v>0.06</v>
      </c>
    </row>
    <row r="8" spans="2:9" x14ac:dyDescent="0.25">
      <c r="B8" s="1" t="s">
        <v>9</v>
      </c>
      <c r="C8" s="4">
        <v>4</v>
      </c>
    </row>
    <row r="11" spans="2:9" ht="15.75" x14ac:dyDescent="0.25">
      <c r="B11" s="1" t="s">
        <v>6</v>
      </c>
      <c r="C11" s="31">
        <f>PMT(C7/12, 48, -C5)</f>
        <v>469.70058095871229</v>
      </c>
    </row>
    <row r="14" spans="2:9" ht="15.75" x14ac:dyDescent="0.25">
      <c r="B14" s="32" t="s">
        <v>20</v>
      </c>
      <c r="C14" s="32" t="s">
        <v>21</v>
      </c>
      <c r="D14" s="32" t="s">
        <v>22</v>
      </c>
      <c r="E14" s="32" t="s">
        <v>23</v>
      </c>
      <c r="F14" s="32" t="s">
        <v>24</v>
      </c>
    </row>
    <row r="15" spans="2:9" x14ac:dyDescent="0.25">
      <c r="B15" s="4">
        <v>0</v>
      </c>
      <c r="F15" s="33">
        <f>$C$5</f>
        <v>20000</v>
      </c>
    </row>
    <row r="16" spans="2:9" x14ac:dyDescent="0.25">
      <c r="B16" s="4">
        <v>1</v>
      </c>
      <c r="C16" s="34">
        <f>IPMT($C$7/12, $B16, $C$8*12, -$C$5)</f>
        <v>100</v>
      </c>
      <c r="D16" s="34">
        <f>PPMT($C$7/12, $B16, $C$8*12, -$C$5)</f>
        <v>369.70058095871229</v>
      </c>
      <c r="E16" s="24">
        <f>SUM(C16:D16)</f>
        <v>469.70058095871229</v>
      </c>
      <c r="F16" s="5">
        <f>F15-D16</f>
        <v>19630.299419041286</v>
      </c>
    </row>
    <row r="17" spans="2:6" x14ac:dyDescent="0.25">
      <c r="B17" s="4">
        <v>2</v>
      </c>
      <c r="C17" s="34">
        <f t="shared" ref="C17:C63" si="0">IPMT($C$7/12, $B17, $C$8*12, -$C$5)</f>
        <v>98.151497095206437</v>
      </c>
      <c r="D17" s="34">
        <f t="shared" ref="D17:D63" si="1">PPMT($C$7/12, $B17, $C$8*12, -$C$5)</f>
        <v>371.54908386350587</v>
      </c>
      <c r="E17" s="24">
        <f t="shared" ref="E17:E63" si="2">SUM(C17:D17)</f>
        <v>469.70058095871229</v>
      </c>
      <c r="F17" s="5">
        <f t="shared" ref="F17:F63" si="3">F16-D17</f>
        <v>19258.750335177781</v>
      </c>
    </row>
    <row r="18" spans="2:6" x14ac:dyDescent="0.25">
      <c r="B18" s="4">
        <v>3</v>
      </c>
      <c r="C18" s="34">
        <f t="shared" si="0"/>
        <v>96.293751675888885</v>
      </c>
      <c r="D18" s="34">
        <f t="shared" si="1"/>
        <v>373.40682928282337</v>
      </c>
      <c r="E18" s="24">
        <f t="shared" si="2"/>
        <v>469.70058095871224</v>
      </c>
      <c r="F18" s="5">
        <f t="shared" si="3"/>
        <v>18885.343505894958</v>
      </c>
    </row>
    <row r="19" spans="2:6" x14ac:dyDescent="0.25">
      <c r="B19" s="4">
        <v>4</v>
      </c>
      <c r="C19" s="34">
        <f t="shared" si="0"/>
        <v>94.426717529474786</v>
      </c>
      <c r="D19" s="34">
        <f t="shared" si="1"/>
        <v>375.27386342923757</v>
      </c>
      <c r="E19" s="24">
        <f t="shared" si="2"/>
        <v>469.70058095871235</v>
      </c>
      <c r="F19" s="5">
        <f t="shared" si="3"/>
        <v>18510.069642465722</v>
      </c>
    </row>
    <row r="20" spans="2:6" x14ac:dyDescent="0.25">
      <c r="B20" s="4">
        <v>5</v>
      </c>
      <c r="C20" s="34">
        <f t="shared" si="0"/>
        <v>92.550348212328586</v>
      </c>
      <c r="D20" s="34">
        <f t="shared" si="1"/>
        <v>377.15023274638372</v>
      </c>
      <c r="E20" s="24">
        <f t="shared" si="2"/>
        <v>469.70058095871229</v>
      </c>
      <c r="F20" s="5">
        <f t="shared" si="3"/>
        <v>18132.919409719339</v>
      </c>
    </row>
    <row r="21" spans="2:6" x14ac:dyDescent="0.25">
      <c r="B21" s="4">
        <v>6</v>
      </c>
      <c r="C21" s="34">
        <f t="shared" si="0"/>
        <v>90.664597048596676</v>
      </c>
      <c r="D21" s="34">
        <f t="shared" si="1"/>
        <v>379.03598391011559</v>
      </c>
      <c r="E21" s="24">
        <f t="shared" si="2"/>
        <v>469.70058095871229</v>
      </c>
      <c r="F21" s="5">
        <f t="shared" si="3"/>
        <v>17753.883425809225</v>
      </c>
    </row>
    <row r="22" spans="2:6" x14ac:dyDescent="0.25">
      <c r="B22" s="4">
        <v>7</v>
      </c>
      <c r="C22" s="34">
        <f t="shared" si="0"/>
        <v>88.769417129046104</v>
      </c>
      <c r="D22" s="34">
        <f t="shared" si="1"/>
        <v>380.93116382966627</v>
      </c>
      <c r="E22" s="24">
        <f t="shared" si="2"/>
        <v>469.70058095871241</v>
      </c>
      <c r="F22" s="5">
        <f t="shared" si="3"/>
        <v>17372.952261979557</v>
      </c>
    </row>
    <row r="23" spans="2:6" x14ac:dyDescent="0.25">
      <c r="B23" s="4">
        <v>8</v>
      </c>
      <c r="C23" s="34">
        <f t="shared" si="0"/>
        <v>86.864761309897773</v>
      </c>
      <c r="D23" s="34">
        <f t="shared" si="1"/>
        <v>382.83581964881461</v>
      </c>
      <c r="E23" s="24">
        <f t="shared" si="2"/>
        <v>469.70058095871241</v>
      </c>
      <c r="F23" s="5">
        <f t="shared" si="3"/>
        <v>16990.116442330742</v>
      </c>
    </row>
    <row r="24" spans="2:6" x14ac:dyDescent="0.25">
      <c r="B24" s="4">
        <v>9</v>
      </c>
      <c r="C24" s="34">
        <f t="shared" si="0"/>
        <v>84.950582211653668</v>
      </c>
      <c r="D24" s="34">
        <f t="shared" si="1"/>
        <v>384.74999874705867</v>
      </c>
      <c r="E24" s="24">
        <f t="shared" si="2"/>
        <v>469.70058095871235</v>
      </c>
      <c r="F24" s="5">
        <f t="shared" si="3"/>
        <v>16605.366443583684</v>
      </c>
    </row>
    <row r="25" spans="2:6" x14ac:dyDescent="0.25">
      <c r="B25" s="4">
        <v>10</v>
      </c>
      <c r="C25" s="34">
        <f t="shared" si="0"/>
        <v>83.026832217918397</v>
      </c>
      <c r="D25" s="34">
        <f t="shared" si="1"/>
        <v>386.67374874079388</v>
      </c>
      <c r="E25" s="24">
        <f t="shared" si="2"/>
        <v>469.70058095871229</v>
      </c>
      <c r="F25" s="5">
        <f t="shared" si="3"/>
        <v>16218.69269484289</v>
      </c>
    </row>
    <row r="26" spans="2:6" x14ac:dyDescent="0.25">
      <c r="B26" s="4">
        <v>11</v>
      </c>
      <c r="C26" s="34">
        <f t="shared" si="0"/>
        <v>81.093463474214431</v>
      </c>
      <c r="D26" s="34">
        <f t="shared" si="1"/>
        <v>388.60711748449785</v>
      </c>
      <c r="E26" s="24">
        <f t="shared" si="2"/>
        <v>469.70058095871229</v>
      </c>
      <c r="F26" s="5">
        <f t="shared" si="3"/>
        <v>15830.085577358392</v>
      </c>
    </row>
    <row r="27" spans="2:6" x14ac:dyDescent="0.25">
      <c r="B27" s="4">
        <v>12</v>
      </c>
      <c r="C27" s="34">
        <f t="shared" si="0"/>
        <v>79.150427886791945</v>
      </c>
      <c r="D27" s="34">
        <f t="shared" si="1"/>
        <v>390.55015307192042</v>
      </c>
      <c r="E27" s="24">
        <f t="shared" si="2"/>
        <v>469.70058095871235</v>
      </c>
      <c r="F27" s="5">
        <f t="shared" si="3"/>
        <v>15439.535424286471</v>
      </c>
    </row>
    <row r="28" spans="2:6" x14ac:dyDescent="0.25">
      <c r="B28" s="4">
        <v>13</v>
      </c>
      <c r="C28" s="34">
        <f t="shared" si="0"/>
        <v>77.197677121432335</v>
      </c>
      <c r="D28" s="34">
        <f t="shared" si="1"/>
        <v>392.50290383727997</v>
      </c>
      <c r="E28" s="24">
        <f t="shared" si="2"/>
        <v>469.70058095871229</v>
      </c>
      <c r="F28" s="5">
        <f t="shared" si="3"/>
        <v>15047.032520449191</v>
      </c>
    </row>
    <row r="29" spans="2:6" x14ac:dyDescent="0.25">
      <c r="B29" s="4">
        <v>14</v>
      </c>
      <c r="C29" s="34">
        <f t="shared" si="0"/>
        <v>75.235162602245936</v>
      </c>
      <c r="D29" s="34">
        <f t="shared" si="1"/>
        <v>394.46541835646639</v>
      </c>
      <c r="E29" s="24">
        <f t="shared" si="2"/>
        <v>469.70058095871229</v>
      </c>
      <c r="F29" s="5">
        <f t="shared" si="3"/>
        <v>14652.567102092724</v>
      </c>
    </row>
    <row r="30" spans="2:6" x14ac:dyDescent="0.25">
      <c r="B30" s="4">
        <v>15</v>
      </c>
      <c r="C30" s="34">
        <f t="shared" si="0"/>
        <v>73.262835510463589</v>
      </c>
      <c r="D30" s="34">
        <f t="shared" si="1"/>
        <v>396.43774544824868</v>
      </c>
      <c r="E30" s="24">
        <f t="shared" si="2"/>
        <v>469.70058095871229</v>
      </c>
      <c r="F30" s="5">
        <f t="shared" si="3"/>
        <v>14256.129356644475</v>
      </c>
    </row>
    <row r="31" spans="2:6" x14ac:dyDescent="0.25">
      <c r="B31" s="4">
        <v>16</v>
      </c>
      <c r="C31" s="34">
        <f t="shared" si="0"/>
        <v>71.280646783222352</v>
      </c>
      <c r="D31" s="34">
        <f t="shared" si="1"/>
        <v>398.41993417548997</v>
      </c>
      <c r="E31" s="24">
        <f t="shared" si="2"/>
        <v>469.70058095871229</v>
      </c>
      <c r="F31" s="5">
        <f t="shared" si="3"/>
        <v>13857.709422468984</v>
      </c>
    </row>
    <row r="32" spans="2:6" x14ac:dyDescent="0.25">
      <c r="B32" s="4">
        <v>17</v>
      </c>
      <c r="C32" s="34">
        <f t="shared" si="0"/>
        <v>69.288547112344901</v>
      </c>
      <c r="D32" s="34">
        <f t="shared" si="1"/>
        <v>400.41203384636742</v>
      </c>
      <c r="E32" s="24">
        <f t="shared" si="2"/>
        <v>469.70058095871229</v>
      </c>
      <c r="F32" s="5">
        <f t="shared" si="3"/>
        <v>13457.297388622617</v>
      </c>
    </row>
    <row r="33" spans="2:6" x14ac:dyDescent="0.25">
      <c r="B33" s="4">
        <v>18</v>
      </c>
      <c r="C33" s="34">
        <f t="shared" si="0"/>
        <v>67.286486943113076</v>
      </c>
      <c r="D33" s="34">
        <f t="shared" si="1"/>
        <v>402.41409401559929</v>
      </c>
      <c r="E33" s="24">
        <f t="shared" si="2"/>
        <v>469.70058095871235</v>
      </c>
      <c r="F33" s="5">
        <f t="shared" si="3"/>
        <v>13054.883294607018</v>
      </c>
    </row>
    <row r="34" spans="2:6" x14ac:dyDescent="0.25">
      <c r="B34" s="4">
        <v>19</v>
      </c>
      <c r="C34" s="34">
        <f t="shared" si="0"/>
        <v>65.274416473035075</v>
      </c>
      <c r="D34" s="34">
        <f t="shared" si="1"/>
        <v>404.42616448567725</v>
      </c>
      <c r="E34" s="24">
        <f t="shared" si="2"/>
        <v>469.70058095871229</v>
      </c>
      <c r="F34" s="5">
        <f t="shared" si="3"/>
        <v>12650.45713012134</v>
      </c>
    </row>
    <row r="35" spans="2:6" x14ac:dyDescent="0.25">
      <c r="B35" s="4">
        <v>20</v>
      </c>
      <c r="C35" s="34">
        <f t="shared" si="0"/>
        <v>63.252285650606694</v>
      </c>
      <c r="D35" s="34">
        <f t="shared" si="1"/>
        <v>406.44829530810568</v>
      </c>
      <c r="E35" s="24">
        <f t="shared" si="2"/>
        <v>469.70058095871241</v>
      </c>
      <c r="F35" s="5">
        <f t="shared" si="3"/>
        <v>12244.008834813234</v>
      </c>
    </row>
    <row r="36" spans="2:6" x14ac:dyDescent="0.25">
      <c r="B36" s="4">
        <v>21</v>
      </c>
      <c r="C36" s="34">
        <f t="shared" si="0"/>
        <v>61.220044174066153</v>
      </c>
      <c r="D36" s="34">
        <f t="shared" si="1"/>
        <v>408.48053678464618</v>
      </c>
      <c r="E36" s="24">
        <f t="shared" si="2"/>
        <v>469.70058095871235</v>
      </c>
      <c r="F36" s="5">
        <f t="shared" si="3"/>
        <v>11835.528298028588</v>
      </c>
    </row>
    <row r="37" spans="2:6" x14ac:dyDescent="0.25">
      <c r="B37" s="4">
        <v>22</v>
      </c>
      <c r="C37" s="34">
        <f t="shared" si="0"/>
        <v>59.177641490142925</v>
      </c>
      <c r="D37" s="34">
        <f t="shared" si="1"/>
        <v>410.5229394685694</v>
      </c>
      <c r="E37" s="24">
        <f t="shared" si="2"/>
        <v>469.70058095871235</v>
      </c>
      <c r="F37" s="5">
        <f t="shared" si="3"/>
        <v>11425.005358560018</v>
      </c>
    </row>
    <row r="38" spans="2:6" x14ac:dyDescent="0.25">
      <c r="B38" s="4">
        <v>23</v>
      </c>
      <c r="C38" s="34">
        <f t="shared" si="0"/>
        <v>57.125026792800071</v>
      </c>
      <c r="D38" s="34">
        <f t="shared" si="1"/>
        <v>412.57555416591219</v>
      </c>
      <c r="E38" s="24">
        <f t="shared" si="2"/>
        <v>469.70058095871229</v>
      </c>
      <c r="F38" s="5">
        <f t="shared" si="3"/>
        <v>11012.429804394105</v>
      </c>
    </row>
    <row r="39" spans="2:6" x14ac:dyDescent="0.25">
      <c r="B39" s="4">
        <v>24</v>
      </c>
      <c r="C39" s="34">
        <f t="shared" si="0"/>
        <v>55.062149021970519</v>
      </c>
      <c r="D39" s="34">
        <f t="shared" si="1"/>
        <v>414.63843193674177</v>
      </c>
      <c r="E39" s="24">
        <f t="shared" si="2"/>
        <v>469.70058095871229</v>
      </c>
      <c r="F39" s="5">
        <f t="shared" si="3"/>
        <v>10597.791372457363</v>
      </c>
    </row>
    <row r="40" spans="2:6" x14ac:dyDescent="0.25">
      <c r="B40" s="4">
        <v>25</v>
      </c>
      <c r="C40" s="34">
        <f t="shared" si="0"/>
        <v>52.988956862286813</v>
      </c>
      <c r="D40" s="34">
        <f t="shared" si="1"/>
        <v>416.71162409642551</v>
      </c>
      <c r="E40" s="24">
        <f t="shared" si="2"/>
        <v>469.70058095871229</v>
      </c>
      <c r="F40" s="5">
        <f t="shared" si="3"/>
        <v>10181.079748360937</v>
      </c>
    </row>
    <row r="41" spans="2:6" x14ac:dyDescent="0.25">
      <c r="B41" s="4">
        <v>26</v>
      </c>
      <c r="C41" s="34">
        <f t="shared" si="0"/>
        <v>50.905398741804675</v>
      </c>
      <c r="D41" s="34">
        <f t="shared" si="1"/>
        <v>418.79518221690762</v>
      </c>
      <c r="E41" s="24">
        <f t="shared" si="2"/>
        <v>469.70058095871229</v>
      </c>
      <c r="F41" s="5">
        <f t="shared" si="3"/>
        <v>9762.2845661440297</v>
      </c>
    </row>
    <row r="42" spans="2:6" x14ac:dyDescent="0.25">
      <c r="B42" s="4">
        <v>27</v>
      </c>
      <c r="C42" s="34">
        <f t="shared" si="0"/>
        <v>48.81142283072014</v>
      </c>
      <c r="D42" s="34">
        <f t="shared" si="1"/>
        <v>420.88915812799223</v>
      </c>
      <c r="E42" s="24">
        <f t="shared" si="2"/>
        <v>469.70058095871235</v>
      </c>
      <c r="F42" s="5">
        <f t="shared" si="3"/>
        <v>9341.3954080160365</v>
      </c>
    </row>
    <row r="43" spans="2:6" x14ac:dyDescent="0.25">
      <c r="B43" s="4">
        <v>28</v>
      </c>
      <c r="C43" s="34">
        <f t="shared" si="0"/>
        <v>46.706977040080183</v>
      </c>
      <c r="D43" s="34">
        <f t="shared" si="1"/>
        <v>422.99360391863218</v>
      </c>
      <c r="E43" s="24">
        <f t="shared" si="2"/>
        <v>469.70058095871235</v>
      </c>
      <c r="F43" s="5">
        <f t="shared" si="3"/>
        <v>8918.4018040974042</v>
      </c>
    </row>
    <row r="44" spans="2:6" x14ac:dyDescent="0.25">
      <c r="B44" s="4">
        <v>29</v>
      </c>
      <c r="C44" s="34">
        <f t="shared" si="0"/>
        <v>44.592009020487019</v>
      </c>
      <c r="D44" s="34">
        <f t="shared" si="1"/>
        <v>425.10857193822528</v>
      </c>
      <c r="E44" s="24">
        <f t="shared" si="2"/>
        <v>469.70058095871229</v>
      </c>
      <c r="F44" s="5">
        <f t="shared" si="3"/>
        <v>8493.2932321591798</v>
      </c>
    </row>
    <row r="45" spans="2:6" x14ac:dyDescent="0.25">
      <c r="B45" s="4">
        <v>30</v>
      </c>
      <c r="C45" s="34">
        <f t="shared" si="0"/>
        <v>42.466466160795889</v>
      </c>
      <c r="D45" s="34">
        <f t="shared" si="1"/>
        <v>427.23411479791639</v>
      </c>
      <c r="E45" s="24">
        <f t="shared" si="2"/>
        <v>469.70058095871229</v>
      </c>
      <c r="F45" s="5">
        <f t="shared" si="3"/>
        <v>8066.0591173612629</v>
      </c>
    </row>
    <row r="46" spans="2:6" x14ac:dyDescent="0.25">
      <c r="B46" s="4">
        <v>31</v>
      </c>
      <c r="C46" s="34">
        <f t="shared" si="0"/>
        <v>40.330295586806315</v>
      </c>
      <c r="D46" s="34">
        <f t="shared" si="1"/>
        <v>429.37028537190599</v>
      </c>
      <c r="E46" s="24">
        <f t="shared" si="2"/>
        <v>469.70058095871229</v>
      </c>
      <c r="F46" s="5">
        <f t="shared" si="3"/>
        <v>7636.6888319893569</v>
      </c>
    </row>
    <row r="47" spans="2:6" x14ac:dyDescent="0.25">
      <c r="B47" s="4">
        <v>32</v>
      </c>
      <c r="C47" s="34">
        <f t="shared" si="0"/>
        <v>38.183444159946774</v>
      </c>
      <c r="D47" s="34">
        <f t="shared" si="1"/>
        <v>431.51713679876548</v>
      </c>
      <c r="E47" s="24">
        <f t="shared" si="2"/>
        <v>469.70058095871224</v>
      </c>
      <c r="F47" s="5">
        <f t="shared" si="3"/>
        <v>7205.171695190591</v>
      </c>
    </row>
    <row r="48" spans="2:6" x14ac:dyDescent="0.25">
      <c r="B48" s="4">
        <v>33</v>
      </c>
      <c r="C48" s="34">
        <f t="shared" si="0"/>
        <v>36.025858475952944</v>
      </c>
      <c r="D48" s="34">
        <f t="shared" si="1"/>
        <v>433.67472248275942</v>
      </c>
      <c r="E48" s="24">
        <f t="shared" si="2"/>
        <v>469.70058095871235</v>
      </c>
      <c r="F48" s="5">
        <f t="shared" si="3"/>
        <v>6771.4969727078314</v>
      </c>
    </row>
    <row r="49" spans="2:6" x14ac:dyDescent="0.25">
      <c r="B49" s="4">
        <v>34</v>
      </c>
      <c r="C49" s="34">
        <f t="shared" si="0"/>
        <v>33.857484863539156</v>
      </c>
      <c r="D49" s="34">
        <f t="shared" si="1"/>
        <v>435.84309609517317</v>
      </c>
      <c r="E49" s="24">
        <f t="shared" si="2"/>
        <v>469.70058095871229</v>
      </c>
      <c r="F49" s="5">
        <f t="shared" si="3"/>
        <v>6335.6538766126587</v>
      </c>
    </row>
    <row r="50" spans="2:6" x14ac:dyDescent="0.25">
      <c r="B50" s="4">
        <v>35</v>
      </c>
      <c r="C50" s="34">
        <f t="shared" si="0"/>
        <v>31.678269383063284</v>
      </c>
      <c r="D50" s="34">
        <f t="shared" si="1"/>
        <v>438.02231157564898</v>
      </c>
      <c r="E50" s="24">
        <f t="shared" si="2"/>
        <v>469.70058095871229</v>
      </c>
      <c r="F50" s="5">
        <f t="shared" si="3"/>
        <v>5897.6315650370098</v>
      </c>
    </row>
    <row r="51" spans="2:6" x14ac:dyDescent="0.25">
      <c r="B51" s="4">
        <v>36</v>
      </c>
      <c r="C51" s="34">
        <f t="shared" si="0"/>
        <v>29.488157825185041</v>
      </c>
      <c r="D51" s="34">
        <f t="shared" si="1"/>
        <v>440.2124231335273</v>
      </c>
      <c r="E51" s="24">
        <f t="shared" si="2"/>
        <v>469.70058095871235</v>
      </c>
      <c r="F51" s="5">
        <f t="shared" si="3"/>
        <v>5457.4191419034823</v>
      </c>
    </row>
    <row r="52" spans="2:6" x14ac:dyDescent="0.25">
      <c r="B52" s="4">
        <v>37</v>
      </c>
      <c r="C52" s="34">
        <f t="shared" si="0"/>
        <v>27.287095709517409</v>
      </c>
      <c r="D52" s="34">
        <f t="shared" si="1"/>
        <v>442.41348524919493</v>
      </c>
      <c r="E52" s="24">
        <f t="shared" si="2"/>
        <v>469.70058095871235</v>
      </c>
      <c r="F52" s="5">
        <f t="shared" si="3"/>
        <v>5015.0056566542871</v>
      </c>
    </row>
    <row r="53" spans="2:6" x14ac:dyDescent="0.25">
      <c r="B53" s="4">
        <v>38</v>
      </c>
      <c r="C53" s="34">
        <f t="shared" si="0"/>
        <v>25.075028283271433</v>
      </c>
      <c r="D53" s="34">
        <f t="shared" si="1"/>
        <v>444.62555267544087</v>
      </c>
      <c r="E53" s="24">
        <f t="shared" si="2"/>
        <v>469.70058095871229</v>
      </c>
      <c r="F53" s="5">
        <f t="shared" si="3"/>
        <v>4570.3801039788459</v>
      </c>
    </row>
    <row r="54" spans="2:6" x14ac:dyDescent="0.25">
      <c r="B54" s="4">
        <v>39</v>
      </c>
      <c r="C54" s="34">
        <f t="shared" si="0"/>
        <v>22.851900519894226</v>
      </c>
      <c r="D54" s="34">
        <f t="shared" si="1"/>
        <v>446.84868043881806</v>
      </c>
      <c r="E54" s="24">
        <f t="shared" si="2"/>
        <v>469.70058095871229</v>
      </c>
      <c r="F54" s="5">
        <f t="shared" si="3"/>
        <v>4123.5314235400274</v>
      </c>
    </row>
    <row r="55" spans="2:6" x14ac:dyDescent="0.25">
      <c r="B55" s="4">
        <v>40</v>
      </c>
      <c r="C55" s="34">
        <f t="shared" si="0"/>
        <v>20.617657117700137</v>
      </c>
      <c r="D55" s="34">
        <f t="shared" si="1"/>
        <v>449.08292384101219</v>
      </c>
      <c r="E55" s="24">
        <f t="shared" si="2"/>
        <v>469.70058095871235</v>
      </c>
      <c r="F55" s="5">
        <f t="shared" si="3"/>
        <v>3674.448499699015</v>
      </c>
    </row>
    <row r="56" spans="2:6" x14ac:dyDescent="0.25">
      <c r="B56" s="4">
        <v>41</v>
      </c>
      <c r="C56" s="34">
        <f t="shared" si="0"/>
        <v>18.372242498495073</v>
      </c>
      <c r="D56" s="34">
        <f t="shared" si="1"/>
        <v>451.3283384602172</v>
      </c>
      <c r="E56" s="24">
        <f t="shared" si="2"/>
        <v>469.70058095871229</v>
      </c>
      <c r="F56" s="5">
        <f t="shared" si="3"/>
        <v>3223.1201612387977</v>
      </c>
    </row>
    <row r="57" spans="2:6" x14ac:dyDescent="0.25">
      <c r="B57" s="4">
        <v>42</v>
      </c>
      <c r="C57" s="34">
        <f t="shared" si="0"/>
        <v>16.115600806193985</v>
      </c>
      <c r="D57" s="34">
        <f t="shared" si="1"/>
        <v>453.58498015251831</v>
      </c>
      <c r="E57" s="24">
        <f t="shared" si="2"/>
        <v>469.70058095871229</v>
      </c>
      <c r="F57" s="5">
        <f t="shared" si="3"/>
        <v>2769.5351810862794</v>
      </c>
    </row>
    <row r="58" spans="2:6" x14ac:dyDescent="0.25">
      <c r="B58" s="4">
        <v>43</v>
      </c>
      <c r="C58" s="34">
        <f t="shared" si="0"/>
        <v>13.847675905431394</v>
      </c>
      <c r="D58" s="34">
        <f t="shared" si="1"/>
        <v>455.85290505328095</v>
      </c>
      <c r="E58" s="24">
        <f t="shared" si="2"/>
        <v>469.70058095871235</v>
      </c>
      <c r="F58" s="5">
        <f t="shared" si="3"/>
        <v>2313.6822760329983</v>
      </c>
    </row>
    <row r="59" spans="2:6" x14ac:dyDescent="0.25">
      <c r="B59" s="4">
        <v>44</v>
      </c>
      <c r="C59" s="34">
        <f t="shared" si="0"/>
        <v>11.568411380164989</v>
      </c>
      <c r="D59" s="34">
        <f t="shared" si="1"/>
        <v>458.13216957854735</v>
      </c>
      <c r="E59" s="24">
        <f t="shared" si="2"/>
        <v>469.70058095871235</v>
      </c>
      <c r="F59" s="5">
        <f t="shared" si="3"/>
        <v>1855.550106454451</v>
      </c>
    </row>
    <row r="60" spans="2:6" x14ac:dyDescent="0.25">
      <c r="B60" s="4">
        <v>45</v>
      </c>
      <c r="C60" s="34">
        <f t="shared" si="0"/>
        <v>9.2777505322722504</v>
      </c>
      <c r="D60" s="34">
        <f t="shared" si="1"/>
        <v>460.42283042644004</v>
      </c>
      <c r="E60" s="24">
        <f t="shared" si="2"/>
        <v>469.70058095871229</v>
      </c>
      <c r="F60" s="5">
        <f t="shared" si="3"/>
        <v>1395.127276028011</v>
      </c>
    </row>
    <row r="61" spans="2:6" x14ac:dyDescent="0.25">
      <c r="B61" s="4">
        <v>46</v>
      </c>
      <c r="C61" s="34">
        <f t="shared" si="0"/>
        <v>6.9756363801400507</v>
      </c>
      <c r="D61" s="34">
        <f t="shared" si="1"/>
        <v>462.72494457857226</v>
      </c>
      <c r="E61" s="24">
        <f t="shared" si="2"/>
        <v>469.70058095871229</v>
      </c>
      <c r="F61" s="5">
        <f t="shared" si="3"/>
        <v>932.40233144943875</v>
      </c>
    </row>
    <row r="62" spans="2:6" x14ac:dyDescent="0.25">
      <c r="B62" s="4">
        <v>47</v>
      </c>
      <c r="C62" s="34">
        <f t="shared" si="0"/>
        <v>4.6620116572471888</v>
      </c>
      <c r="D62" s="34">
        <f t="shared" si="1"/>
        <v>465.0385693014652</v>
      </c>
      <c r="E62" s="24">
        <f t="shared" si="2"/>
        <v>469.70058095871241</v>
      </c>
      <c r="F62" s="5">
        <f t="shared" si="3"/>
        <v>467.36376214797355</v>
      </c>
    </row>
    <row r="63" spans="2:6" x14ac:dyDescent="0.25">
      <c r="B63" s="4">
        <v>48</v>
      </c>
      <c r="C63" s="34">
        <f t="shared" si="0"/>
        <v>2.3368188107398629</v>
      </c>
      <c r="D63" s="34">
        <f t="shared" si="1"/>
        <v>467.36376214797247</v>
      </c>
      <c r="E63" s="24">
        <f t="shared" si="2"/>
        <v>469.70058095871235</v>
      </c>
      <c r="F63" s="5">
        <f t="shared" si="3"/>
        <v>1.0800249583553523E-12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97E1-FC4B-42E6-9EA3-ABFCC25D10E5}">
  <dimension ref="B1:H32"/>
  <sheetViews>
    <sheetView showGridLines="0" zoomScale="130" zoomScaleNormal="130" workbookViewId="0">
      <selection activeCell="F39" sqref="F39"/>
    </sheetView>
  </sheetViews>
  <sheetFormatPr defaultRowHeight="15" x14ac:dyDescent="0.25"/>
  <cols>
    <col min="2" max="2" width="26.140625" style="4" customWidth="1"/>
    <col min="3" max="3" width="12.42578125" style="33" bestFit="1" customWidth="1"/>
    <col min="4" max="5" width="12.28515625" style="33" customWidth="1"/>
    <col min="6" max="6" width="17.140625" style="33" bestFit="1" customWidth="1"/>
  </cols>
  <sheetData>
    <row r="1" spans="2:8" s="36" customFormat="1" ht="18.75" x14ac:dyDescent="0.3">
      <c r="B1" s="35" t="s">
        <v>25</v>
      </c>
      <c r="C1" s="35"/>
      <c r="D1" s="35"/>
      <c r="E1" s="35"/>
      <c r="F1" s="35"/>
      <c r="G1" s="35"/>
      <c r="H1" s="35"/>
    </row>
    <row r="2" spans="2:8" s="36" customFormat="1" ht="18.75" x14ac:dyDescent="0.3">
      <c r="B2" s="37"/>
      <c r="C2" s="37"/>
      <c r="D2" s="37"/>
      <c r="E2" s="37"/>
      <c r="F2" s="37"/>
      <c r="G2" s="37"/>
      <c r="H2" s="37"/>
    </row>
    <row r="3" spans="2:8" x14ac:dyDescent="0.25">
      <c r="B3"/>
      <c r="C3"/>
      <c r="D3"/>
      <c r="E3"/>
      <c r="F3"/>
    </row>
    <row r="4" spans="2:8" x14ac:dyDescent="0.25">
      <c r="B4" t="s">
        <v>8</v>
      </c>
      <c r="C4" s="33">
        <v>250000</v>
      </c>
      <c r="D4"/>
      <c r="E4"/>
      <c r="F4"/>
    </row>
    <row r="5" spans="2:8" x14ac:dyDescent="0.25">
      <c r="B5" t="s">
        <v>9</v>
      </c>
      <c r="C5">
        <v>5</v>
      </c>
      <c r="D5"/>
      <c r="E5"/>
      <c r="F5"/>
    </row>
    <row r="6" spans="2:8" x14ac:dyDescent="0.25">
      <c r="B6" t="s">
        <v>26</v>
      </c>
      <c r="C6" s="38">
        <v>4.2500000000000003E-2</v>
      </c>
      <c r="D6"/>
      <c r="E6"/>
      <c r="F6"/>
    </row>
    <row r="7" spans="2:8" x14ac:dyDescent="0.25">
      <c r="B7"/>
      <c r="C7"/>
      <c r="D7"/>
      <c r="E7"/>
      <c r="F7"/>
    </row>
    <row r="8" spans="2:8" ht="15.75" x14ac:dyDescent="0.25">
      <c r="B8" t="s">
        <v>11</v>
      </c>
      <c r="C8" s="31">
        <f>PMT(C6/4, C5*4, -C4)</f>
        <v>13941.169098013299</v>
      </c>
      <c r="D8" s="6" t="s">
        <v>27</v>
      </c>
      <c r="E8" s="6"/>
      <c r="F8"/>
    </row>
    <row r="9" spans="2:8" x14ac:dyDescent="0.25">
      <c r="B9"/>
      <c r="C9"/>
      <c r="D9"/>
      <c r="E9"/>
      <c r="F9"/>
    </row>
    <row r="10" spans="2:8" x14ac:dyDescent="0.25">
      <c r="B10"/>
      <c r="C10"/>
      <c r="D10"/>
      <c r="E10"/>
      <c r="F10"/>
    </row>
    <row r="11" spans="2:8" ht="31.5" x14ac:dyDescent="0.25">
      <c r="B11" s="39" t="s">
        <v>20</v>
      </c>
      <c r="C11" s="40" t="s">
        <v>28</v>
      </c>
      <c r="D11" s="40" t="s">
        <v>29</v>
      </c>
      <c r="E11" s="40" t="s">
        <v>11</v>
      </c>
      <c r="F11" s="40" t="s">
        <v>30</v>
      </c>
    </row>
    <row r="12" spans="2:8" x14ac:dyDescent="0.25">
      <c r="B12" s="4">
        <v>0</v>
      </c>
      <c r="C12"/>
      <c r="D12"/>
      <c r="E12"/>
      <c r="F12" s="33">
        <f>$C$4</f>
        <v>250000</v>
      </c>
    </row>
    <row r="13" spans="2:8" x14ac:dyDescent="0.25">
      <c r="B13" s="4">
        <v>1</v>
      </c>
      <c r="C13" s="33">
        <f>IPMT($C$6/4, $B13, $C$5*4, -$C$4)</f>
        <v>2656.25</v>
      </c>
      <c r="D13" s="33">
        <f>PPMT($C$6/4, $B13, $C$5*4, -$C$4)</f>
        <v>11284.919098013299</v>
      </c>
      <c r="E13" s="33">
        <f>SUM(C13:D13)</f>
        <v>13941.169098013299</v>
      </c>
      <c r="F13" s="33">
        <f>F12-D13</f>
        <v>238715.08090198669</v>
      </c>
    </row>
    <row r="14" spans="2:8" x14ac:dyDescent="0.25">
      <c r="B14" s="4">
        <v>2</v>
      </c>
      <c r="C14" s="33">
        <f t="shared" ref="C14:C32" si="0">IPMT($C$6/4, $B14, $C$5*4, -$C$4)</f>
        <v>2536.3477345836091</v>
      </c>
      <c r="D14" s="33">
        <f t="shared" ref="D14:D32" si="1">PPMT($C$6/4, $B14, $C$5*4, -$C$4)</f>
        <v>11404.821363429692</v>
      </c>
      <c r="E14" s="33">
        <f t="shared" ref="E14:E32" si="2">SUM(C14:D14)</f>
        <v>13941.169098013301</v>
      </c>
      <c r="F14" s="33">
        <f t="shared" ref="F14:F32" si="3">F13-D14</f>
        <v>227310.259538557</v>
      </c>
    </row>
    <row r="15" spans="2:8" x14ac:dyDescent="0.25">
      <c r="B15" s="4">
        <v>3</v>
      </c>
      <c r="C15" s="33">
        <f t="shared" si="0"/>
        <v>2415.1715075971688</v>
      </c>
      <c r="D15" s="33">
        <f t="shared" si="1"/>
        <v>11525.997590416133</v>
      </c>
      <c r="E15" s="33">
        <f t="shared" si="2"/>
        <v>13941.169098013303</v>
      </c>
      <c r="F15" s="33">
        <f t="shared" si="3"/>
        <v>215784.26194814086</v>
      </c>
    </row>
    <row r="16" spans="2:8" x14ac:dyDescent="0.25">
      <c r="B16" s="4">
        <v>4</v>
      </c>
      <c r="C16" s="33">
        <f t="shared" si="0"/>
        <v>2292.7077831989973</v>
      </c>
      <c r="D16" s="33">
        <f t="shared" si="1"/>
        <v>11648.461314814303</v>
      </c>
      <c r="E16" s="33">
        <f t="shared" si="2"/>
        <v>13941.169098013301</v>
      </c>
      <c r="F16" s="33">
        <f t="shared" si="3"/>
        <v>204135.80063332655</v>
      </c>
    </row>
    <row r="17" spans="2:6" x14ac:dyDescent="0.25">
      <c r="B17" s="4">
        <v>5</v>
      </c>
      <c r="C17" s="33">
        <f t="shared" si="0"/>
        <v>2168.942881729095</v>
      </c>
      <c r="D17" s="33">
        <f t="shared" si="1"/>
        <v>11772.226216284203</v>
      </c>
      <c r="E17" s="33">
        <f t="shared" si="2"/>
        <v>13941.169098013299</v>
      </c>
      <c r="F17" s="33">
        <f t="shared" si="3"/>
        <v>192363.57441704234</v>
      </c>
    </row>
    <row r="18" spans="2:6" x14ac:dyDescent="0.25">
      <c r="B18" s="4">
        <v>6</v>
      </c>
      <c r="C18" s="33">
        <f t="shared" si="0"/>
        <v>2043.8629781810753</v>
      </c>
      <c r="D18" s="33">
        <f t="shared" si="1"/>
        <v>11897.306119832225</v>
      </c>
      <c r="E18" s="33">
        <f t="shared" si="2"/>
        <v>13941.169098013301</v>
      </c>
      <c r="F18" s="33">
        <f t="shared" si="3"/>
        <v>180466.2682972101</v>
      </c>
    </row>
    <row r="19" spans="2:6" x14ac:dyDescent="0.25">
      <c r="B19" s="4">
        <v>7</v>
      </c>
      <c r="C19" s="33">
        <f t="shared" si="0"/>
        <v>1917.4541006578577</v>
      </c>
      <c r="D19" s="33">
        <f t="shared" si="1"/>
        <v>12023.714997355442</v>
      </c>
      <c r="E19" s="33">
        <f t="shared" si="2"/>
        <v>13941.169098013301</v>
      </c>
      <c r="F19" s="33">
        <f t="shared" si="3"/>
        <v>168442.55329985466</v>
      </c>
    </row>
    <row r="20" spans="2:6" x14ac:dyDescent="0.25">
      <c r="B20" s="4">
        <v>8</v>
      </c>
      <c r="C20" s="33">
        <f t="shared" si="0"/>
        <v>1789.7021288109568</v>
      </c>
      <c r="D20" s="33">
        <f t="shared" si="1"/>
        <v>12151.466969202344</v>
      </c>
      <c r="E20" s="33">
        <f t="shared" si="2"/>
        <v>13941.169098013301</v>
      </c>
      <c r="F20" s="33">
        <f t="shared" si="3"/>
        <v>156291.08633065232</v>
      </c>
    </row>
    <row r="21" spans="2:6" x14ac:dyDescent="0.25">
      <c r="B21" s="4">
        <v>9</v>
      </c>
      <c r="C21" s="33">
        <f t="shared" si="0"/>
        <v>1660.5927922631818</v>
      </c>
      <c r="D21" s="33">
        <f t="shared" si="1"/>
        <v>12280.576305750117</v>
      </c>
      <c r="E21" s="33">
        <f t="shared" si="2"/>
        <v>13941.169098013299</v>
      </c>
      <c r="F21" s="33">
        <f t="shared" si="3"/>
        <v>144010.51002490221</v>
      </c>
    </row>
    <row r="22" spans="2:6" x14ac:dyDescent="0.25">
      <c r="B22" s="4">
        <v>10</v>
      </c>
      <c r="C22" s="33">
        <f t="shared" si="0"/>
        <v>1530.1116690145866</v>
      </c>
      <c r="D22" s="33">
        <f t="shared" si="1"/>
        <v>12411.057428998714</v>
      </c>
      <c r="E22" s="33">
        <f t="shared" si="2"/>
        <v>13941.169098013301</v>
      </c>
      <c r="F22" s="33">
        <f t="shared" si="3"/>
        <v>131599.45259590348</v>
      </c>
    </row>
    <row r="23" spans="2:6" x14ac:dyDescent="0.25">
      <c r="B23" s="4">
        <v>11</v>
      </c>
      <c r="C23" s="33">
        <f t="shared" si="0"/>
        <v>1398.2441838314751</v>
      </c>
      <c r="D23" s="33">
        <f t="shared" si="1"/>
        <v>12542.924914181825</v>
      </c>
      <c r="E23" s="33">
        <f t="shared" si="2"/>
        <v>13941.169098013301</v>
      </c>
      <c r="F23" s="33">
        <f t="shared" si="3"/>
        <v>119056.52768172165</v>
      </c>
    </row>
    <row r="24" spans="2:6" x14ac:dyDescent="0.25">
      <c r="B24" s="4">
        <v>12</v>
      </c>
      <c r="C24" s="33">
        <f t="shared" si="0"/>
        <v>1264.9756066182931</v>
      </c>
      <c r="D24" s="33">
        <f t="shared" si="1"/>
        <v>12676.193491395008</v>
      </c>
      <c r="E24" s="33">
        <f t="shared" si="2"/>
        <v>13941.169098013301</v>
      </c>
      <c r="F24" s="33">
        <f t="shared" si="3"/>
        <v>106380.33419032664</v>
      </c>
    </row>
    <row r="25" spans="2:6" x14ac:dyDescent="0.25">
      <c r="B25" s="4">
        <v>13</v>
      </c>
      <c r="C25" s="33">
        <f t="shared" si="0"/>
        <v>1130.2910507722215</v>
      </c>
      <c r="D25" s="33">
        <f t="shared" si="1"/>
        <v>12810.878047241078</v>
      </c>
      <c r="E25" s="33">
        <f t="shared" si="2"/>
        <v>13941.169098013299</v>
      </c>
      <c r="F25" s="33">
        <f t="shared" si="3"/>
        <v>93569.456143085568</v>
      </c>
    </row>
    <row r="26" spans="2:6" x14ac:dyDescent="0.25">
      <c r="B26" s="4">
        <v>14</v>
      </c>
      <c r="C26" s="33">
        <f t="shared" si="0"/>
        <v>994.17547152028487</v>
      </c>
      <c r="D26" s="33">
        <f t="shared" si="1"/>
        <v>12946.993626493015</v>
      </c>
      <c r="E26" s="33">
        <f t="shared" si="2"/>
        <v>13941.169098013299</v>
      </c>
      <c r="F26" s="33">
        <f t="shared" si="3"/>
        <v>80622.462516592554</v>
      </c>
    </row>
    <row r="27" spans="2:6" x14ac:dyDescent="0.25">
      <c r="B27" s="4">
        <v>15</v>
      </c>
      <c r="C27" s="33">
        <f t="shared" si="0"/>
        <v>856.61366423879667</v>
      </c>
      <c r="D27" s="33">
        <f t="shared" si="1"/>
        <v>13084.555433774503</v>
      </c>
      <c r="E27" s="33">
        <f t="shared" si="2"/>
        <v>13941.169098013301</v>
      </c>
      <c r="F27" s="33">
        <f t="shared" si="3"/>
        <v>67537.907082818056</v>
      </c>
    </row>
    <row r="28" spans="2:6" x14ac:dyDescent="0.25">
      <c r="B28" s="4">
        <v>16</v>
      </c>
      <c r="C28" s="33">
        <f t="shared" si="0"/>
        <v>717.5902627549425</v>
      </c>
      <c r="D28" s="33">
        <f t="shared" si="1"/>
        <v>13223.578835258359</v>
      </c>
      <c r="E28" s="33">
        <f t="shared" si="2"/>
        <v>13941.169098013301</v>
      </c>
      <c r="F28" s="33">
        <f t="shared" si="3"/>
        <v>54314.328247559693</v>
      </c>
    </row>
    <row r="29" spans="2:6" x14ac:dyDescent="0.25">
      <c r="B29" s="4">
        <v>17</v>
      </c>
      <c r="C29" s="33">
        <f t="shared" si="0"/>
        <v>577.08973763032247</v>
      </c>
      <c r="D29" s="33">
        <f t="shared" si="1"/>
        <v>13364.079360382977</v>
      </c>
      <c r="E29" s="33">
        <f t="shared" si="2"/>
        <v>13941.169098013299</v>
      </c>
      <c r="F29" s="33">
        <f t="shared" si="3"/>
        <v>40950.248887176713</v>
      </c>
    </row>
    <row r="30" spans="2:6" x14ac:dyDescent="0.25">
      <c r="B30" s="4">
        <v>18</v>
      </c>
      <c r="C30" s="33">
        <f t="shared" si="0"/>
        <v>435.0963944262532</v>
      </c>
      <c r="D30" s="33">
        <f t="shared" si="1"/>
        <v>13506.072703587046</v>
      </c>
      <c r="E30" s="33">
        <f t="shared" si="2"/>
        <v>13941.169098013299</v>
      </c>
      <c r="F30" s="33">
        <f t="shared" si="3"/>
        <v>27444.176183589669</v>
      </c>
    </row>
    <row r="31" spans="2:6" x14ac:dyDescent="0.25">
      <c r="B31" s="4">
        <v>19</v>
      </c>
      <c r="C31" s="33">
        <f t="shared" si="0"/>
        <v>291.59437195064095</v>
      </c>
      <c r="D31" s="33">
        <f t="shared" si="1"/>
        <v>13649.574726062659</v>
      </c>
      <c r="E31" s="33">
        <f t="shared" si="2"/>
        <v>13941.169098013301</v>
      </c>
      <c r="F31" s="33">
        <f t="shared" si="3"/>
        <v>13794.601457527009</v>
      </c>
    </row>
    <row r="32" spans="2:6" x14ac:dyDescent="0.25">
      <c r="B32" s="4">
        <v>20</v>
      </c>
      <c r="C32" s="33">
        <f t="shared" si="0"/>
        <v>146.56764048622517</v>
      </c>
      <c r="D32" s="33">
        <f t="shared" si="1"/>
        <v>13794.601457527076</v>
      </c>
      <c r="E32" s="33">
        <f t="shared" si="2"/>
        <v>13941.169098013303</v>
      </c>
      <c r="F32" s="33">
        <f t="shared" si="3"/>
        <v>-6.730260793119669E-11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F254-01DC-4873-A27A-8D53E2ED2C6F}">
  <dimension ref="B1:H60"/>
  <sheetViews>
    <sheetView showGridLines="0" workbookViewId="0">
      <selection activeCell="F2" sqref="F2"/>
    </sheetView>
  </sheetViews>
  <sheetFormatPr defaultRowHeight="15" x14ac:dyDescent="0.25"/>
  <cols>
    <col min="2" max="2" width="17.140625" customWidth="1"/>
    <col min="3" max="3" width="17.85546875" bestFit="1" customWidth="1"/>
    <col min="4" max="4" width="12.28515625" customWidth="1"/>
    <col min="5" max="5" width="17.140625" bestFit="1" customWidth="1"/>
    <col min="6" max="7" width="17.42578125" customWidth="1"/>
    <col min="8" max="8" width="6.28515625" customWidth="1"/>
  </cols>
  <sheetData>
    <row r="1" spans="2:8" s="36" customFormat="1" ht="21" x14ac:dyDescent="0.35">
      <c r="B1" s="8" t="s">
        <v>31</v>
      </c>
      <c r="C1" s="8"/>
      <c r="D1" s="8"/>
      <c r="E1" s="8"/>
      <c r="F1" s="8"/>
      <c r="G1" s="8"/>
      <c r="H1" s="8"/>
    </row>
    <row r="2" spans="2:8" s="36" customFormat="1" ht="21" x14ac:dyDescent="0.35">
      <c r="B2" s="41"/>
      <c r="C2" s="41"/>
      <c r="D2" s="41"/>
      <c r="E2" s="41"/>
      <c r="F2" s="41"/>
      <c r="G2" s="41"/>
      <c r="H2" s="41"/>
    </row>
    <row r="4" spans="2:8" x14ac:dyDescent="0.25">
      <c r="B4" t="s">
        <v>8</v>
      </c>
      <c r="C4" s="33">
        <v>250000</v>
      </c>
    </row>
    <row r="5" spans="2:8" x14ac:dyDescent="0.25">
      <c r="B5" t="s">
        <v>9</v>
      </c>
      <c r="C5">
        <v>5</v>
      </c>
    </row>
    <row r="6" spans="2:8" x14ac:dyDescent="0.25">
      <c r="B6" t="s">
        <v>2</v>
      </c>
      <c r="C6" s="38">
        <v>4.2500000000000003E-2</v>
      </c>
    </row>
    <row r="8" spans="2:8" ht="15.75" x14ac:dyDescent="0.25">
      <c r="B8" t="s">
        <v>11</v>
      </c>
      <c r="C8" s="42">
        <f>PMT(C6/4, C5*4, -C4)</f>
        <v>13941.169098013299</v>
      </c>
    </row>
    <row r="11" spans="2:8" ht="47.25" x14ac:dyDescent="0.25">
      <c r="B11" s="43" t="s">
        <v>20</v>
      </c>
      <c r="C11" s="44" t="s">
        <v>28</v>
      </c>
      <c r="D11" s="44" t="s">
        <v>29</v>
      </c>
      <c r="E11" s="44" t="s">
        <v>30</v>
      </c>
      <c r="F11" s="44" t="s">
        <v>32</v>
      </c>
      <c r="G11" s="44" t="s">
        <v>33</v>
      </c>
    </row>
    <row r="12" spans="2:8" x14ac:dyDescent="0.25">
      <c r="B12" s="4">
        <v>0</v>
      </c>
      <c r="C12" s="34"/>
      <c r="D12" s="34"/>
      <c r="E12" s="5"/>
      <c r="F12" s="5">
        <f>$C$4</f>
        <v>250000</v>
      </c>
      <c r="G12" s="5">
        <f>$C$4</f>
        <v>250000</v>
      </c>
    </row>
    <row r="13" spans="2:8" x14ac:dyDescent="0.25">
      <c r="B13" s="4">
        <v>1</v>
      </c>
      <c r="C13" s="34">
        <f>IPMT($C$6/4, $B13, $C$5*4, -$C$4)</f>
        <v>2656.25</v>
      </c>
      <c r="D13" s="34">
        <f>PPMT($C$6/4, $B13, $C$5*4, -$C$4)</f>
        <v>11284.919098013299</v>
      </c>
      <c r="E13" s="5">
        <f>$C$4-D13</f>
        <v>238715.08090198669</v>
      </c>
      <c r="F13" s="34">
        <f>$C$4+CUMPRINC($C$6/4, $C$5*4, $C$4, 1, B13, 0)</f>
        <v>238715.08090198669</v>
      </c>
      <c r="G13" s="34">
        <f>FV($C$6/4, B13, $C$8, -$C$4)</f>
        <v>238715.0809019866</v>
      </c>
    </row>
    <row r="14" spans="2:8" x14ac:dyDescent="0.25">
      <c r="B14" s="4">
        <v>2</v>
      </c>
      <c r="C14" s="34">
        <f t="shared" ref="C14:C32" si="0">IPMT($C$6/4, $B14, $C$5*4, -$C$4)</f>
        <v>2536.3477345836091</v>
      </c>
      <c r="D14" s="34">
        <f t="shared" ref="D14:D32" si="1">PPMT($C$6/4, $B14, $C$5*4, -$C$4)</f>
        <v>11404.821363429692</v>
      </c>
      <c r="E14" s="5">
        <f>E13-D14</f>
        <v>227310.259538557</v>
      </c>
      <c r="F14" s="34">
        <f>$C$4+CUMPRINC($C$6/4, $C$5*4, $C$4, 1, B14, 0)</f>
        <v>227310.259538557</v>
      </c>
      <c r="G14" s="34">
        <f t="shared" ref="G14:G32" si="2">FV($C$6/4, B14, $C$8, -$C$4)</f>
        <v>227310.25953855671</v>
      </c>
    </row>
    <row r="15" spans="2:8" x14ac:dyDescent="0.25">
      <c r="B15" s="4">
        <v>3</v>
      </c>
      <c r="C15" s="34">
        <f t="shared" si="0"/>
        <v>2415.1715075971688</v>
      </c>
      <c r="D15" s="34">
        <f t="shared" si="1"/>
        <v>11525.997590416133</v>
      </c>
      <c r="E15" s="5">
        <f t="shared" ref="E15:E32" si="3">E14-D15</f>
        <v>215784.26194814086</v>
      </c>
      <c r="F15" s="34">
        <f t="shared" ref="F15:F32" si="4">$C$4+CUMPRINC($C$6/4, $C$5*4, $C$4, 1, B15, 0)</f>
        <v>215784.26194814089</v>
      </c>
      <c r="G15" s="34">
        <f t="shared" si="2"/>
        <v>215784.26194814034</v>
      </c>
    </row>
    <row r="16" spans="2:8" x14ac:dyDescent="0.25">
      <c r="B16" s="4">
        <v>4</v>
      </c>
      <c r="C16" s="34">
        <f t="shared" si="0"/>
        <v>2292.7077831989973</v>
      </c>
      <c r="D16" s="34">
        <f t="shared" si="1"/>
        <v>11648.461314814303</v>
      </c>
      <c r="E16" s="5">
        <f t="shared" si="3"/>
        <v>204135.80063332655</v>
      </c>
      <c r="F16" s="34">
        <f t="shared" si="4"/>
        <v>204135.80063332658</v>
      </c>
      <c r="G16" s="34">
        <f t="shared" si="2"/>
        <v>204135.80063332588</v>
      </c>
    </row>
    <row r="17" spans="2:7" x14ac:dyDescent="0.25">
      <c r="B17" s="4">
        <v>5</v>
      </c>
      <c r="C17" s="34">
        <f t="shared" si="0"/>
        <v>2168.942881729095</v>
      </c>
      <c r="D17" s="34">
        <f t="shared" si="1"/>
        <v>11772.226216284203</v>
      </c>
      <c r="E17" s="5">
        <f t="shared" si="3"/>
        <v>192363.57441704234</v>
      </c>
      <c r="F17" s="34">
        <f t="shared" si="4"/>
        <v>192363.57441704237</v>
      </c>
      <c r="G17" s="34">
        <f t="shared" si="2"/>
        <v>192363.5744170415</v>
      </c>
    </row>
    <row r="18" spans="2:7" x14ac:dyDescent="0.25">
      <c r="B18" s="4">
        <v>6</v>
      </c>
      <c r="C18" s="34">
        <f t="shared" si="0"/>
        <v>2043.8629781810753</v>
      </c>
      <c r="D18" s="34">
        <f t="shared" si="1"/>
        <v>11897.306119832225</v>
      </c>
      <c r="E18" s="5">
        <f t="shared" si="3"/>
        <v>180466.2682972101</v>
      </c>
      <c r="F18" s="34">
        <f t="shared" si="4"/>
        <v>180466.26829721013</v>
      </c>
      <c r="G18" s="34">
        <f t="shared" si="2"/>
        <v>180466.26829720906</v>
      </c>
    </row>
    <row r="19" spans="2:7" x14ac:dyDescent="0.25">
      <c r="B19" s="4">
        <v>7</v>
      </c>
      <c r="C19" s="34">
        <f t="shared" si="0"/>
        <v>1917.4541006578577</v>
      </c>
      <c r="D19" s="34">
        <f t="shared" si="1"/>
        <v>12023.714997355442</v>
      </c>
      <c r="E19" s="5">
        <f t="shared" si="3"/>
        <v>168442.55329985466</v>
      </c>
      <c r="F19" s="34">
        <f t="shared" si="4"/>
        <v>168442.55329985471</v>
      </c>
      <c r="G19" s="34">
        <f t="shared" si="2"/>
        <v>168442.55329985352</v>
      </c>
    </row>
    <row r="20" spans="2:7" x14ac:dyDescent="0.25">
      <c r="B20" s="4">
        <v>8</v>
      </c>
      <c r="C20" s="34">
        <f t="shared" si="0"/>
        <v>1789.7021288109568</v>
      </c>
      <c r="D20" s="34">
        <f t="shared" si="1"/>
        <v>12151.466969202344</v>
      </c>
      <c r="E20" s="5">
        <f t="shared" si="3"/>
        <v>156291.08633065232</v>
      </c>
      <c r="F20" s="34">
        <f t="shared" si="4"/>
        <v>156291.08633065235</v>
      </c>
      <c r="G20" s="34">
        <f t="shared" si="2"/>
        <v>156291.08633065084</v>
      </c>
    </row>
    <row r="21" spans="2:7" x14ac:dyDescent="0.25">
      <c r="B21" s="4">
        <v>9</v>
      </c>
      <c r="C21" s="34">
        <f t="shared" si="0"/>
        <v>1660.5927922631818</v>
      </c>
      <c r="D21" s="34">
        <f t="shared" si="1"/>
        <v>12280.576305750117</v>
      </c>
      <c r="E21" s="5">
        <f t="shared" si="3"/>
        <v>144010.51002490221</v>
      </c>
      <c r="F21" s="34">
        <f t="shared" si="4"/>
        <v>144010.51002490224</v>
      </c>
      <c r="G21" s="34">
        <f t="shared" si="2"/>
        <v>144010.51002490058</v>
      </c>
    </row>
    <row r="22" spans="2:7" x14ac:dyDescent="0.25">
      <c r="B22" s="4">
        <v>10</v>
      </c>
      <c r="C22" s="34">
        <f t="shared" si="0"/>
        <v>1530.1116690145866</v>
      </c>
      <c r="D22" s="34">
        <f t="shared" si="1"/>
        <v>12411.057428998714</v>
      </c>
      <c r="E22" s="5">
        <f t="shared" si="3"/>
        <v>131599.45259590348</v>
      </c>
      <c r="F22" s="34">
        <f t="shared" si="4"/>
        <v>131599.45259590351</v>
      </c>
      <c r="G22" s="34">
        <f t="shared" si="2"/>
        <v>131599.45259590159</v>
      </c>
    </row>
    <row r="23" spans="2:7" x14ac:dyDescent="0.25">
      <c r="B23" s="4">
        <v>11</v>
      </c>
      <c r="C23" s="34">
        <f t="shared" si="0"/>
        <v>1398.2441838314751</v>
      </c>
      <c r="D23" s="34">
        <f t="shared" si="1"/>
        <v>12542.924914181825</v>
      </c>
      <c r="E23" s="5">
        <f t="shared" si="3"/>
        <v>119056.52768172165</v>
      </c>
      <c r="F23" s="34">
        <f t="shared" si="4"/>
        <v>119056.52768172169</v>
      </c>
      <c r="G23" s="34">
        <f t="shared" si="2"/>
        <v>119056.52768171957</v>
      </c>
    </row>
    <row r="24" spans="2:7" x14ac:dyDescent="0.25">
      <c r="B24" s="4">
        <v>12</v>
      </c>
      <c r="C24" s="34">
        <f t="shared" si="0"/>
        <v>1264.9756066182931</v>
      </c>
      <c r="D24" s="34">
        <f t="shared" si="1"/>
        <v>12676.193491395008</v>
      </c>
      <c r="E24" s="5">
        <f t="shared" si="3"/>
        <v>106380.33419032664</v>
      </c>
      <c r="F24" s="34">
        <f t="shared" si="4"/>
        <v>106380.33419032668</v>
      </c>
      <c r="G24" s="34">
        <f t="shared" si="2"/>
        <v>106380.33419032433</v>
      </c>
    </row>
    <row r="25" spans="2:7" x14ac:dyDescent="0.25">
      <c r="B25" s="4">
        <v>13</v>
      </c>
      <c r="C25" s="34">
        <f t="shared" si="0"/>
        <v>1130.2910507722215</v>
      </c>
      <c r="D25" s="34">
        <f t="shared" si="1"/>
        <v>12810.878047241078</v>
      </c>
      <c r="E25" s="5">
        <f t="shared" si="3"/>
        <v>93569.456143085568</v>
      </c>
      <c r="F25" s="34">
        <f t="shared" si="4"/>
        <v>93569.456143085583</v>
      </c>
      <c r="G25" s="34">
        <f t="shared" si="2"/>
        <v>93569.456143082993</v>
      </c>
    </row>
    <row r="26" spans="2:7" x14ac:dyDescent="0.25">
      <c r="B26" s="4">
        <v>14</v>
      </c>
      <c r="C26" s="34">
        <f t="shared" si="0"/>
        <v>994.17547152028487</v>
      </c>
      <c r="D26" s="34">
        <f t="shared" si="1"/>
        <v>12946.993626493015</v>
      </c>
      <c r="E26" s="5">
        <f t="shared" si="3"/>
        <v>80622.462516592554</v>
      </c>
      <c r="F26" s="34">
        <f t="shared" si="4"/>
        <v>80622.462516592612</v>
      </c>
      <c r="G26" s="34">
        <f t="shared" si="2"/>
        <v>80622.462516589672</v>
      </c>
    </row>
    <row r="27" spans="2:7" x14ac:dyDescent="0.25">
      <c r="B27" s="4">
        <v>15</v>
      </c>
      <c r="C27" s="34">
        <f t="shared" si="0"/>
        <v>856.61366423879667</v>
      </c>
      <c r="D27" s="34">
        <f t="shared" si="1"/>
        <v>13084.555433774503</v>
      </c>
      <c r="E27" s="5">
        <f t="shared" si="3"/>
        <v>67537.907082818056</v>
      </c>
      <c r="F27" s="34">
        <f t="shared" si="4"/>
        <v>67537.907082818099</v>
      </c>
      <c r="G27" s="34">
        <f t="shared" si="2"/>
        <v>67537.907082815189</v>
      </c>
    </row>
    <row r="28" spans="2:7" x14ac:dyDescent="0.25">
      <c r="B28" s="4">
        <v>16</v>
      </c>
      <c r="C28" s="34">
        <f t="shared" si="0"/>
        <v>717.5902627549425</v>
      </c>
      <c r="D28" s="34">
        <f t="shared" si="1"/>
        <v>13223.578835258359</v>
      </c>
      <c r="E28" s="5">
        <f t="shared" si="3"/>
        <v>54314.328247559693</v>
      </c>
      <c r="F28" s="34">
        <f t="shared" si="4"/>
        <v>54314.328247559693</v>
      </c>
      <c r="G28" s="34">
        <f t="shared" si="2"/>
        <v>54314.32824755655</v>
      </c>
    </row>
    <row r="29" spans="2:7" x14ac:dyDescent="0.25">
      <c r="B29" s="4">
        <v>17</v>
      </c>
      <c r="C29" s="34">
        <f t="shared" si="0"/>
        <v>577.08973763032247</v>
      </c>
      <c r="D29" s="34">
        <f t="shared" si="1"/>
        <v>13364.079360382977</v>
      </c>
      <c r="E29" s="5">
        <f t="shared" si="3"/>
        <v>40950.248887176713</v>
      </c>
      <c r="F29" s="34">
        <f t="shared" si="4"/>
        <v>40950.248887176742</v>
      </c>
      <c r="G29" s="34">
        <f t="shared" si="2"/>
        <v>40950.248887173395</v>
      </c>
    </row>
    <row r="30" spans="2:7" x14ac:dyDescent="0.25">
      <c r="B30" s="4">
        <v>18</v>
      </c>
      <c r="C30" s="34">
        <f t="shared" si="0"/>
        <v>435.0963944262532</v>
      </c>
      <c r="D30" s="34">
        <f t="shared" si="1"/>
        <v>13506.072703587046</v>
      </c>
      <c r="E30" s="5">
        <f t="shared" si="3"/>
        <v>27444.176183589669</v>
      </c>
      <c r="F30" s="34">
        <f t="shared" si="4"/>
        <v>27444.176183589676</v>
      </c>
      <c r="G30" s="34">
        <f t="shared" si="2"/>
        <v>27444.176183586125</v>
      </c>
    </row>
    <row r="31" spans="2:7" x14ac:dyDescent="0.25">
      <c r="B31" s="4">
        <v>19</v>
      </c>
      <c r="C31" s="34">
        <f t="shared" si="0"/>
        <v>291.59437195064095</v>
      </c>
      <c r="D31" s="34">
        <f t="shared" si="1"/>
        <v>13649.574726062659</v>
      </c>
      <c r="E31" s="5">
        <f t="shared" si="3"/>
        <v>13794.601457527009</v>
      </c>
      <c r="F31" s="34">
        <f t="shared" si="4"/>
        <v>13794.601457526995</v>
      </c>
      <c r="G31" s="34">
        <f t="shared" si="2"/>
        <v>13794.601457523066</v>
      </c>
    </row>
    <row r="32" spans="2:7" x14ac:dyDescent="0.25">
      <c r="B32" s="4">
        <v>20</v>
      </c>
      <c r="C32" s="34">
        <f t="shared" si="0"/>
        <v>146.56764048622517</v>
      </c>
      <c r="D32" s="34">
        <f t="shared" si="1"/>
        <v>13794.601457527076</v>
      </c>
      <c r="E32" s="5">
        <f t="shared" si="3"/>
        <v>-6.730260793119669E-11</v>
      </c>
      <c r="F32" s="34">
        <f t="shared" si="4"/>
        <v>0</v>
      </c>
      <c r="G32" s="34">
        <f t="shared" si="2"/>
        <v>-4.0745362639427185E-9</v>
      </c>
    </row>
    <row r="33" spans="2:5" x14ac:dyDescent="0.25">
      <c r="B33" s="4"/>
      <c r="C33" s="34"/>
      <c r="D33" s="34"/>
      <c r="E33" s="5"/>
    </row>
    <row r="34" spans="2:5" x14ac:dyDescent="0.25">
      <c r="B34" s="4"/>
      <c r="C34" s="34"/>
      <c r="D34" s="34"/>
      <c r="E34" s="5"/>
    </row>
    <row r="35" spans="2:5" x14ac:dyDescent="0.25">
      <c r="B35" s="4"/>
      <c r="C35" s="34"/>
      <c r="D35" s="34"/>
      <c r="E35" s="5"/>
    </row>
    <row r="36" spans="2:5" x14ac:dyDescent="0.25">
      <c r="B36" s="4"/>
      <c r="C36" s="34"/>
      <c r="D36" s="34"/>
      <c r="E36" s="5"/>
    </row>
    <row r="37" spans="2:5" x14ac:dyDescent="0.25">
      <c r="B37" s="4"/>
      <c r="C37" s="34"/>
      <c r="D37" s="34"/>
      <c r="E37" s="5"/>
    </row>
    <row r="38" spans="2:5" x14ac:dyDescent="0.25">
      <c r="B38" s="4"/>
      <c r="C38" s="34"/>
      <c r="D38" s="34"/>
      <c r="E38" s="5"/>
    </row>
    <row r="39" spans="2:5" x14ac:dyDescent="0.25">
      <c r="B39" s="4"/>
      <c r="C39" s="34"/>
      <c r="D39" s="34"/>
      <c r="E39" s="5"/>
    </row>
    <row r="40" spans="2:5" x14ac:dyDescent="0.25">
      <c r="B40" s="4"/>
      <c r="C40" s="34"/>
      <c r="D40" s="34"/>
      <c r="E40" s="5"/>
    </row>
    <row r="41" spans="2:5" x14ac:dyDescent="0.25">
      <c r="B41" s="4"/>
      <c r="C41" s="34"/>
      <c r="D41" s="34"/>
      <c r="E41" s="5"/>
    </row>
    <row r="42" spans="2:5" x14ac:dyDescent="0.25">
      <c r="B42" s="4"/>
      <c r="C42" s="34"/>
      <c r="D42" s="34"/>
      <c r="E42" s="5"/>
    </row>
    <row r="43" spans="2:5" x14ac:dyDescent="0.25">
      <c r="B43" s="4"/>
      <c r="C43" s="34"/>
      <c r="D43" s="34"/>
      <c r="E43" s="5"/>
    </row>
    <row r="44" spans="2:5" x14ac:dyDescent="0.25">
      <c r="B44" s="4"/>
      <c r="C44" s="34"/>
      <c r="D44" s="34"/>
      <c r="E44" s="5"/>
    </row>
    <row r="45" spans="2:5" x14ac:dyDescent="0.25">
      <c r="B45" s="4"/>
      <c r="C45" s="34"/>
      <c r="D45" s="34"/>
      <c r="E45" s="5"/>
    </row>
    <row r="46" spans="2:5" x14ac:dyDescent="0.25">
      <c r="B46" s="4"/>
      <c r="C46" s="34"/>
      <c r="D46" s="34"/>
      <c r="E46" s="5"/>
    </row>
    <row r="47" spans="2:5" x14ac:dyDescent="0.25">
      <c r="B47" s="4"/>
      <c r="C47" s="34"/>
      <c r="D47" s="34"/>
      <c r="E47" s="5"/>
    </row>
    <row r="48" spans="2:5" x14ac:dyDescent="0.25">
      <c r="B48" s="4"/>
      <c r="C48" s="34"/>
      <c r="D48" s="34"/>
      <c r="E48" s="5"/>
    </row>
    <row r="49" spans="2:5" x14ac:dyDescent="0.25">
      <c r="B49" s="4"/>
      <c r="C49" s="34"/>
      <c r="D49" s="34"/>
      <c r="E49" s="5"/>
    </row>
    <row r="50" spans="2:5" x14ac:dyDescent="0.25">
      <c r="B50" s="4"/>
      <c r="C50" s="34"/>
      <c r="D50" s="34"/>
      <c r="E50" s="5"/>
    </row>
    <row r="51" spans="2:5" x14ac:dyDescent="0.25">
      <c r="B51" s="4"/>
      <c r="C51" s="34"/>
      <c r="D51" s="34"/>
      <c r="E51" s="5"/>
    </row>
    <row r="52" spans="2:5" x14ac:dyDescent="0.25">
      <c r="B52" s="4"/>
      <c r="C52" s="34"/>
      <c r="D52" s="34"/>
      <c r="E52" s="5"/>
    </row>
    <row r="53" spans="2:5" x14ac:dyDescent="0.25">
      <c r="B53" s="4"/>
      <c r="C53" s="34"/>
      <c r="D53" s="34"/>
      <c r="E53" s="5"/>
    </row>
    <row r="54" spans="2:5" x14ac:dyDescent="0.25">
      <c r="B54" s="4"/>
      <c r="C54" s="34"/>
      <c r="D54" s="34"/>
      <c r="E54" s="5"/>
    </row>
    <row r="55" spans="2:5" x14ac:dyDescent="0.25">
      <c r="B55" s="4"/>
      <c r="C55" s="34"/>
      <c r="D55" s="34"/>
      <c r="E55" s="5"/>
    </row>
    <row r="56" spans="2:5" x14ac:dyDescent="0.25">
      <c r="B56" s="4"/>
      <c r="C56" s="34"/>
      <c r="D56" s="34"/>
      <c r="E56" s="5"/>
    </row>
    <row r="57" spans="2:5" x14ac:dyDescent="0.25">
      <c r="B57" s="4"/>
      <c r="C57" s="34"/>
      <c r="D57" s="34"/>
      <c r="E57" s="5"/>
    </row>
    <row r="58" spans="2:5" x14ac:dyDescent="0.25">
      <c r="B58" s="4"/>
      <c r="C58" s="34"/>
      <c r="D58" s="34"/>
      <c r="E58" s="5"/>
    </row>
    <row r="59" spans="2:5" x14ac:dyDescent="0.25">
      <c r="B59" s="4"/>
      <c r="C59" s="34"/>
      <c r="D59" s="34"/>
      <c r="E59" s="5"/>
    </row>
    <row r="60" spans="2:5" x14ac:dyDescent="0.25">
      <c r="B60" s="4"/>
      <c r="C60" s="34"/>
      <c r="D60" s="34"/>
      <c r="E6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1CE7-4FDB-4A7D-9B96-0C71C506C448}">
  <dimension ref="B1:N60"/>
  <sheetViews>
    <sheetView showGridLines="0" topLeftCell="A8" zoomScale="130" zoomScaleNormal="130" workbookViewId="0">
      <selection activeCell="D17" sqref="D17"/>
    </sheetView>
  </sheetViews>
  <sheetFormatPr defaultRowHeight="15" x14ac:dyDescent="0.25"/>
  <cols>
    <col min="2" max="2" width="17.140625" customWidth="1"/>
    <col min="3" max="3" width="12.42578125" bestFit="1" customWidth="1"/>
    <col min="4" max="4" width="11.7109375" bestFit="1" customWidth="1"/>
    <col min="5" max="5" width="11" bestFit="1" customWidth="1"/>
    <col min="6" max="6" width="10.85546875" customWidth="1"/>
    <col min="7" max="7" width="14.42578125" bestFit="1" customWidth="1"/>
    <col min="8" max="9" width="10.5703125" customWidth="1"/>
    <col min="10" max="10" width="12.140625" bestFit="1" customWidth="1"/>
    <col min="11" max="12" width="10.5703125" customWidth="1"/>
    <col min="13" max="13" width="11.140625" bestFit="1" customWidth="1"/>
  </cols>
  <sheetData>
    <row r="1" spans="2:14" s="36" customFormat="1" ht="21" x14ac:dyDescent="0.35">
      <c r="B1" s="8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s="36" customFormat="1" ht="21" x14ac:dyDescent="0.35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4" spans="2:14" x14ac:dyDescent="0.25">
      <c r="B4" t="s">
        <v>8</v>
      </c>
      <c r="C4" s="33">
        <v>250000</v>
      </c>
    </row>
    <row r="5" spans="2:14" x14ac:dyDescent="0.25">
      <c r="B5" t="s">
        <v>9</v>
      </c>
      <c r="C5">
        <v>5</v>
      </c>
      <c r="J5" t="s">
        <v>34</v>
      </c>
      <c r="K5" s="34">
        <f>20*C8-C4</f>
        <v>28823.381960265979</v>
      </c>
    </row>
    <row r="6" spans="2:14" x14ac:dyDescent="0.25">
      <c r="B6" t="s">
        <v>2</v>
      </c>
      <c r="C6" s="38">
        <v>4.2500000000000003E-2</v>
      </c>
      <c r="G6" s="34">
        <f>SUM(C13:C16)</f>
        <v>9900.477025379776</v>
      </c>
    </row>
    <row r="8" spans="2:14" ht="15.75" x14ac:dyDescent="0.25">
      <c r="B8" t="s">
        <v>11</v>
      </c>
      <c r="C8" s="42">
        <f>PMT(C6/4, C5*4, -C4)</f>
        <v>13941.169098013299</v>
      </c>
    </row>
    <row r="9" spans="2:14" x14ac:dyDescent="0.25">
      <c r="G9" s="1" t="s">
        <v>35</v>
      </c>
    </row>
    <row r="10" spans="2:14" ht="31.5" x14ac:dyDescent="0.25">
      <c r="B10" s="43"/>
      <c r="C10" s="44" t="s">
        <v>36</v>
      </c>
      <c r="D10" s="44" t="s">
        <v>37</v>
      </c>
      <c r="E10" s="44" t="s">
        <v>38</v>
      </c>
      <c r="G10" s="43"/>
      <c r="H10" s="85" t="s">
        <v>39</v>
      </c>
      <c r="I10" s="85"/>
      <c r="J10" s="85"/>
      <c r="K10" s="85"/>
      <c r="L10" s="45"/>
      <c r="M10" s="43"/>
    </row>
    <row r="11" spans="2:14" ht="31.5" x14ac:dyDescent="0.25">
      <c r="B11" s="43" t="s">
        <v>20</v>
      </c>
      <c r="C11" s="44" t="s">
        <v>40</v>
      </c>
      <c r="D11" s="44" t="s">
        <v>41</v>
      </c>
      <c r="E11" s="44" t="s">
        <v>42</v>
      </c>
      <c r="G11" s="43"/>
      <c r="H11" s="45">
        <v>1</v>
      </c>
      <c r="I11" s="45">
        <v>2</v>
      </c>
      <c r="J11" s="45">
        <v>3</v>
      </c>
      <c r="K11" s="45">
        <v>4</v>
      </c>
      <c r="L11" s="45">
        <v>5</v>
      </c>
      <c r="M11" s="43" t="s">
        <v>43</v>
      </c>
    </row>
    <row r="12" spans="2:14" ht="15.75" x14ac:dyDescent="0.25">
      <c r="B12" s="4">
        <v>0</v>
      </c>
      <c r="C12" s="34"/>
      <c r="D12" s="34"/>
      <c r="E12" s="5">
        <f>$C$4</f>
        <v>250000</v>
      </c>
      <c r="G12" s="46" t="s">
        <v>34</v>
      </c>
      <c r="H12" s="47">
        <f>-CUMIPMT($C$6/4, 20, $C$4, 1,4, 0)</f>
        <v>9900.4770253797615</v>
      </c>
      <c r="I12" s="47">
        <f>-CUMIPMT($C$6/4, 20, $C$4, 5,8, 0)</f>
        <v>7919.9620893789688</v>
      </c>
      <c r="J12" s="47">
        <f>-CUMIPMT($C$6/4, 20, $C$4, 9,12, 0)</f>
        <v>5853.924251727527</v>
      </c>
      <c r="K12" s="47">
        <f>-CUMIPMT($C$6/4, 20, $C$4, 13,16, 0)</f>
        <v>3698.6704492862336</v>
      </c>
      <c r="L12" s="47">
        <f>-CUMIPMT($C$6/4, 20, $C$4, 17,20, 0)</f>
        <v>1450.3481444934296</v>
      </c>
      <c r="M12" s="47">
        <f>SUM(H12:L12)</f>
        <v>28823.38196026592</v>
      </c>
    </row>
    <row r="13" spans="2:14" ht="15.75" x14ac:dyDescent="0.25">
      <c r="B13" s="4">
        <v>1</v>
      </c>
      <c r="C13" s="48">
        <f>IPMT($C$6/4, $B13, $C$5*4, -$C$4)</f>
        <v>2656.25</v>
      </c>
      <c r="D13" s="34">
        <f>PPMT($C$6/4, $B13, $C$5*4, -$C$4)</f>
        <v>11284.919098013299</v>
      </c>
      <c r="E13" s="5">
        <f>$C$4-D13</f>
        <v>238715.08090198669</v>
      </c>
      <c r="G13" s="46" t="s">
        <v>44</v>
      </c>
      <c r="H13" s="47">
        <f>-CUMPRINC($C$6/4, 20, $C$4, 1,4, 0)</f>
        <v>45864.199366673434</v>
      </c>
      <c r="I13" s="47">
        <f>-CUMPRINC($C$6/4, 20, $C$4, 5,8, 0)</f>
        <v>47844.714302674227</v>
      </c>
      <c r="J13" s="47">
        <f>-CUMPRINC($C$6/4, 20, $C$4, 9,12, 0)</f>
        <v>49910.752140325669</v>
      </c>
      <c r="K13" s="47">
        <f>-CUMPRINC($C$6/4, 20, $C$4, 13,16, 0)</f>
        <v>52066.005942766962</v>
      </c>
      <c r="L13" s="47">
        <f>-CUMPRINC($C$6/4, 20, $C$4, 17,20, 0)</f>
        <v>54314.328247559766</v>
      </c>
      <c r="M13" s="47">
        <f>SUM(H13:L13)</f>
        <v>250000.00000000006</v>
      </c>
    </row>
    <row r="14" spans="2:14" ht="16.5" thickBot="1" x14ac:dyDescent="0.3">
      <c r="B14" s="4">
        <v>2</v>
      </c>
      <c r="C14" s="48">
        <f t="shared" ref="C14:C32" si="0">IPMT($C$6/4, $B14, $C$5*4, -$C$4)</f>
        <v>2536.3477345836091</v>
      </c>
      <c r="D14" s="34">
        <f t="shared" ref="D14:D32" si="1">PPMT($C$6/4, $B14, $C$5*4, -$C$4)</f>
        <v>11404.821363429692</v>
      </c>
      <c r="E14" s="5">
        <f>E13-D14</f>
        <v>227310.259538557</v>
      </c>
      <c r="G14" s="49" t="s">
        <v>43</v>
      </c>
      <c r="H14" s="50">
        <f t="shared" ref="H14:M14" si="2">SUM(H11:H13)</f>
        <v>55765.676392053196</v>
      </c>
      <c r="I14" s="50">
        <f t="shared" si="2"/>
        <v>55766.676392053196</v>
      </c>
      <c r="J14" s="50">
        <f t="shared" si="2"/>
        <v>55767.676392053196</v>
      </c>
      <c r="K14" s="50">
        <f t="shared" si="2"/>
        <v>55768.676392053196</v>
      </c>
      <c r="L14" s="50">
        <f t="shared" si="2"/>
        <v>55769.676392053196</v>
      </c>
      <c r="M14" s="50">
        <f t="shared" si="2"/>
        <v>278823.38196026598</v>
      </c>
    </row>
    <row r="15" spans="2:14" ht="15.75" thickTop="1" x14ac:dyDescent="0.25">
      <c r="B15" s="4">
        <v>3</v>
      </c>
      <c r="C15" s="48">
        <f t="shared" si="0"/>
        <v>2415.1715075971688</v>
      </c>
      <c r="D15" s="34">
        <f t="shared" si="1"/>
        <v>11525.997590416133</v>
      </c>
      <c r="E15" s="5">
        <f t="shared" ref="E15:E32" si="3">E14-D15</f>
        <v>215784.26194814086</v>
      </c>
    </row>
    <row r="16" spans="2:14" x14ac:dyDescent="0.25">
      <c r="B16" s="4">
        <v>4</v>
      </c>
      <c r="C16" s="48">
        <f t="shared" si="0"/>
        <v>2292.7077831989973</v>
      </c>
      <c r="D16" s="34">
        <f t="shared" si="1"/>
        <v>11648.461314814303</v>
      </c>
      <c r="E16" s="5">
        <f t="shared" si="3"/>
        <v>204135.80063332655</v>
      </c>
    </row>
    <row r="17" spans="2:13" x14ac:dyDescent="0.25">
      <c r="B17" s="4">
        <v>5</v>
      </c>
      <c r="C17" s="34">
        <f t="shared" si="0"/>
        <v>2168.942881729095</v>
      </c>
      <c r="D17" s="34">
        <f t="shared" si="1"/>
        <v>11772.226216284203</v>
      </c>
      <c r="E17" s="5">
        <f t="shared" si="3"/>
        <v>192363.57441704234</v>
      </c>
      <c r="G17" s="1" t="s">
        <v>45</v>
      </c>
    </row>
    <row r="18" spans="2:13" ht="15.75" x14ac:dyDescent="0.25">
      <c r="B18" s="4">
        <v>6</v>
      </c>
      <c r="C18" s="34">
        <f t="shared" si="0"/>
        <v>2043.8629781810753</v>
      </c>
      <c r="D18" s="34">
        <f t="shared" si="1"/>
        <v>11897.306119832225</v>
      </c>
      <c r="E18" s="5">
        <f t="shared" si="3"/>
        <v>180466.2682972101</v>
      </c>
      <c r="G18" s="43"/>
      <c r="H18" s="85" t="s">
        <v>39</v>
      </c>
      <c r="I18" s="85"/>
      <c r="J18" s="85"/>
      <c r="K18" s="85"/>
      <c r="L18" s="45"/>
      <c r="M18" s="43"/>
    </row>
    <row r="19" spans="2:13" ht="15.75" x14ac:dyDescent="0.25">
      <c r="B19" s="4">
        <v>7</v>
      </c>
      <c r="C19" s="34">
        <f t="shared" si="0"/>
        <v>1917.4541006578577</v>
      </c>
      <c r="D19" s="34">
        <f t="shared" si="1"/>
        <v>12023.714997355442</v>
      </c>
      <c r="E19" s="5">
        <f t="shared" si="3"/>
        <v>168442.55329985466</v>
      </c>
      <c r="G19" s="43"/>
      <c r="H19" s="45">
        <v>1</v>
      </c>
      <c r="I19" s="45">
        <v>2</v>
      </c>
      <c r="J19" s="45">
        <v>3</v>
      </c>
      <c r="K19" s="45">
        <v>4</v>
      </c>
      <c r="L19" s="45">
        <v>5</v>
      </c>
      <c r="M19" s="43" t="s">
        <v>43</v>
      </c>
    </row>
    <row r="20" spans="2:13" ht="15.75" x14ac:dyDescent="0.25">
      <c r="B20" s="4">
        <v>8</v>
      </c>
      <c r="C20" s="34">
        <f t="shared" si="0"/>
        <v>1789.7021288109568</v>
      </c>
      <c r="D20" s="34">
        <f t="shared" si="1"/>
        <v>12151.466969202344</v>
      </c>
      <c r="E20" s="5">
        <f t="shared" si="3"/>
        <v>156291.08633065232</v>
      </c>
      <c r="G20" s="46" t="s">
        <v>34</v>
      </c>
      <c r="H20" s="47">
        <f>-CUMIPMT($C$6/4, 20, $C$4, 4*H$19-3, 4*H$19,0)</f>
        <v>9900.4770253797615</v>
      </c>
      <c r="I20" s="47">
        <f t="shared" ref="I20:L20" si="4">-CUMIPMT($C$6/4, 20, $C$4, 4*I$19-3, 4*I$19,0)</f>
        <v>7919.9620893789688</v>
      </c>
      <c r="J20" s="47">
        <f t="shared" si="4"/>
        <v>5853.924251727527</v>
      </c>
      <c r="K20" s="47">
        <f t="shared" si="4"/>
        <v>3698.6704492862336</v>
      </c>
      <c r="L20" s="47">
        <f t="shared" si="4"/>
        <v>1450.3481444934296</v>
      </c>
      <c r="M20" s="47">
        <f t="shared" ref="M20:M22" si="5">SUM(H20:L20)</f>
        <v>28823.38196026592</v>
      </c>
    </row>
    <row r="21" spans="2:13" ht="15.75" x14ac:dyDescent="0.25">
      <c r="B21" s="4">
        <v>9</v>
      </c>
      <c r="C21" s="48">
        <f t="shared" si="0"/>
        <v>1660.5927922631818</v>
      </c>
      <c r="D21" s="34">
        <f t="shared" si="1"/>
        <v>12280.576305750117</v>
      </c>
      <c r="E21" s="5">
        <f t="shared" si="3"/>
        <v>144010.51002490221</v>
      </c>
      <c r="G21" s="46" t="s">
        <v>44</v>
      </c>
      <c r="H21" s="47">
        <f>-CUMPRINC($C$6/4, 20, $C$4, 4*H$19-3, 4*H$19,0)</f>
        <v>45864.199366673434</v>
      </c>
      <c r="I21" s="47">
        <f t="shared" ref="I21:L21" si="6">-CUMPRINC($C$6/4, 20, $C$4, 4*I$19-3, 4*I$19,0)</f>
        <v>47844.714302674227</v>
      </c>
      <c r="J21" s="47">
        <f t="shared" si="6"/>
        <v>49910.752140325669</v>
      </c>
      <c r="K21" s="47">
        <f t="shared" si="6"/>
        <v>52066.005942766962</v>
      </c>
      <c r="L21" s="47">
        <f t="shared" si="6"/>
        <v>54314.328247559766</v>
      </c>
      <c r="M21" s="47">
        <f t="shared" si="5"/>
        <v>250000.00000000006</v>
      </c>
    </row>
    <row r="22" spans="2:13" ht="16.5" thickBot="1" x14ac:dyDescent="0.3">
      <c r="B22" s="4">
        <v>10</v>
      </c>
      <c r="C22" s="48">
        <f t="shared" si="0"/>
        <v>1530.1116690145866</v>
      </c>
      <c r="D22" s="34">
        <f t="shared" si="1"/>
        <v>12411.057428998714</v>
      </c>
      <c r="E22" s="5">
        <f t="shared" si="3"/>
        <v>131599.45259590348</v>
      </c>
      <c r="G22" s="49" t="s">
        <v>43</v>
      </c>
      <c r="H22" s="50">
        <f t="shared" ref="H22:L22" si="7">SUM(H19:H21)</f>
        <v>55765.676392053196</v>
      </c>
      <c r="I22" s="50">
        <f t="shared" si="7"/>
        <v>55766.676392053196</v>
      </c>
      <c r="J22" s="50">
        <f t="shared" si="7"/>
        <v>55767.676392053196</v>
      </c>
      <c r="K22" s="50">
        <f t="shared" si="7"/>
        <v>55768.676392053196</v>
      </c>
      <c r="L22" s="50">
        <f t="shared" si="7"/>
        <v>55769.676392053196</v>
      </c>
      <c r="M22" s="50">
        <f t="shared" si="5"/>
        <v>278838.38196026598</v>
      </c>
    </row>
    <row r="23" spans="2:13" ht="15.75" thickTop="1" x14ac:dyDescent="0.25">
      <c r="B23" s="4">
        <v>11</v>
      </c>
      <c r="C23" s="48">
        <f t="shared" si="0"/>
        <v>1398.2441838314751</v>
      </c>
      <c r="D23" s="34">
        <f t="shared" si="1"/>
        <v>12542.924914181825</v>
      </c>
      <c r="E23" s="5">
        <f t="shared" si="3"/>
        <v>119056.52768172165</v>
      </c>
    </row>
    <row r="24" spans="2:13" x14ac:dyDescent="0.25">
      <c r="B24" s="4">
        <v>12</v>
      </c>
      <c r="C24" s="48">
        <f t="shared" si="0"/>
        <v>1264.9756066182931</v>
      </c>
      <c r="D24" s="34">
        <f t="shared" si="1"/>
        <v>12676.193491395008</v>
      </c>
      <c r="E24" s="5">
        <f t="shared" si="3"/>
        <v>106380.33419032664</v>
      </c>
      <c r="H24" t="str">
        <f ca="1">_xlfn.FORMULATEXT(H20)</f>
        <v>=-CUMIPMT($C$6/4, 20, $C$4, 4*H$19-3, 4*H$19,0)</v>
      </c>
    </row>
    <row r="25" spans="2:13" x14ac:dyDescent="0.25">
      <c r="B25" s="4">
        <v>13</v>
      </c>
      <c r="C25" s="34">
        <f t="shared" si="0"/>
        <v>1130.2910507722215</v>
      </c>
      <c r="D25" s="34">
        <f t="shared" si="1"/>
        <v>12810.878047241078</v>
      </c>
      <c r="E25" s="5">
        <f t="shared" si="3"/>
        <v>93569.456143085568</v>
      </c>
      <c r="H25" t="str">
        <f ca="1">_xlfn.FORMULATEXT(H21)</f>
        <v>=-CUMPRINC($C$6/4, 20, $C$4, 4*H$19-3, 4*H$19,0)</v>
      </c>
      <c r="I25" s="4"/>
      <c r="J25" s="4"/>
    </row>
    <row r="26" spans="2:13" x14ac:dyDescent="0.25">
      <c r="B26" s="4">
        <v>14</v>
      </c>
      <c r="C26" s="34">
        <f t="shared" si="0"/>
        <v>994.17547152028487</v>
      </c>
      <c r="D26" s="34">
        <f t="shared" si="1"/>
        <v>12946.993626493015</v>
      </c>
      <c r="E26" s="5">
        <f t="shared" si="3"/>
        <v>80622.462516592554</v>
      </c>
      <c r="H26" s="4"/>
      <c r="I26" s="4"/>
      <c r="J26" s="4"/>
    </row>
    <row r="27" spans="2:13" x14ac:dyDescent="0.25">
      <c r="B27" s="4">
        <v>15</v>
      </c>
      <c r="C27" s="34">
        <f t="shared" si="0"/>
        <v>856.61366423879667</v>
      </c>
      <c r="D27" s="34">
        <f t="shared" si="1"/>
        <v>13084.555433774503</v>
      </c>
      <c r="E27" s="5">
        <f t="shared" si="3"/>
        <v>67537.907082818056</v>
      </c>
    </row>
    <row r="28" spans="2:13" x14ac:dyDescent="0.25">
      <c r="B28" s="4">
        <v>16</v>
      </c>
      <c r="C28" s="34">
        <f t="shared" si="0"/>
        <v>717.5902627549425</v>
      </c>
      <c r="D28" s="34">
        <f t="shared" si="1"/>
        <v>13223.578835258359</v>
      </c>
      <c r="E28" s="5">
        <f t="shared" si="3"/>
        <v>54314.328247559693</v>
      </c>
    </row>
    <row r="29" spans="2:13" x14ac:dyDescent="0.25">
      <c r="B29" s="4">
        <v>17</v>
      </c>
      <c r="C29" s="48">
        <f t="shared" si="0"/>
        <v>577.08973763032247</v>
      </c>
      <c r="D29" s="34">
        <f t="shared" si="1"/>
        <v>13364.079360382977</v>
      </c>
      <c r="E29" s="5">
        <f t="shared" si="3"/>
        <v>40950.248887176713</v>
      </c>
    </row>
    <row r="30" spans="2:13" x14ac:dyDescent="0.25">
      <c r="B30" s="4">
        <v>18</v>
      </c>
      <c r="C30" s="48">
        <f t="shared" si="0"/>
        <v>435.0963944262532</v>
      </c>
      <c r="D30" s="34">
        <f t="shared" si="1"/>
        <v>13506.072703587046</v>
      </c>
      <c r="E30" s="5">
        <f t="shared" si="3"/>
        <v>27444.176183589669</v>
      </c>
    </row>
    <row r="31" spans="2:13" x14ac:dyDescent="0.25">
      <c r="B31" s="4">
        <v>19</v>
      </c>
      <c r="C31" s="48">
        <f t="shared" si="0"/>
        <v>291.59437195064095</v>
      </c>
      <c r="D31" s="34">
        <f t="shared" si="1"/>
        <v>13649.574726062659</v>
      </c>
      <c r="E31" s="5">
        <f t="shared" si="3"/>
        <v>13794.601457527009</v>
      </c>
    </row>
    <row r="32" spans="2:13" x14ac:dyDescent="0.25">
      <c r="B32" s="4">
        <v>20</v>
      </c>
      <c r="C32" s="48">
        <f t="shared" si="0"/>
        <v>146.56764048622517</v>
      </c>
      <c r="D32" s="34">
        <f t="shared" si="1"/>
        <v>13794.601457527076</v>
      </c>
      <c r="E32" s="5">
        <f t="shared" si="3"/>
        <v>-6.730260793119669E-11</v>
      </c>
    </row>
    <row r="33" spans="2:5" x14ac:dyDescent="0.25">
      <c r="B33" s="4"/>
      <c r="C33" s="34"/>
      <c r="D33" s="34"/>
      <c r="E33" s="5"/>
    </row>
    <row r="34" spans="2:5" x14ac:dyDescent="0.25">
      <c r="B34" s="4"/>
      <c r="C34" s="34"/>
      <c r="D34" s="34"/>
      <c r="E34" s="5"/>
    </row>
    <row r="35" spans="2:5" x14ac:dyDescent="0.25">
      <c r="B35" s="4"/>
      <c r="C35" s="34"/>
      <c r="D35" s="34"/>
      <c r="E35" s="5"/>
    </row>
    <row r="36" spans="2:5" x14ac:dyDescent="0.25">
      <c r="B36" s="4"/>
      <c r="C36" s="34"/>
      <c r="D36" s="34"/>
      <c r="E36" s="5"/>
    </row>
    <row r="37" spans="2:5" x14ac:dyDescent="0.25">
      <c r="B37" s="4"/>
      <c r="C37" s="34"/>
      <c r="D37" s="34"/>
      <c r="E37" s="5"/>
    </row>
    <row r="38" spans="2:5" x14ac:dyDescent="0.25">
      <c r="B38" s="4"/>
      <c r="C38" s="34"/>
      <c r="D38" s="34"/>
      <c r="E38" s="5"/>
    </row>
    <row r="39" spans="2:5" x14ac:dyDescent="0.25">
      <c r="B39" s="4"/>
      <c r="C39" s="34"/>
      <c r="D39" s="34"/>
      <c r="E39" s="5"/>
    </row>
    <row r="40" spans="2:5" x14ac:dyDescent="0.25">
      <c r="B40" s="4"/>
      <c r="C40" s="34"/>
      <c r="D40" s="34"/>
      <c r="E40" s="5"/>
    </row>
    <row r="41" spans="2:5" x14ac:dyDescent="0.25">
      <c r="B41" s="4"/>
      <c r="C41" s="34"/>
      <c r="D41" s="34"/>
      <c r="E41" s="5"/>
    </row>
    <row r="42" spans="2:5" x14ac:dyDescent="0.25">
      <c r="B42" s="4"/>
      <c r="C42" s="34"/>
      <c r="D42" s="34"/>
      <c r="E42" s="5"/>
    </row>
    <row r="43" spans="2:5" x14ac:dyDescent="0.25">
      <c r="B43" s="4"/>
      <c r="C43" s="34"/>
      <c r="D43" s="34"/>
      <c r="E43" s="5"/>
    </row>
    <row r="44" spans="2:5" x14ac:dyDescent="0.25">
      <c r="B44" s="4"/>
      <c r="C44" s="34"/>
      <c r="D44" s="34"/>
      <c r="E44" s="5"/>
    </row>
    <row r="45" spans="2:5" x14ac:dyDescent="0.25">
      <c r="B45" s="4"/>
      <c r="C45" s="34"/>
      <c r="D45" s="34"/>
      <c r="E45" s="5"/>
    </row>
    <row r="46" spans="2:5" x14ac:dyDescent="0.25">
      <c r="B46" s="4"/>
      <c r="C46" s="34"/>
      <c r="D46" s="34"/>
      <c r="E46" s="5"/>
    </row>
    <row r="47" spans="2:5" x14ac:dyDescent="0.25">
      <c r="B47" s="4"/>
      <c r="C47" s="34"/>
      <c r="D47" s="34"/>
      <c r="E47" s="5"/>
    </row>
    <row r="48" spans="2:5" x14ac:dyDescent="0.25">
      <c r="B48" s="4"/>
      <c r="C48" s="34"/>
      <c r="D48" s="34"/>
      <c r="E48" s="5"/>
    </row>
    <row r="49" spans="2:5" x14ac:dyDescent="0.25">
      <c r="B49" s="4"/>
      <c r="C49" s="34"/>
      <c r="D49" s="34"/>
      <c r="E49" s="5"/>
    </row>
    <row r="50" spans="2:5" x14ac:dyDescent="0.25">
      <c r="B50" s="4"/>
      <c r="C50" s="34"/>
      <c r="D50" s="34"/>
      <c r="E50" s="5"/>
    </row>
    <row r="51" spans="2:5" x14ac:dyDescent="0.25">
      <c r="B51" s="4"/>
      <c r="C51" s="34"/>
      <c r="D51" s="34"/>
      <c r="E51" s="5"/>
    </row>
    <row r="52" spans="2:5" x14ac:dyDescent="0.25">
      <c r="B52" s="4"/>
      <c r="C52" s="34"/>
      <c r="D52" s="34"/>
      <c r="E52" s="5"/>
    </row>
    <row r="53" spans="2:5" x14ac:dyDescent="0.25">
      <c r="B53" s="4"/>
      <c r="C53" s="34"/>
      <c r="D53" s="34"/>
      <c r="E53" s="5"/>
    </row>
    <row r="54" spans="2:5" x14ac:dyDescent="0.25">
      <c r="B54" s="4"/>
      <c r="C54" s="34"/>
      <c r="D54" s="34"/>
      <c r="E54" s="5"/>
    </row>
    <row r="55" spans="2:5" x14ac:dyDescent="0.25">
      <c r="B55" s="4"/>
      <c r="C55" s="34"/>
      <c r="D55" s="34"/>
      <c r="E55" s="5"/>
    </row>
    <row r="56" spans="2:5" x14ac:dyDescent="0.25">
      <c r="B56" s="4"/>
      <c r="C56" s="34"/>
      <c r="D56" s="34"/>
      <c r="E56" s="5"/>
    </row>
    <row r="57" spans="2:5" x14ac:dyDescent="0.25">
      <c r="B57" s="4"/>
      <c r="C57" s="34"/>
      <c r="D57" s="34"/>
      <c r="E57" s="5"/>
    </row>
    <row r="58" spans="2:5" x14ac:dyDescent="0.25">
      <c r="B58" s="4"/>
      <c r="C58" s="34"/>
      <c r="D58" s="34"/>
      <c r="E58" s="5"/>
    </row>
    <row r="59" spans="2:5" x14ac:dyDescent="0.25">
      <c r="B59" s="4"/>
      <c r="C59" s="34"/>
      <c r="D59" s="34"/>
      <c r="E59" s="5"/>
    </row>
    <row r="60" spans="2:5" x14ac:dyDescent="0.25">
      <c r="B60" s="4"/>
      <c r="C60" s="34"/>
      <c r="D60" s="34"/>
      <c r="E60" s="5"/>
    </row>
  </sheetData>
  <mergeCells count="2">
    <mergeCell ref="H10:K10"/>
    <mergeCell ref="H18:K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556F-D731-4E98-9376-90EA0AD0B25F}">
  <dimension ref="B1:O375"/>
  <sheetViews>
    <sheetView showGridLines="0" zoomScale="130" zoomScaleNormal="130" workbookViewId="0">
      <selection activeCell="B26" sqref="B26"/>
    </sheetView>
  </sheetViews>
  <sheetFormatPr defaultRowHeight="15" x14ac:dyDescent="0.25"/>
  <cols>
    <col min="2" max="2" width="18.85546875" customWidth="1"/>
    <col min="3" max="3" width="11.7109375" customWidth="1"/>
    <col min="5" max="5" width="2" customWidth="1"/>
    <col min="6" max="6" width="17.85546875" hidden="1" customWidth="1"/>
    <col min="7" max="8" width="2.7109375" customWidth="1"/>
    <col min="9" max="9" width="4.7109375" customWidth="1"/>
    <col min="10" max="10" width="8.85546875" style="4"/>
    <col min="11" max="12" width="9.5703125" bestFit="1" customWidth="1"/>
    <col min="13" max="13" width="11" bestFit="1" customWidth="1"/>
    <col min="14" max="14" width="20.28515625" bestFit="1" customWidth="1"/>
    <col min="15" max="15" width="11.7109375" bestFit="1" customWidth="1"/>
  </cols>
  <sheetData>
    <row r="1" spans="2:15" ht="21" x14ac:dyDescent="0.35">
      <c r="B1" s="26" t="s">
        <v>46</v>
      </c>
      <c r="C1" s="10"/>
      <c r="D1" s="10"/>
      <c r="E1" s="10"/>
      <c r="F1" s="10"/>
      <c r="G1" s="10"/>
    </row>
    <row r="4" spans="2:15" x14ac:dyDescent="0.25">
      <c r="B4" t="s">
        <v>47</v>
      </c>
      <c r="C4" s="51">
        <v>400000</v>
      </c>
    </row>
    <row r="5" spans="2:15" x14ac:dyDescent="0.25">
      <c r="B5" t="s">
        <v>9</v>
      </c>
      <c r="C5" s="52">
        <v>30</v>
      </c>
      <c r="D5" s="4" t="s">
        <v>48</v>
      </c>
      <c r="E5" t="str">
        <f>C5*12 &amp; " Months"</f>
        <v>360 Months</v>
      </c>
    </row>
    <row r="6" spans="2:15" x14ac:dyDescent="0.25">
      <c r="B6" t="s">
        <v>2</v>
      </c>
      <c r="C6" s="53">
        <v>0.06</v>
      </c>
    </row>
    <row r="8" spans="2:15" x14ac:dyDescent="0.25">
      <c r="B8" s="1" t="s">
        <v>6</v>
      </c>
      <c r="C8" s="54">
        <f>PMT(APR/12, Loan_Term_Years*12, -Loan_Amount)</f>
        <v>2398.2021006110094</v>
      </c>
      <c r="D8" s="6"/>
    </row>
    <row r="10" spans="2:15" x14ac:dyDescent="0.25">
      <c r="B10" s="1" t="s">
        <v>49</v>
      </c>
      <c r="C10" s="33">
        <v>200</v>
      </c>
    </row>
    <row r="11" spans="2:15" x14ac:dyDescent="0.25">
      <c r="J11" s="55" t="s">
        <v>50</v>
      </c>
      <c r="K11" s="56"/>
      <c r="L11" s="56"/>
      <c r="M11" s="56"/>
      <c r="N11" s="56"/>
      <c r="O11" s="56"/>
    </row>
    <row r="12" spans="2:15" x14ac:dyDescent="0.25">
      <c r="B12" s="57" t="s">
        <v>51</v>
      </c>
      <c r="C12" s="58">
        <f>NPER(APR/12, Monthly_Payment+Additional_Payment, -Loan_Amount)</f>
        <v>294.4629782138316</v>
      </c>
      <c r="D12" t="s">
        <v>52</v>
      </c>
      <c r="J12" s="59"/>
      <c r="K12" s="56"/>
      <c r="L12" s="56"/>
      <c r="M12" s="56"/>
      <c r="N12" s="56"/>
      <c r="O12" s="56"/>
    </row>
    <row r="13" spans="2:15" x14ac:dyDescent="0.25">
      <c r="B13" t="s">
        <v>53</v>
      </c>
      <c r="C13" s="60">
        <f>Loan_Term_Years*12-C12</f>
        <v>65.537021786168395</v>
      </c>
      <c r="D13" t="s">
        <v>52</v>
      </c>
    </row>
    <row r="14" spans="2:15" ht="45" x14ac:dyDescent="0.25">
      <c r="B14" s="29" t="s">
        <v>54</v>
      </c>
      <c r="C14" s="60">
        <f>C13/12</f>
        <v>5.4614184821806999</v>
      </c>
      <c r="D14" t="s">
        <v>5</v>
      </c>
      <c r="J14" s="61" t="s">
        <v>55</v>
      </c>
      <c r="K14" s="61" t="s">
        <v>21</v>
      </c>
      <c r="L14" s="61" t="s">
        <v>22</v>
      </c>
      <c r="M14" s="61" t="s">
        <v>42</v>
      </c>
      <c r="N14" s="62" t="s">
        <v>56</v>
      </c>
      <c r="O14" s="62" t="s">
        <v>57</v>
      </c>
    </row>
    <row r="15" spans="2:15" x14ac:dyDescent="0.25">
      <c r="J15" s="4">
        <v>0</v>
      </c>
      <c r="M15" s="33">
        <f>C4</f>
        <v>400000</v>
      </c>
      <c r="N15" s="33">
        <f>M15</f>
        <v>400000</v>
      </c>
    </row>
    <row r="16" spans="2:15" x14ac:dyDescent="0.25">
      <c r="J16" s="4">
        <v>1</v>
      </c>
      <c r="K16" s="34">
        <f t="shared" ref="K16:K79" si="0">-IPMT(APR/12, Month,  Loan_Term_Years*12, Loan_Amount)</f>
        <v>2000</v>
      </c>
      <c r="L16" s="34">
        <f t="shared" ref="L16:L79" si="1">-PPMT(APR/12, Month,  Loan_Term_Years*12, Loan_Amount)</f>
        <v>398.20210061100937</v>
      </c>
      <c r="M16" s="5">
        <f t="shared" ref="M16:M79" si="2">FV(APR/12, Month, Monthly_Payment, -Loan_Amount)</f>
        <v>399601.797899389</v>
      </c>
      <c r="N16" s="5">
        <f t="shared" ref="N16:N79" si="3">N15+N15*APR/12 - (Monthly_Payment+Additional_Payment)</f>
        <v>399401.797899389</v>
      </c>
      <c r="O16" s="34">
        <f>M16-N16</f>
        <v>200</v>
      </c>
    </row>
    <row r="17" spans="2:15" x14ac:dyDescent="0.25">
      <c r="B17" s="57" t="s">
        <v>58</v>
      </c>
      <c r="C17" s="54">
        <f>Additional_Payment*C12</f>
        <v>58892.595642766319</v>
      </c>
      <c r="I17" s="5"/>
      <c r="J17" s="4">
        <v>2</v>
      </c>
      <c r="K17" s="34">
        <f t="shared" si="0"/>
        <v>1998.0089894969451</v>
      </c>
      <c r="L17" s="34">
        <f t="shared" si="1"/>
        <v>400.19311111406438</v>
      </c>
      <c r="M17" s="5">
        <f t="shared" si="2"/>
        <v>399201.60478827491</v>
      </c>
      <c r="N17" s="5">
        <f t="shared" si="3"/>
        <v>398800.60478827497</v>
      </c>
      <c r="O17" s="34">
        <f>M17-N17</f>
        <v>400.99999999994179</v>
      </c>
    </row>
    <row r="18" spans="2:15" x14ac:dyDescent="0.25">
      <c r="B18" s="63" t="s">
        <v>59</v>
      </c>
      <c r="C18" s="54">
        <f>Monthly_Payment*C13</f>
        <v>157171.02331537852</v>
      </c>
      <c r="J18" s="4">
        <v>3</v>
      </c>
      <c r="K18" s="34">
        <f t="shared" si="0"/>
        <v>1996.0080239413746</v>
      </c>
      <c r="L18" s="34">
        <f t="shared" si="1"/>
        <v>402.19407666963474</v>
      </c>
      <c r="M18" s="5">
        <f t="shared" si="2"/>
        <v>398799.41071160533</v>
      </c>
      <c r="N18" s="5">
        <f t="shared" si="3"/>
        <v>398196.40571160533</v>
      </c>
      <c r="O18" s="34">
        <f t="shared" ref="O18:O81" si="4">M18-N18</f>
        <v>603.00500000000466</v>
      </c>
    </row>
    <row r="19" spans="2:15" ht="30.6" customHeight="1" x14ac:dyDescent="0.25">
      <c r="J19" s="4">
        <v>4</v>
      </c>
      <c r="K19" s="34">
        <f t="shared" si="0"/>
        <v>1993.9970535580264</v>
      </c>
      <c r="L19" s="34">
        <f t="shared" si="1"/>
        <v>404.20504705298293</v>
      </c>
      <c r="M19" s="5">
        <f t="shared" si="2"/>
        <v>398395.2056645524</v>
      </c>
      <c r="N19" s="5">
        <f t="shared" si="3"/>
        <v>397589.18563955236</v>
      </c>
      <c r="O19" s="34">
        <f t="shared" si="4"/>
        <v>806.02002500003437</v>
      </c>
    </row>
    <row r="20" spans="2:15" x14ac:dyDescent="0.25">
      <c r="B20" s="1" t="s">
        <v>49</v>
      </c>
      <c r="C20" s="64">
        <f>C14</f>
        <v>5.4614184821806999</v>
      </c>
      <c r="D20" s="65"/>
      <c r="J20" s="4">
        <v>5</v>
      </c>
      <c r="K20" s="34">
        <f t="shared" si="0"/>
        <v>1991.9760283227615</v>
      </c>
      <c r="L20" s="34">
        <f t="shared" si="1"/>
        <v>406.22607228824785</v>
      </c>
      <c r="M20" s="5">
        <f t="shared" si="2"/>
        <v>397988.97959226411</v>
      </c>
      <c r="N20" s="5">
        <f t="shared" si="3"/>
        <v>396978.92946713913</v>
      </c>
      <c r="O20" s="34">
        <f t="shared" si="4"/>
        <v>1010.0501251249807</v>
      </c>
    </row>
    <row r="21" spans="2:15" x14ac:dyDescent="0.25">
      <c r="B21">
        <v>0</v>
      </c>
      <c r="C21" s="66">
        <f t="dataTable" ref="C21:C25" dt2D="0" dtr="0" r1="C10"/>
        <v>-6.442254137558242E-13</v>
      </c>
      <c r="D21" s="34"/>
      <c r="J21" s="4">
        <v>6</v>
      </c>
      <c r="K21" s="34">
        <f t="shared" si="0"/>
        <v>1989.9448979613203</v>
      </c>
      <c r="L21" s="34">
        <f t="shared" si="1"/>
        <v>408.25720264968913</v>
      </c>
      <c r="M21" s="5">
        <f t="shared" si="2"/>
        <v>397580.72238961444</v>
      </c>
      <c r="N21" s="5">
        <f t="shared" si="3"/>
        <v>396365.62201386382</v>
      </c>
      <c r="O21" s="34">
        <f t="shared" si="4"/>
        <v>1215.100375750626</v>
      </c>
    </row>
    <row r="22" spans="2:15" x14ac:dyDescent="0.25">
      <c r="B22">
        <v>100</v>
      </c>
      <c r="C22" s="66">
        <v>3.0608629256108437</v>
      </c>
      <c r="D22" s="34"/>
      <c r="J22" s="4">
        <v>7</v>
      </c>
      <c r="K22" s="34">
        <f t="shared" si="0"/>
        <v>1987.9036119480718</v>
      </c>
      <c r="L22" s="34">
        <f t="shared" si="1"/>
        <v>410.29848866293753</v>
      </c>
      <c r="M22" s="5">
        <f t="shared" si="2"/>
        <v>397170.42390095151</v>
      </c>
      <c r="N22" s="5">
        <f t="shared" si="3"/>
        <v>395749.24802332214</v>
      </c>
      <c r="O22" s="34">
        <f t="shared" si="4"/>
        <v>1421.1758776293718</v>
      </c>
    </row>
    <row r="23" spans="2:15" x14ac:dyDescent="0.25">
      <c r="B23">
        <v>200</v>
      </c>
      <c r="C23" s="66">
        <v>5.4614184821806999</v>
      </c>
      <c r="J23" s="4">
        <v>8</v>
      </c>
      <c r="K23" s="34">
        <f t="shared" si="0"/>
        <v>1985.852119504757</v>
      </c>
      <c r="L23" s="34">
        <f t="shared" si="1"/>
        <v>412.34998110625224</v>
      </c>
      <c r="M23" s="5">
        <f t="shared" si="2"/>
        <v>396758.07391984528</v>
      </c>
      <c r="N23" s="5">
        <f t="shared" si="3"/>
        <v>395129.79216282774</v>
      </c>
      <c r="O23" s="34">
        <f t="shared" si="4"/>
        <v>1628.2817570175393</v>
      </c>
    </row>
    <row r="24" spans="2:15" x14ac:dyDescent="0.25">
      <c r="B24">
        <v>250</v>
      </c>
      <c r="C24" s="66">
        <v>6.4841772640420219</v>
      </c>
      <c r="J24" s="4">
        <v>9</v>
      </c>
      <c r="K24" s="34">
        <f t="shared" si="0"/>
        <v>1983.7903695992259</v>
      </c>
      <c r="L24" s="34">
        <f t="shared" si="1"/>
        <v>414.4117310117835</v>
      </c>
      <c r="M24" s="5">
        <f t="shared" si="2"/>
        <v>396343.66218883346</v>
      </c>
      <c r="N24" s="5">
        <f t="shared" si="3"/>
        <v>394507.23902303085</v>
      </c>
      <c r="O24" s="34">
        <f t="shared" si="4"/>
        <v>1836.423165802611</v>
      </c>
    </row>
    <row r="25" spans="2:15" x14ac:dyDescent="0.25">
      <c r="B25">
        <v>500</v>
      </c>
      <c r="C25" s="66">
        <v>10.427050807885287</v>
      </c>
      <c r="J25" s="4">
        <v>10</v>
      </c>
      <c r="K25" s="34">
        <f t="shared" si="0"/>
        <v>1981.7183109441669</v>
      </c>
      <c r="L25" s="34">
        <f t="shared" si="1"/>
        <v>416.48378966684243</v>
      </c>
      <c r="M25" s="5">
        <f t="shared" si="2"/>
        <v>395927.17839916667</v>
      </c>
      <c r="N25" s="5">
        <f t="shared" si="3"/>
        <v>393881.57311753498</v>
      </c>
      <c r="O25" s="34">
        <f t="shared" si="4"/>
        <v>2045.6052816316951</v>
      </c>
    </row>
    <row r="26" spans="2:15" x14ac:dyDescent="0.25">
      <c r="J26" s="4">
        <v>11</v>
      </c>
      <c r="K26" s="34">
        <f t="shared" si="0"/>
        <v>1979.6358919958325</v>
      </c>
      <c r="L26" s="34">
        <f t="shared" si="1"/>
        <v>418.56620861517661</v>
      </c>
      <c r="M26" s="5">
        <f t="shared" si="2"/>
        <v>395508.61219055153</v>
      </c>
      <c r="N26" s="5">
        <f t="shared" si="3"/>
        <v>393252.77888251166</v>
      </c>
      <c r="O26" s="34">
        <f t="shared" si="4"/>
        <v>2255.8333080398734</v>
      </c>
    </row>
    <row r="27" spans="2:15" x14ac:dyDescent="0.25">
      <c r="J27" s="4">
        <v>12</v>
      </c>
      <c r="K27" s="34">
        <f t="shared" si="0"/>
        <v>1977.5430609527568</v>
      </c>
      <c r="L27" s="34">
        <f t="shared" si="1"/>
        <v>420.65903965825242</v>
      </c>
      <c r="M27" s="5">
        <f t="shared" si="2"/>
        <v>395087.95315089327</v>
      </c>
      <c r="N27" s="5">
        <f t="shared" si="3"/>
        <v>392620.84067631321</v>
      </c>
      <c r="O27" s="34">
        <f t="shared" si="4"/>
        <v>2467.1124745800626</v>
      </c>
    </row>
    <row r="28" spans="2:15" x14ac:dyDescent="0.25">
      <c r="J28" s="4">
        <v>13</v>
      </c>
      <c r="K28" s="34">
        <f t="shared" si="0"/>
        <v>1975.4397657544655</v>
      </c>
      <c r="L28" s="34">
        <f t="shared" si="1"/>
        <v>422.76233485654376</v>
      </c>
      <c r="M28" s="5">
        <f t="shared" si="2"/>
        <v>394665.19081603672</v>
      </c>
      <c r="N28" s="5">
        <f t="shared" si="3"/>
        <v>391985.74277908378</v>
      </c>
      <c r="O28" s="34">
        <f t="shared" si="4"/>
        <v>2679.4480369529338</v>
      </c>
    </row>
    <row r="29" spans="2:15" x14ac:dyDescent="0.25">
      <c r="J29" s="4">
        <v>14</v>
      </c>
      <c r="K29" s="34">
        <f t="shared" si="0"/>
        <v>1973.325954080183</v>
      </c>
      <c r="L29" s="34">
        <f t="shared" si="1"/>
        <v>424.87614653082636</v>
      </c>
      <c r="M29" s="5">
        <f t="shared" si="2"/>
        <v>394240.31466950598</v>
      </c>
      <c r="N29" s="5">
        <f t="shared" si="3"/>
        <v>391347.46939236822</v>
      </c>
      <c r="O29" s="34">
        <f t="shared" si="4"/>
        <v>2892.8452771377633</v>
      </c>
    </row>
    <row r="30" spans="2:15" x14ac:dyDescent="0.25">
      <c r="J30" s="4">
        <v>15</v>
      </c>
      <c r="K30" s="34">
        <f t="shared" si="0"/>
        <v>1971.2015733475284</v>
      </c>
      <c r="L30" s="34">
        <f t="shared" si="1"/>
        <v>427.00052726348065</v>
      </c>
      <c r="M30" s="5">
        <f t="shared" si="2"/>
        <v>393813.31414224248</v>
      </c>
      <c r="N30" s="5">
        <f t="shared" si="3"/>
        <v>390706.00463871908</v>
      </c>
      <c r="O30" s="34">
        <f t="shared" si="4"/>
        <v>3107.3095035234001</v>
      </c>
    </row>
    <row r="31" spans="2:15" x14ac:dyDescent="0.25">
      <c r="J31" s="4">
        <v>16</v>
      </c>
      <c r="K31" s="34">
        <f t="shared" si="0"/>
        <v>1969.0665707112114</v>
      </c>
      <c r="L31" s="34">
        <f t="shared" si="1"/>
        <v>429.13552989979792</v>
      </c>
      <c r="M31" s="5">
        <f t="shared" si="2"/>
        <v>393384.17861234269</v>
      </c>
      <c r="N31" s="5">
        <f t="shared" si="3"/>
        <v>390061.33256130165</v>
      </c>
      <c r="O31" s="34">
        <f t="shared" si="4"/>
        <v>3322.8460510410368</v>
      </c>
    </row>
    <row r="32" spans="2:15" x14ac:dyDescent="0.25">
      <c r="J32" s="4">
        <v>17</v>
      </c>
      <c r="K32" s="34">
        <f t="shared" si="0"/>
        <v>1966.9208930617124</v>
      </c>
      <c r="L32" s="34">
        <f t="shared" si="1"/>
        <v>431.28120754929699</v>
      </c>
      <c r="M32" s="5">
        <f t="shared" si="2"/>
        <v>392952.89740479342</v>
      </c>
      <c r="N32" s="5">
        <f t="shared" si="3"/>
        <v>389413.43712349713</v>
      </c>
      <c r="O32" s="34">
        <f t="shared" si="4"/>
        <v>3539.4602812962839</v>
      </c>
    </row>
    <row r="33" spans="10:15" x14ac:dyDescent="0.25">
      <c r="J33" s="4">
        <v>18</v>
      </c>
      <c r="K33" s="34">
        <f t="shared" si="0"/>
        <v>1964.7644870239656</v>
      </c>
      <c r="L33" s="34">
        <f t="shared" si="1"/>
        <v>433.43761358704347</v>
      </c>
      <c r="M33" s="5">
        <f t="shared" si="2"/>
        <v>392519.45979120641</v>
      </c>
      <c r="N33" s="5">
        <f t="shared" si="3"/>
        <v>388762.30220850359</v>
      </c>
      <c r="O33" s="34">
        <f t="shared" si="4"/>
        <v>3757.1575827028137</v>
      </c>
    </row>
    <row r="34" spans="10:15" x14ac:dyDescent="0.25">
      <c r="J34" s="4">
        <v>19</v>
      </c>
      <c r="K34" s="34">
        <f t="shared" si="0"/>
        <v>1962.5972989560305</v>
      </c>
      <c r="L34" s="34">
        <f t="shared" si="1"/>
        <v>435.60480165497876</v>
      </c>
      <c r="M34" s="5">
        <f t="shared" si="2"/>
        <v>392083.85498955142</v>
      </c>
      <c r="N34" s="5">
        <f t="shared" si="3"/>
        <v>388107.91161893512</v>
      </c>
      <c r="O34" s="34">
        <f t="shared" si="4"/>
        <v>3975.9433706162963</v>
      </c>
    </row>
    <row r="35" spans="10:15" x14ac:dyDescent="0.25">
      <c r="J35" s="4">
        <v>20</v>
      </c>
      <c r="K35" s="34">
        <f t="shared" si="0"/>
        <v>1960.4192749477556</v>
      </c>
      <c r="L35" s="34">
        <f t="shared" si="1"/>
        <v>437.78282566325362</v>
      </c>
      <c r="M35" s="5">
        <f t="shared" si="2"/>
        <v>391646.07216388814</v>
      </c>
      <c r="N35" s="5">
        <f t="shared" si="3"/>
        <v>387450.24907641881</v>
      </c>
      <c r="O35" s="34">
        <f t="shared" si="4"/>
        <v>4195.8230874693254</v>
      </c>
    </row>
    <row r="36" spans="10:15" x14ac:dyDescent="0.25">
      <c r="J36" s="4">
        <v>21</v>
      </c>
      <c r="K36" s="34">
        <f t="shared" si="0"/>
        <v>1958.2303608194395</v>
      </c>
      <c r="L36" s="34">
        <f t="shared" si="1"/>
        <v>439.97173979156992</v>
      </c>
      <c r="M36" s="5">
        <f t="shared" si="2"/>
        <v>391206.10042409663</v>
      </c>
      <c r="N36" s="5">
        <f t="shared" si="3"/>
        <v>386789.29822118988</v>
      </c>
      <c r="O36" s="34">
        <f t="shared" si="4"/>
        <v>4416.8022029067506</v>
      </c>
    </row>
    <row r="37" spans="10:15" x14ac:dyDescent="0.25">
      <c r="J37" s="4">
        <v>22</v>
      </c>
      <c r="K37" s="34">
        <f t="shared" si="0"/>
        <v>1956.0305021204817</v>
      </c>
      <c r="L37" s="34">
        <f t="shared" si="1"/>
        <v>442.17159849052769</v>
      </c>
      <c r="M37" s="5">
        <f t="shared" si="2"/>
        <v>390763.92882560613</v>
      </c>
      <c r="N37" s="5">
        <f t="shared" si="3"/>
        <v>386125.04261168482</v>
      </c>
      <c r="O37" s="34">
        <f t="shared" si="4"/>
        <v>4638.8862139213015</v>
      </c>
    </row>
    <row r="38" spans="10:15" x14ac:dyDescent="0.25">
      <c r="J38" s="4">
        <v>23</v>
      </c>
      <c r="K38" s="34">
        <f t="shared" si="0"/>
        <v>1953.8196441280288</v>
      </c>
      <c r="L38" s="34">
        <f t="shared" si="1"/>
        <v>444.38245648298044</v>
      </c>
      <c r="M38" s="5">
        <f t="shared" si="2"/>
        <v>390319.54636912316</v>
      </c>
      <c r="N38" s="5">
        <f t="shared" si="3"/>
        <v>385457.46572413226</v>
      </c>
      <c r="O38" s="34">
        <f t="shared" si="4"/>
        <v>4862.0806449908996</v>
      </c>
    </row>
    <row r="39" spans="10:15" x14ac:dyDescent="0.25">
      <c r="J39" s="4">
        <v>24</v>
      </c>
      <c r="K39" s="34">
        <f t="shared" si="0"/>
        <v>1951.5977318456141</v>
      </c>
      <c r="L39" s="34">
        <f t="shared" si="1"/>
        <v>446.60436876539529</v>
      </c>
      <c r="M39" s="5">
        <f t="shared" si="2"/>
        <v>389872.94200035773</v>
      </c>
      <c r="N39" s="5">
        <f t="shared" si="3"/>
        <v>384786.55095214193</v>
      </c>
      <c r="O39" s="34">
        <f t="shared" si="4"/>
        <v>5086.3910482157953</v>
      </c>
    </row>
    <row r="40" spans="10:15" x14ac:dyDescent="0.25">
      <c r="J40" s="4">
        <v>25</v>
      </c>
      <c r="K40" s="34">
        <f t="shared" si="0"/>
        <v>1949.364710001787</v>
      </c>
      <c r="L40" s="34">
        <f t="shared" si="1"/>
        <v>448.83739060922221</v>
      </c>
      <c r="M40" s="5">
        <f t="shared" si="2"/>
        <v>389424.10460974852</v>
      </c>
      <c r="N40" s="5">
        <f t="shared" si="3"/>
        <v>384112.28160629165</v>
      </c>
      <c r="O40" s="34">
        <f t="shared" si="4"/>
        <v>5311.8230034568696</v>
      </c>
    </row>
    <row r="41" spans="10:15" x14ac:dyDescent="0.25">
      <c r="J41" s="4">
        <v>26</v>
      </c>
      <c r="K41" s="34">
        <f t="shared" si="0"/>
        <v>1947.120523048741</v>
      </c>
      <c r="L41" s="34">
        <f t="shared" si="1"/>
        <v>451.08157756226836</v>
      </c>
      <c r="M41" s="5">
        <f t="shared" si="2"/>
        <v>388973.02303218632</v>
      </c>
      <c r="N41" s="5">
        <f t="shared" si="3"/>
        <v>383434.64091371209</v>
      </c>
      <c r="O41" s="34">
        <f t="shared" si="4"/>
        <v>5538.3821184742264</v>
      </c>
    </row>
    <row r="42" spans="10:15" x14ac:dyDescent="0.25">
      <c r="J42" s="4">
        <v>27</v>
      </c>
      <c r="K42" s="34">
        <f t="shared" si="0"/>
        <v>1944.8651151609297</v>
      </c>
      <c r="L42" s="34">
        <f t="shared" si="1"/>
        <v>453.33698545007968</v>
      </c>
      <c r="M42" s="5">
        <f t="shared" si="2"/>
        <v>388519.68604673626</v>
      </c>
      <c r="N42" s="5">
        <f t="shared" si="3"/>
        <v>382753.61201766966</v>
      </c>
      <c r="O42" s="34">
        <f t="shared" si="4"/>
        <v>5766.0740290665999</v>
      </c>
    </row>
    <row r="43" spans="10:15" x14ac:dyDescent="0.25">
      <c r="J43" s="4">
        <v>28</v>
      </c>
      <c r="K43" s="34">
        <f t="shared" si="0"/>
        <v>1942.598430233679</v>
      </c>
      <c r="L43" s="34">
        <f t="shared" si="1"/>
        <v>455.60367037733005</v>
      </c>
      <c r="M43" s="5">
        <f t="shared" si="2"/>
        <v>388064.08237635891</v>
      </c>
      <c r="N43" s="5">
        <f t="shared" si="3"/>
        <v>382069.17797714699</v>
      </c>
      <c r="O43" s="34">
        <f t="shared" si="4"/>
        <v>5994.9043992119259</v>
      </c>
    </row>
    <row r="44" spans="10:15" x14ac:dyDescent="0.25">
      <c r="J44" s="4">
        <v>29</v>
      </c>
      <c r="K44" s="34">
        <f t="shared" si="0"/>
        <v>1940.3204118817926</v>
      </c>
      <c r="L44" s="34">
        <f t="shared" si="1"/>
        <v>457.88168872921671</v>
      </c>
      <c r="M44" s="5">
        <f t="shared" si="2"/>
        <v>387606.20068762969</v>
      </c>
      <c r="N44" s="5">
        <f t="shared" si="3"/>
        <v>381381.32176642172</v>
      </c>
      <c r="O44" s="34">
        <f t="shared" si="4"/>
        <v>6224.8789212079719</v>
      </c>
    </row>
    <row r="45" spans="10:15" x14ac:dyDescent="0.25">
      <c r="J45" s="4">
        <v>30</v>
      </c>
      <c r="K45" s="34">
        <f t="shared" si="0"/>
        <v>1938.0310034381464</v>
      </c>
      <c r="L45" s="34">
        <f t="shared" si="1"/>
        <v>460.1710971728628</v>
      </c>
      <c r="M45" s="5">
        <f t="shared" si="2"/>
        <v>387146.02959045686</v>
      </c>
      <c r="N45" s="5">
        <f t="shared" si="3"/>
        <v>380690.02627464285</v>
      </c>
      <c r="O45" s="34">
        <f t="shared" si="4"/>
        <v>6456.0033158140141</v>
      </c>
    </row>
    <row r="46" spans="10:15" x14ac:dyDescent="0.25">
      <c r="J46" s="4">
        <v>31</v>
      </c>
      <c r="K46" s="34">
        <f t="shared" si="0"/>
        <v>1935.7301479522821</v>
      </c>
      <c r="L46" s="34">
        <f t="shared" si="1"/>
        <v>462.47195265872716</v>
      </c>
      <c r="M46" s="5">
        <f t="shared" si="2"/>
        <v>386683.55763779819</v>
      </c>
      <c r="N46" s="5">
        <f t="shared" si="3"/>
        <v>379995.27430540504</v>
      </c>
      <c r="O46" s="34">
        <f t="shared" si="4"/>
        <v>6688.2833323931554</v>
      </c>
    </row>
    <row r="47" spans="10:15" x14ac:dyDescent="0.25">
      <c r="J47" s="4">
        <v>32</v>
      </c>
      <c r="K47" s="34">
        <f t="shared" si="0"/>
        <v>1933.4177881889887</v>
      </c>
      <c r="L47" s="34">
        <f t="shared" si="1"/>
        <v>464.78431242202078</v>
      </c>
      <c r="M47" s="5">
        <f t="shared" si="2"/>
        <v>386218.77332537621</v>
      </c>
      <c r="N47" s="5">
        <f t="shared" si="3"/>
        <v>379297.04857632105</v>
      </c>
      <c r="O47" s="34">
        <f t="shared" si="4"/>
        <v>6921.7247490551672</v>
      </c>
    </row>
    <row r="48" spans="10:15" x14ac:dyDescent="0.25">
      <c r="J48" s="4">
        <v>33</v>
      </c>
      <c r="K48" s="34">
        <f t="shared" si="0"/>
        <v>1931.0938666268785</v>
      </c>
      <c r="L48" s="34">
        <f t="shared" si="1"/>
        <v>467.10823398413089</v>
      </c>
      <c r="M48" s="5">
        <f t="shared" si="2"/>
        <v>385751.66509139206</v>
      </c>
      <c r="N48" s="5">
        <f t="shared" si="3"/>
        <v>378595.33171859162</v>
      </c>
      <c r="O48" s="34">
        <f t="shared" si="4"/>
        <v>7156.3333728004363</v>
      </c>
    </row>
    <row r="49" spans="10:15" x14ac:dyDescent="0.25">
      <c r="J49" s="4">
        <v>34</v>
      </c>
      <c r="K49" s="34">
        <f t="shared" si="0"/>
        <v>1928.7583254569577</v>
      </c>
      <c r="L49" s="34">
        <f t="shared" si="1"/>
        <v>469.44377515405154</v>
      </c>
      <c r="M49" s="5">
        <f t="shared" si="2"/>
        <v>385282.22131623805</v>
      </c>
      <c r="N49" s="5">
        <f t="shared" si="3"/>
        <v>377890.10627657356</v>
      </c>
      <c r="O49" s="34">
        <f t="shared" si="4"/>
        <v>7392.1150396644953</v>
      </c>
    </row>
    <row r="50" spans="10:15" x14ac:dyDescent="0.25">
      <c r="J50" s="4">
        <v>35</v>
      </c>
      <c r="K50" s="34">
        <f t="shared" si="0"/>
        <v>1926.4111065811876</v>
      </c>
      <c r="L50" s="34">
        <f t="shared" si="1"/>
        <v>471.79099402982183</v>
      </c>
      <c r="M50" s="5">
        <f t="shared" si="2"/>
        <v>384810.43032220821</v>
      </c>
      <c r="N50" s="5">
        <f t="shared" si="3"/>
        <v>377181.35470734542</v>
      </c>
      <c r="O50" s="34">
        <f t="shared" si="4"/>
        <v>7629.0756148627843</v>
      </c>
    </row>
    <row r="51" spans="10:15" x14ac:dyDescent="0.25">
      <c r="J51" s="4">
        <v>36</v>
      </c>
      <c r="K51" s="34">
        <f t="shared" si="0"/>
        <v>1924.0521516110384</v>
      </c>
      <c r="L51" s="34">
        <f t="shared" si="1"/>
        <v>474.14994899997089</v>
      </c>
      <c r="M51" s="5">
        <f t="shared" si="2"/>
        <v>384336.28037320822</v>
      </c>
      <c r="N51" s="5">
        <f t="shared" si="3"/>
        <v>376469.05938027112</v>
      </c>
      <c r="O51" s="34">
        <f t="shared" si="4"/>
        <v>7867.220992937102</v>
      </c>
    </row>
    <row r="52" spans="10:15" x14ac:dyDescent="0.25">
      <c r="J52" s="4">
        <v>37</v>
      </c>
      <c r="K52" s="34">
        <f t="shared" si="0"/>
        <v>1921.6814018660386</v>
      </c>
      <c r="L52" s="34">
        <f t="shared" si="1"/>
        <v>476.52069874497073</v>
      </c>
      <c r="M52" s="5">
        <f t="shared" si="2"/>
        <v>383859.7596744633</v>
      </c>
      <c r="N52" s="5">
        <f t="shared" si="3"/>
        <v>375753.20257656148</v>
      </c>
      <c r="O52" s="34">
        <f t="shared" si="4"/>
        <v>8106.557097901823</v>
      </c>
    </row>
    <row r="53" spans="10:15" x14ac:dyDescent="0.25">
      <c r="J53" s="4">
        <v>38</v>
      </c>
      <c r="K53" s="34">
        <f t="shared" si="0"/>
        <v>1919.2987983723137</v>
      </c>
      <c r="L53" s="34">
        <f t="shared" si="1"/>
        <v>478.90330223869557</v>
      </c>
      <c r="M53" s="5">
        <f t="shared" si="2"/>
        <v>383380.85637222463</v>
      </c>
      <c r="N53" s="5">
        <f t="shared" si="3"/>
        <v>375033.76648883329</v>
      </c>
      <c r="O53" s="34">
        <f t="shared" si="4"/>
        <v>8347.0898833913379</v>
      </c>
    </row>
    <row r="54" spans="10:15" x14ac:dyDescent="0.25">
      <c r="J54" s="4">
        <v>39</v>
      </c>
      <c r="K54" s="34">
        <f t="shared" si="0"/>
        <v>1916.9042818611204</v>
      </c>
      <c r="L54" s="34">
        <f t="shared" si="1"/>
        <v>481.29781874988913</v>
      </c>
      <c r="M54" s="5">
        <f t="shared" si="2"/>
        <v>382899.55855347478</v>
      </c>
      <c r="N54" s="5">
        <f t="shared" si="3"/>
        <v>374310.73322066647</v>
      </c>
      <c r="O54" s="34">
        <f t="shared" si="4"/>
        <v>8588.8253328083083</v>
      </c>
    </row>
    <row r="55" spans="10:15" x14ac:dyDescent="0.25">
      <c r="J55" s="4">
        <v>40</v>
      </c>
      <c r="K55" s="34">
        <f t="shared" si="0"/>
        <v>1914.4977927673708</v>
      </c>
      <c r="L55" s="34">
        <f t="shared" si="1"/>
        <v>483.70430784363845</v>
      </c>
      <c r="M55" s="5">
        <f t="shared" si="2"/>
        <v>382415.85424563114</v>
      </c>
      <c r="N55" s="5">
        <f t="shared" si="3"/>
        <v>373584.08478615881</v>
      </c>
      <c r="O55" s="34">
        <f t="shared" si="4"/>
        <v>8831.7694594723289</v>
      </c>
    </row>
    <row r="56" spans="10:15" x14ac:dyDescent="0.25">
      <c r="J56" s="4">
        <v>41</v>
      </c>
      <c r="K56" s="34">
        <f t="shared" si="0"/>
        <v>1912.0792712281525</v>
      </c>
      <c r="L56" s="34">
        <f t="shared" si="1"/>
        <v>486.12282938285671</v>
      </c>
      <c r="M56" s="5">
        <f t="shared" si="2"/>
        <v>381929.73141624825</v>
      </c>
      <c r="N56" s="5">
        <f t="shared" si="3"/>
        <v>372853.80310947861</v>
      </c>
      <c r="O56" s="34">
        <f t="shared" si="4"/>
        <v>9075.9283067696379</v>
      </c>
    </row>
    <row r="57" spans="10:15" x14ac:dyDescent="0.25">
      <c r="J57" s="4">
        <v>42</v>
      </c>
      <c r="K57" s="34">
        <f t="shared" si="0"/>
        <v>1909.6486570812381</v>
      </c>
      <c r="L57" s="34">
        <f t="shared" si="1"/>
        <v>488.55344352977096</v>
      </c>
      <c r="M57" s="5">
        <f t="shared" si="2"/>
        <v>381441.17797271849</v>
      </c>
      <c r="N57" s="5">
        <f t="shared" si="3"/>
        <v>372119.87002441502</v>
      </c>
      <c r="O57" s="34">
        <f t="shared" si="4"/>
        <v>9321.3079483034671</v>
      </c>
    </row>
    <row r="58" spans="10:15" x14ac:dyDescent="0.25">
      <c r="J58" s="4">
        <v>43</v>
      </c>
      <c r="K58" s="34">
        <f t="shared" si="0"/>
        <v>1907.2058898635894</v>
      </c>
      <c r="L58" s="34">
        <f t="shared" si="1"/>
        <v>490.99621074741992</v>
      </c>
      <c r="M58" s="5">
        <f t="shared" si="2"/>
        <v>380950.18176197115</v>
      </c>
      <c r="N58" s="5">
        <f t="shared" si="3"/>
        <v>371382.26727392612</v>
      </c>
      <c r="O58" s="34">
        <f t="shared" si="4"/>
        <v>9567.9144880450331</v>
      </c>
    </row>
    <row r="59" spans="10:15" x14ac:dyDescent="0.25">
      <c r="J59" s="4">
        <v>44</v>
      </c>
      <c r="K59" s="34">
        <f t="shared" si="0"/>
        <v>1904.7509088098523</v>
      </c>
      <c r="L59" s="34">
        <f t="shared" si="1"/>
        <v>493.45119180115699</v>
      </c>
      <c r="M59" s="5">
        <f t="shared" si="2"/>
        <v>380456.73057016998</v>
      </c>
      <c r="N59" s="5">
        <f t="shared" si="3"/>
        <v>370640.97650968476</v>
      </c>
      <c r="O59" s="34">
        <f t="shared" si="4"/>
        <v>9815.7540604852256</v>
      </c>
    </row>
    <row r="60" spans="10:15" x14ac:dyDescent="0.25">
      <c r="J60" s="4">
        <v>45</v>
      </c>
      <c r="K60" s="34">
        <f t="shared" si="0"/>
        <v>1902.2836528508465</v>
      </c>
      <c r="L60" s="34">
        <f t="shared" si="1"/>
        <v>495.91844776016285</v>
      </c>
      <c r="M60" s="5">
        <f t="shared" si="2"/>
        <v>379960.81212240981</v>
      </c>
      <c r="N60" s="5">
        <f t="shared" si="3"/>
        <v>369895.97929162218</v>
      </c>
      <c r="O60" s="34">
        <f t="shared" si="4"/>
        <v>10064.832830787636</v>
      </c>
    </row>
    <row r="61" spans="10:15" x14ac:dyDescent="0.25">
      <c r="J61" s="4">
        <v>46</v>
      </c>
      <c r="K61" s="34">
        <f t="shared" si="0"/>
        <v>1899.8040606120455</v>
      </c>
      <c r="L61" s="34">
        <f t="shared" si="1"/>
        <v>498.39803999896361</v>
      </c>
      <c r="M61" s="5">
        <f t="shared" si="2"/>
        <v>379462.41408241092</v>
      </c>
      <c r="N61" s="5">
        <f t="shared" si="3"/>
        <v>369147.25708746928</v>
      </c>
      <c r="O61" s="34">
        <f t="shared" si="4"/>
        <v>10315.156994941644</v>
      </c>
    </row>
    <row r="62" spans="10:15" x14ac:dyDescent="0.25">
      <c r="J62" s="4">
        <v>47</v>
      </c>
      <c r="K62" s="34">
        <f t="shared" si="0"/>
        <v>1897.3120704120508</v>
      </c>
      <c r="L62" s="34">
        <f t="shared" si="1"/>
        <v>500.89003019895836</v>
      </c>
      <c r="M62" s="5">
        <f t="shared" si="2"/>
        <v>378961.52405221196</v>
      </c>
      <c r="N62" s="5">
        <f t="shared" si="3"/>
        <v>368394.79127229564</v>
      </c>
      <c r="O62" s="34">
        <f t="shared" si="4"/>
        <v>10566.732779916318</v>
      </c>
    </row>
    <row r="63" spans="10:15" x14ac:dyDescent="0.25">
      <c r="J63" s="4">
        <v>48</v>
      </c>
      <c r="K63" s="34">
        <f t="shared" si="0"/>
        <v>1894.8076202610559</v>
      </c>
      <c r="L63" s="34">
        <f t="shared" si="1"/>
        <v>503.39448034995326</v>
      </c>
      <c r="M63" s="5">
        <f t="shared" si="2"/>
        <v>378458.12957186205</v>
      </c>
      <c r="N63" s="5">
        <f t="shared" si="3"/>
        <v>367638.56312804611</v>
      </c>
      <c r="O63" s="34">
        <f t="shared" si="4"/>
        <v>10819.566443815944</v>
      </c>
    </row>
    <row r="64" spans="10:15" x14ac:dyDescent="0.25">
      <c r="J64" s="4">
        <v>49</v>
      </c>
      <c r="K64" s="34">
        <f t="shared" si="0"/>
        <v>1892.2906478593065</v>
      </c>
      <c r="L64" s="34">
        <f t="shared" si="1"/>
        <v>505.91145275170288</v>
      </c>
      <c r="M64" s="5">
        <f t="shared" si="2"/>
        <v>377952.21811911033</v>
      </c>
      <c r="N64" s="5">
        <f t="shared" si="3"/>
        <v>366878.55384307535</v>
      </c>
      <c r="O64" s="34">
        <f t="shared" si="4"/>
        <v>11073.664276034979</v>
      </c>
    </row>
    <row r="65" spans="10:15" x14ac:dyDescent="0.25">
      <c r="J65" s="4">
        <v>50</v>
      </c>
      <c r="K65" s="34">
        <f t="shared" si="0"/>
        <v>1889.7610905955476</v>
      </c>
      <c r="L65" s="34">
        <f t="shared" si="1"/>
        <v>508.44101001546147</v>
      </c>
      <c r="M65" s="5">
        <f t="shared" si="2"/>
        <v>377443.7771090949</v>
      </c>
      <c r="N65" s="5">
        <f t="shared" si="3"/>
        <v>366114.74451167975</v>
      </c>
      <c r="O65" s="34">
        <f t="shared" si="4"/>
        <v>11329.032597415149</v>
      </c>
    </row>
    <row r="66" spans="10:15" x14ac:dyDescent="0.25">
      <c r="J66" s="4">
        <v>51</v>
      </c>
      <c r="K66" s="34">
        <f t="shared" si="0"/>
        <v>1887.2188855454704</v>
      </c>
      <c r="L66" s="34">
        <f t="shared" si="1"/>
        <v>510.98321506553867</v>
      </c>
      <c r="M66" s="5">
        <f t="shared" si="2"/>
        <v>376932.79389402934</v>
      </c>
      <c r="N66" s="5">
        <f t="shared" si="3"/>
        <v>365347.11613362713</v>
      </c>
      <c r="O66" s="34">
        <f t="shared" si="4"/>
        <v>11585.677760402206</v>
      </c>
    </row>
    <row r="67" spans="10:15" x14ac:dyDescent="0.25">
      <c r="J67" s="4">
        <v>52</v>
      </c>
      <c r="K67" s="34">
        <f t="shared" si="0"/>
        <v>1884.6639694701425</v>
      </c>
      <c r="L67" s="34">
        <f t="shared" si="1"/>
        <v>513.53813114086643</v>
      </c>
      <c r="M67" s="5">
        <f t="shared" si="2"/>
        <v>376419.25576288858</v>
      </c>
      <c r="N67" s="5">
        <f t="shared" si="3"/>
        <v>364575.64961368428</v>
      </c>
      <c r="O67" s="34">
        <f t="shared" si="4"/>
        <v>11843.606149204308</v>
      </c>
    </row>
    <row r="68" spans="10:15" x14ac:dyDescent="0.25">
      <c r="J68" s="4">
        <v>53</v>
      </c>
      <c r="K68" s="34">
        <f t="shared" si="0"/>
        <v>1882.0962788144386</v>
      </c>
      <c r="L68" s="34">
        <f t="shared" si="1"/>
        <v>516.10582179657081</v>
      </c>
      <c r="M68" s="5">
        <f t="shared" si="2"/>
        <v>375903.14994109201</v>
      </c>
      <c r="N68" s="5">
        <f t="shared" si="3"/>
        <v>363800.32576114172</v>
      </c>
      <c r="O68" s="34">
        <f t="shared" si="4"/>
        <v>12102.824179950287</v>
      </c>
    </row>
    <row r="69" spans="10:15" x14ac:dyDescent="0.25">
      <c r="J69" s="4">
        <v>54</v>
      </c>
      <c r="K69" s="34">
        <f t="shared" si="0"/>
        <v>1879.5157497054556</v>
      </c>
      <c r="L69" s="34">
        <f t="shared" si="1"/>
        <v>518.6863509055537</v>
      </c>
      <c r="M69" s="5">
        <f t="shared" si="2"/>
        <v>375384.46359018644</v>
      </c>
      <c r="N69" s="5">
        <f t="shared" si="3"/>
        <v>363021.12528933643</v>
      </c>
      <c r="O69" s="34">
        <f t="shared" si="4"/>
        <v>12363.33830085001</v>
      </c>
    </row>
    <row r="70" spans="10:15" x14ac:dyDescent="0.25">
      <c r="J70" s="4">
        <v>55</v>
      </c>
      <c r="K70" s="34">
        <f t="shared" si="0"/>
        <v>1876.9223179509279</v>
      </c>
      <c r="L70" s="34">
        <f t="shared" si="1"/>
        <v>521.27978266008142</v>
      </c>
      <c r="M70" s="5">
        <f t="shared" si="2"/>
        <v>374863.18380752642</v>
      </c>
      <c r="N70" s="5">
        <f t="shared" si="3"/>
        <v>362238.02881517209</v>
      </c>
      <c r="O70" s="34">
        <f t="shared" si="4"/>
        <v>12625.154992354335</v>
      </c>
    </row>
    <row r="71" spans="10:15" x14ac:dyDescent="0.25">
      <c r="J71" s="4">
        <v>56</v>
      </c>
      <c r="K71" s="34">
        <f t="shared" si="0"/>
        <v>1874.3159190376275</v>
      </c>
      <c r="L71" s="34">
        <f t="shared" si="1"/>
        <v>523.8861815733818</v>
      </c>
      <c r="M71" s="5">
        <f t="shared" si="2"/>
        <v>374339.29762595304</v>
      </c>
      <c r="N71" s="5">
        <f t="shared" si="3"/>
        <v>361451.01685863693</v>
      </c>
      <c r="O71" s="34">
        <f t="shared" si="4"/>
        <v>12888.280767316115</v>
      </c>
    </row>
    <row r="72" spans="10:15" x14ac:dyDescent="0.25">
      <c r="J72" s="4">
        <v>57</v>
      </c>
      <c r="K72" s="34">
        <f t="shared" si="0"/>
        <v>1871.6964881297606</v>
      </c>
      <c r="L72" s="34">
        <f t="shared" si="1"/>
        <v>526.5056124812487</v>
      </c>
      <c r="M72" s="5">
        <f t="shared" si="2"/>
        <v>373812.79201347171</v>
      </c>
      <c r="N72" s="5">
        <f t="shared" si="3"/>
        <v>360660.06984231912</v>
      </c>
      <c r="O72" s="34">
        <f t="shared" si="4"/>
        <v>13152.722171152593</v>
      </c>
    </row>
    <row r="73" spans="10:15" x14ac:dyDescent="0.25">
      <c r="J73" s="4">
        <v>58</v>
      </c>
      <c r="K73" s="34">
        <f t="shared" si="0"/>
        <v>1869.0639600673542</v>
      </c>
      <c r="L73" s="34">
        <f t="shared" si="1"/>
        <v>529.13814054365503</v>
      </c>
      <c r="M73" s="5">
        <f t="shared" si="2"/>
        <v>373283.65387292817</v>
      </c>
      <c r="N73" s="5">
        <f t="shared" si="3"/>
        <v>359865.16809091973</v>
      </c>
      <c r="O73" s="34">
        <f t="shared" si="4"/>
        <v>13418.485782008443</v>
      </c>
    </row>
    <row r="74" spans="10:15" x14ac:dyDescent="0.25">
      <c r="J74" s="4">
        <v>59</v>
      </c>
      <c r="K74" s="34">
        <f t="shared" si="0"/>
        <v>1866.418269364636</v>
      </c>
      <c r="L74" s="34">
        <f t="shared" si="1"/>
        <v>531.78383124637321</v>
      </c>
      <c r="M74" s="5">
        <f t="shared" si="2"/>
        <v>372751.8700416818</v>
      </c>
      <c r="N74" s="5">
        <f t="shared" si="3"/>
        <v>359066.29183076334</v>
      </c>
      <c r="O74" s="34">
        <f t="shared" si="4"/>
        <v>13685.578210918466</v>
      </c>
    </row>
    <row r="75" spans="10:15" x14ac:dyDescent="0.25">
      <c r="J75" s="4">
        <v>60</v>
      </c>
      <c r="K75" s="34">
        <f t="shared" si="0"/>
        <v>1863.7593502084042</v>
      </c>
      <c r="L75" s="34">
        <f t="shared" si="1"/>
        <v>534.44275040260504</v>
      </c>
      <c r="M75" s="5">
        <f t="shared" si="2"/>
        <v>372217.42729127919</v>
      </c>
      <c r="N75" s="5">
        <f t="shared" si="3"/>
        <v>358263.42118930613</v>
      </c>
      <c r="O75" s="34">
        <f t="shared" si="4"/>
        <v>13954.006101973064</v>
      </c>
    </row>
    <row r="76" spans="10:15" x14ac:dyDescent="0.25">
      <c r="J76" s="4">
        <v>61</v>
      </c>
      <c r="K76" s="34">
        <f t="shared" si="0"/>
        <v>1861.0871364563911</v>
      </c>
      <c r="L76" s="34">
        <f t="shared" si="1"/>
        <v>537.11496415461818</v>
      </c>
      <c r="M76" s="5">
        <f t="shared" si="2"/>
        <v>371680.31232712464</v>
      </c>
      <c r="N76" s="5">
        <f t="shared" si="3"/>
        <v>357456.53619464167</v>
      </c>
      <c r="O76" s="34">
        <f t="shared" si="4"/>
        <v>14223.776132482977</v>
      </c>
    </row>
    <row r="77" spans="10:15" x14ac:dyDescent="0.25">
      <c r="J77" s="4">
        <v>62</v>
      </c>
      <c r="K77" s="34">
        <f t="shared" si="0"/>
        <v>1858.401561635618</v>
      </c>
      <c r="L77" s="34">
        <f t="shared" si="1"/>
        <v>539.80053897539119</v>
      </c>
      <c r="M77" s="5">
        <f t="shared" si="2"/>
        <v>371140.51178814925</v>
      </c>
      <c r="N77" s="5">
        <f t="shared" si="3"/>
        <v>356645.6167750039</v>
      </c>
      <c r="O77" s="34">
        <f t="shared" si="4"/>
        <v>14494.895013145346</v>
      </c>
    </row>
    <row r="78" spans="10:15" x14ac:dyDescent="0.25">
      <c r="J78" s="4">
        <v>63</v>
      </c>
      <c r="K78" s="34">
        <f t="shared" si="0"/>
        <v>1855.702558940741</v>
      </c>
      <c r="L78" s="34">
        <f t="shared" si="1"/>
        <v>542.49954167026829</v>
      </c>
      <c r="M78" s="5">
        <f t="shared" si="2"/>
        <v>370598.01224647899</v>
      </c>
      <c r="N78" s="5">
        <f t="shared" si="3"/>
        <v>355830.64275826793</v>
      </c>
      <c r="O78" s="34">
        <f t="shared" si="4"/>
        <v>14767.369488211058</v>
      </c>
    </row>
    <row r="79" spans="10:15" x14ac:dyDescent="0.25">
      <c r="J79" s="4">
        <v>64</v>
      </c>
      <c r="K79" s="34">
        <f t="shared" si="0"/>
        <v>1852.9900612323897</v>
      </c>
      <c r="L79" s="34">
        <f t="shared" si="1"/>
        <v>545.21203937861947</v>
      </c>
      <c r="M79" s="5">
        <f t="shared" si="2"/>
        <v>370052.80020710046</v>
      </c>
      <c r="N79" s="5">
        <f t="shared" si="3"/>
        <v>355011.59387144825</v>
      </c>
      <c r="O79" s="34">
        <f t="shared" si="4"/>
        <v>15041.206335652212</v>
      </c>
    </row>
    <row r="80" spans="10:15" x14ac:dyDescent="0.25">
      <c r="J80" s="4">
        <v>65</v>
      </c>
      <c r="K80" s="34">
        <f t="shared" ref="K80:K143" si="5">-IPMT(APR/12, Month,  Loan_Term_Years*12, Loan_Amount)</f>
        <v>1850.2640010354964</v>
      </c>
      <c r="L80" s="34">
        <f t="shared" ref="L80:L143" si="6">-PPMT(APR/12, Month,  Loan_Term_Years*12, Loan_Amount)</f>
        <v>547.93809957551264</v>
      </c>
      <c r="M80" s="5">
        <f t="shared" ref="M80:M143" si="7">FV(APR/12, Month, Monthly_Payment, -Loan_Amount)</f>
        <v>369504.86210752488</v>
      </c>
      <c r="N80" s="5">
        <f t="shared" ref="N80:N143" si="8">N79+N79*APR/12 - (Monthly_Payment+Additional_Payment)</f>
        <v>354188.44974019448</v>
      </c>
      <c r="O80" s="34">
        <f t="shared" si="4"/>
        <v>15316.412367330398</v>
      </c>
    </row>
    <row r="81" spans="10:15" x14ac:dyDescent="0.25">
      <c r="J81" s="4">
        <v>66</v>
      </c>
      <c r="K81" s="34">
        <f t="shared" si="5"/>
        <v>1847.5243105376189</v>
      </c>
      <c r="L81" s="34">
        <f t="shared" si="6"/>
        <v>550.67779007339016</v>
      </c>
      <c r="M81" s="5">
        <f t="shared" si="7"/>
        <v>368954.18431745155</v>
      </c>
      <c r="N81" s="5">
        <f t="shared" si="8"/>
        <v>353361.18988828448</v>
      </c>
      <c r="O81" s="34">
        <f t="shared" si="4"/>
        <v>15592.994429167069</v>
      </c>
    </row>
    <row r="82" spans="10:15" x14ac:dyDescent="0.25">
      <c r="J82" s="4">
        <v>67</v>
      </c>
      <c r="K82" s="34">
        <f t="shared" si="5"/>
        <v>1844.7709215872519</v>
      </c>
      <c r="L82" s="34">
        <f t="shared" si="6"/>
        <v>553.43117902375718</v>
      </c>
      <c r="M82" s="5">
        <f t="shared" si="7"/>
        <v>368400.75313842786</v>
      </c>
      <c r="N82" s="5">
        <f t="shared" si="8"/>
        <v>352529.79373711493</v>
      </c>
      <c r="O82" s="34">
        <f t="shared" ref="O82:O145" si="9">M82-N82</f>
        <v>15870.959401312924</v>
      </c>
    </row>
    <row r="83" spans="10:15" x14ac:dyDescent="0.25">
      <c r="J83" s="4">
        <v>68</v>
      </c>
      <c r="K83" s="34">
        <f t="shared" si="5"/>
        <v>1842.0037656921336</v>
      </c>
      <c r="L83" s="34">
        <f t="shared" si="6"/>
        <v>556.19833491887596</v>
      </c>
      <c r="M83" s="5">
        <f t="shared" si="7"/>
        <v>367844.55480350903</v>
      </c>
      <c r="N83" s="5">
        <f t="shared" si="8"/>
        <v>351694.24060518952</v>
      </c>
      <c r="O83" s="34">
        <f t="shared" si="9"/>
        <v>16150.314198319509</v>
      </c>
    </row>
    <row r="84" spans="10:15" x14ac:dyDescent="0.25">
      <c r="J84" s="4">
        <v>69</v>
      </c>
      <c r="K84" s="34">
        <f t="shared" si="5"/>
        <v>1839.2227740175388</v>
      </c>
      <c r="L84" s="34">
        <f t="shared" si="6"/>
        <v>558.97932659347032</v>
      </c>
      <c r="M84" s="5">
        <f t="shared" si="7"/>
        <v>367285.57547691558</v>
      </c>
      <c r="N84" s="5">
        <f t="shared" si="8"/>
        <v>350854.50970760448</v>
      </c>
      <c r="O84" s="34">
        <f t="shared" si="9"/>
        <v>16431.065769311099</v>
      </c>
    </row>
    <row r="85" spans="10:15" x14ac:dyDescent="0.25">
      <c r="J85" s="4">
        <v>70</v>
      </c>
      <c r="K85" s="34">
        <f t="shared" si="5"/>
        <v>1836.4278773845715</v>
      </c>
      <c r="L85" s="34">
        <f t="shared" si="6"/>
        <v>561.7742232264377</v>
      </c>
      <c r="M85" s="5">
        <f t="shared" si="7"/>
        <v>366723.8012536891</v>
      </c>
      <c r="N85" s="5">
        <f t="shared" si="8"/>
        <v>350010.58015553153</v>
      </c>
      <c r="O85" s="34">
        <f t="shared" si="9"/>
        <v>16713.221098157577</v>
      </c>
    </row>
    <row r="86" spans="10:15" x14ac:dyDescent="0.25">
      <c r="J86" s="4">
        <v>71</v>
      </c>
      <c r="K86" s="34">
        <f t="shared" si="5"/>
        <v>1833.6190062684398</v>
      </c>
      <c r="L86" s="34">
        <f t="shared" si="6"/>
        <v>564.58309434256978</v>
      </c>
      <c r="M86" s="5">
        <f t="shared" si="7"/>
        <v>366159.21815934661</v>
      </c>
      <c r="N86" s="5">
        <f t="shared" si="8"/>
        <v>349162.43095569819</v>
      </c>
      <c r="O86" s="34">
        <f t="shared" si="9"/>
        <v>16996.787203648419</v>
      </c>
    </row>
    <row r="87" spans="10:15" x14ac:dyDescent="0.25">
      <c r="J87" s="4">
        <v>72</v>
      </c>
      <c r="K87" s="34">
        <f t="shared" si="5"/>
        <v>1830.7960907967263</v>
      </c>
      <c r="L87" s="34">
        <f t="shared" si="6"/>
        <v>567.4060098142827</v>
      </c>
      <c r="M87" s="5">
        <f t="shared" si="7"/>
        <v>365591.81214953237</v>
      </c>
      <c r="N87" s="5">
        <f t="shared" si="8"/>
        <v>348310.0410098657</v>
      </c>
      <c r="O87" s="34">
        <f t="shared" si="9"/>
        <v>17281.771139666671</v>
      </c>
    </row>
    <row r="88" spans="10:15" x14ac:dyDescent="0.25">
      <c r="J88" s="4">
        <v>73</v>
      </c>
      <c r="K88" s="34">
        <f t="shared" si="5"/>
        <v>1827.9590607476553</v>
      </c>
      <c r="L88" s="34">
        <f t="shared" si="6"/>
        <v>570.24303986335406</v>
      </c>
      <c r="M88" s="5">
        <f t="shared" si="7"/>
        <v>365021.56910966896</v>
      </c>
      <c r="N88" s="5">
        <f t="shared" si="8"/>
        <v>347453.38911430404</v>
      </c>
      <c r="O88" s="34">
        <f t="shared" si="9"/>
        <v>17568.179995364917</v>
      </c>
    </row>
    <row r="89" spans="10:15" x14ac:dyDescent="0.25">
      <c r="J89" s="4">
        <v>74</v>
      </c>
      <c r="K89" s="34">
        <f t="shared" si="5"/>
        <v>1825.1078455483382</v>
      </c>
      <c r="L89" s="34">
        <f t="shared" si="6"/>
        <v>573.09425506267098</v>
      </c>
      <c r="M89" s="5">
        <f t="shared" si="7"/>
        <v>364448.47485460632</v>
      </c>
      <c r="N89" s="5">
        <f t="shared" si="8"/>
        <v>346592.45395926456</v>
      </c>
      <c r="O89" s="34">
        <f t="shared" si="9"/>
        <v>17856.02089534176</v>
      </c>
    </row>
    <row r="90" spans="10:15" x14ac:dyDescent="0.25">
      <c r="J90" s="4">
        <v>75</v>
      </c>
      <c r="K90" s="34">
        <f t="shared" si="5"/>
        <v>1822.242374273025</v>
      </c>
      <c r="L90" s="34">
        <f t="shared" si="6"/>
        <v>575.95972633798419</v>
      </c>
      <c r="M90" s="5">
        <f t="shared" si="7"/>
        <v>363872.51512826839</v>
      </c>
      <c r="N90" s="5">
        <f t="shared" si="8"/>
        <v>345727.21412844991</v>
      </c>
      <c r="O90" s="34">
        <f t="shared" si="9"/>
        <v>18145.300999818486</v>
      </c>
    </row>
    <row r="91" spans="10:15" x14ac:dyDescent="0.25">
      <c r="J91" s="4">
        <v>76</v>
      </c>
      <c r="K91" s="34">
        <f t="shared" si="5"/>
        <v>1819.3625756413353</v>
      </c>
      <c r="L91" s="34">
        <f t="shared" si="6"/>
        <v>578.83952496967424</v>
      </c>
      <c r="M91" s="5">
        <f t="shared" si="7"/>
        <v>363293.6756032987</v>
      </c>
      <c r="N91" s="5">
        <f t="shared" si="8"/>
        <v>344857.64809848118</v>
      </c>
      <c r="O91" s="34">
        <f t="shared" si="9"/>
        <v>18436.027504817524</v>
      </c>
    </row>
    <row r="92" spans="10:15" x14ac:dyDescent="0.25">
      <c r="J92" s="4">
        <v>77</v>
      </c>
      <c r="K92" s="34">
        <f t="shared" si="5"/>
        <v>1816.4683780164869</v>
      </c>
      <c r="L92" s="34">
        <f t="shared" si="6"/>
        <v>581.73372259452253</v>
      </c>
      <c r="M92" s="5">
        <f t="shared" si="7"/>
        <v>362711.94188070425</v>
      </c>
      <c r="N92" s="5">
        <f t="shared" si="8"/>
        <v>343983.73423836258</v>
      </c>
      <c r="O92" s="34">
        <f t="shared" si="9"/>
        <v>18728.207642341673</v>
      </c>
    </row>
    <row r="93" spans="10:15" x14ac:dyDescent="0.25">
      <c r="J93" s="4">
        <v>78</v>
      </c>
      <c r="K93" s="34">
        <f t="shared" si="5"/>
        <v>1813.5597094035143</v>
      </c>
      <c r="L93" s="34">
        <f t="shared" si="6"/>
        <v>584.64239120749528</v>
      </c>
      <c r="M93" s="5">
        <f t="shared" si="7"/>
        <v>362127.29948949674</v>
      </c>
      <c r="N93" s="5">
        <f t="shared" si="8"/>
        <v>343105.45080894337</v>
      </c>
      <c r="O93" s="34">
        <f t="shared" si="9"/>
        <v>19021.848680553376</v>
      </c>
    </row>
    <row r="94" spans="10:15" x14ac:dyDescent="0.25">
      <c r="J94" s="4">
        <v>79</v>
      </c>
      <c r="K94" s="34">
        <f t="shared" si="5"/>
        <v>1810.6364974474768</v>
      </c>
      <c r="L94" s="34">
        <f t="shared" si="6"/>
        <v>587.56560316353261</v>
      </c>
      <c r="M94" s="5">
        <f t="shared" si="7"/>
        <v>361539.73388633318</v>
      </c>
      <c r="N94" s="5">
        <f t="shared" si="8"/>
        <v>342222.77596237708</v>
      </c>
      <c r="O94" s="34">
        <f t="shared" si="9"/>
        <v>19316.957923956099</v>
      </c>
    </row>
    <row r="95" spans="10:15" x14ac:dyDescent="0.25">
      <c r="J95" s="4">
        <v>80</v>
      </c>
      <c r="K95" s="34">
        <f t="shared" si="5"/>
        <v>1807.6986694316586</v>
      </c>
      <c r="L95" s="34">
        <f t="shared" si="6"/>
        <v>590.50343117935029</v>
      </c>
      <c r="M95" s="5">
        <f t="shared" si="7"/>
        <v>360949.23045515397</v>
      </c>
      <c r="N95" s="5">
        <f t="shared" si="8"/>
        <v>341335.68774157797</v>
      </c>
      <c r="O95" s="34">
        <f t="shared" si="9"/>
        <v>19613.542713575996</v>
      </c>
    </row>
    <row r="96" spans="10:15" x14ac:dyDescent="0.25">
      <c r="J96" s="4">
        <v>81</v>
      </c>
      <c r="K96" s="34">
        <f t="shared" si="5"/>
        <v>1804.7461522757624</v>
      </c>
      <c r="L96" s="34">
        <f t="shared" si="6"/>
        <v>593.45594833524706</v>
      </c>
      <c r="M96" s="5">
        <f t="shared" si="7"/>
        <v>360355.77450681874</v>
      </c>
      <c r="N96" s="5">
        <f t="shared" si="8"/>
        <v>340444.16407967487</v>
      </c>
      <c r="O96" s="34">
        <f t="shared" si="9"/>
        <v>19911.610427143867</v>
      </c>
    </row>
    <row r="97" spans="10:15" x14ac:dyDescent="0.25">
      <c r="J97" s="4">
        <v>82</v>
      </c>
      <c r="K97" s="34">
        <f t="shared" si="5"/>
        <v>1801.7788725340861</v>
      </c>
      <c r="L97" s="34">
        <f t="shared" si="6"/>
        <v>596.42322807692324</v>
      </c>
      <c r="M97" s="5">
        <f t="shared" si="7"/>
        <v>359759.35127874173</v>
      </c>
      <c r="N97" s="5">
        <f t="shared" si="8"/>
        <v>339548.18279946223</v>
      </c>
      <c r="O97" s="34">
        <f t="shared" si="9"/>
        <v>20211.168479279499</v>
      </c>
    </row>
    <row r="98" spans="10:15" x14ac:dyDescent="0.25">
      <c r="J98" s="4">
        <v>83</v>
      </c>
      <c r="K98" s="34">
        <f t="shared" si="5"/>
        <v>1798.7967563937011</v>
      </c>
      <c r="L98" s="34">
        <f t="shared" si="6"/>
        <v>599.40534421730786</v>
      </c>
      <c r="M98" s="5">
        <f t="shared" si="7"/>
        <v>359159.94593452453</v>
      </c>
      <c r="N98" s="5">
        <f t="shared" si="8"/>
        <v>338647.72161284852</v>
      </c>
      <c r="O98" s="34">
        <f t="shared" si="9"/>
        <v>20512.224321676011</v>
      </c>
    </row>
    <row r="99" spans="10:15" x14ac:dyDescent="0.25">
      <c r="J99" s="4">
        <v>84</v>
      </c>
      <c r="K99" s="34">
        <f t="shared" si="5"/>
        <v>1795.7997296726148</v>
      </c>
      <c r="L99" s="34">
        <f t="shared" si="6"/>
        <v>602.40237093839448</v>
      </c>
      <c r="M99" s="5">
        <f t="shared" si="7"/>
        <v>358557.54356358614</v>
      </c>
      <c r="N99" s="5">
        <f t="shared" si="8"/>
        <v>337742.75812030176</v>
      </c>
      <c r="O99" s="34">
        <f t="shared" si="9"/>
        <v>20814.785443284374</v>
      </c>
    </row>
    <row r="100" spans="10:15" x14ac:dyDescent="0.25">
      <c r="J100" s="4">
        <v>85</v>
      </c>
      <c r="K100" s="34">
        <f t="shared" si="5"/>
        <v>1792.7877178179231</v>
      </c>
      <c r="L100" s="34">
        <f t="shared" si="6"/>
        <v>605.41438279308647</v>
      </c>
      <c r="M100" s="5">
        <f t="shared" si="7"/>
        <v>357952.12918079313</v>
      </c>
      <c r="N100" s="5">
        <f t="shared" si="8"/>
        <v>336833.26981029229</v>
      </c>
      <c r="O100" s="34">
        <f t="shared" si="9"/>
        <v>21118.859370500839</v>
      </c>
    </row>
    <row r="101" spans="10:15" x14ac:dyDescent="0.25">
      <c r="J101" s="4">
        <v>86</v>
      </c>
      <c r="K101" s="34">
        <f t="shared" si="5"/>
        <v>1789.7606459039575</v>
      </c>
      <c r="L101" s="34">
        <f t="shared" si="6"/>
        <v>608.44145470705178</v>
      </c>
      <c r="M101" s="5">
        <f t="shared" si="7"/>
        <v>357343.68772608612</v>
      </c>
      <c r="N101" s="5">
        <f t="shared" si="8"/>
        <v>335919.23405873275</v>
      </c>
      <c r="O101" s="34">
        <f t="shared" si="9"/>
        <v>21424.453667353373</v>
      </c>
    </row>
    <row r="102" spans="10:15" x14ac:dyDescent="0.25">
      <c r="J102" s="4">
        <v>87</v>
      </c>
      <c r="K102" s="34">
        <f t="shared" si="5"/>
        <v>1786.7184386304223</v>
      </c>
      <c r="L102" s="34">
        <f t="shared" si="6"/>
        <v>611.48366198058704</v>
      </c>
      <c r="M102" s="5">
        <f t="shared" si="7"/>
        <v>356732.20406410552</v>
      </c>
      <c r="N102" s="5">
        <f t="shared" si="8"/>
        <v>335000.62812841544</v>
      </c>
      <c r="O102" s="34">
        <f t="shared" si="9"/>
        <v>21731.575935690082</v>
      </c>
    </row>
    <row r="103" spans="10:15" x14ac:dyDescent="0.25">
      <c r="J103" s="4">
        <v>88</v>
      </c>
      <c r="K103" s="34">
        <f t="shared" si="5"/>
        <v>1783.6610203205196</v>
      </c>
      <c r="L103" s="34">
        <f t="shared" si="6"/>
        <v>614.54108029048996</v>
      </c>
      <c r="M103" s="5">
        <f t="shared" si="7"/>
        <v>356117.66298381501</v>
      </c>
      <c r="N103" s="5">
        <f t="shared" si="8"/>
        <v>334077.42916844651</v>
      </c>
      <c r="O103" s="34">
        <f t="shared" si="9"/>
        <v>22040.233815368498</v>
      </c>
    </row>
    <row r="104" spans="10:15" x14ac:dyDescent="0.25">
      <c r="J104" s="4">
        <v>89</v>
      </c>
      <c r="K104" s="34">
        <f t="shared" si="5"/>
        <v>1780.5883149190668</v>
      </c>
      <c r="L104" s="34">
        <f t="shared" si="6"/>
        <v>617.61378569194244</v>
      </c>
      <c r="M104" s="5">
        <f t="shared" si="7"/>
        <v>355500.04919812316</v>
      </c>
      <c r="N104" s="5">
        <f t="shared" si="8"/>
        <v>333149.61421367776</v>
      </c>
      <c r="O104" s="34">
        <f t="shared" si="9"/>
        <v>22350.434984445397</v>
      </c>
    </row>
    <row r="105" spans="10:15" x14ac:dyDescent="0.25">
      <c r="J105" s="4">
        <v>90</v>
      </c>
      <c r="K105" s="34">
        <f t="shared" si="5"/>
        <v>1777.500245990607</v>
      </c>
      <c r="L105" s="34">
        <f t="shared" si="6"/>
        <v>620.70185462040217</v>
      </c>
      <c r="M105" s="5">
        <f t="shared" si="7"/>
        <v>354879.34734350274</v>
      </c>
      <c r="N105" s="5">
        <f t="shared" si="8"/>
        <v>332217.16018413514</v>
      </c>
      <c r="O105" s="34">
        <f t="shared" si="9"/>
        <v>22662.187159367604</v>
      </c>
    </row>
    <row r="106" spans="10:15" x14ac:dyDescent="0.25">
      <c r="J106" s="4">
        <v>91</v>
      </c>
      <c r="K106" s="34">
        <f t="shared" si="5"/>
        <v>1774.3967367175051</v>
      </c>
      <c r="L106" s="34">
        <f t="shared" si="6"/>
        <v>623.80536389350436</v>
      </c>
      <c r="M106" s="5">
        <f t="shared" si="7"/>
        <v>354255.54197960923</v>
      </c>
      <c r="N106" s="5">
        <f t="shared" si="8"/>
        <v>331280.04388444481</v>
      </c>
      <c r="O106" s="34">
        <f t="shared" si="9"/>
        <v>22975.498095164425</v>
      </c>
    </row>
    <row r="107" spans="10:15" x14ac:dyDescent="0.25">
      <c r="J107" s="4">
        <v>92</v>
      </c>
      <c r="K107" s="34">
        <f t="shared" si="5"/>
        <v>1771.2777098980378</v>
      </c>
      <c r="L107" s="34">
        <f t="shared" si="6"/>
        <v>626.92439071297179</v>
      </c>
      <c r="M107" s="5">
        <f t="shared" si="7"/>
        <v>353628.6175888963</v>
      </c>
      <c r="N107" s="5">
        <f t="shared" si="8"/>
        <v>330338.24200325605</v>
      </c>
      <c r="O107" s="34">
        <f t="shared" si="9"/>
        <v>23290.375585640257</v>
      </c>
    </row>
    <row r="108" spans="10:15" x14ac:dyDescent="0.25">
      <c r="J108" s="4">
        <v>93</v>
      </c>
      <c r="K108" s="34">
        <f t="shared" si="5"/>
        <v>1768.1430879444724</v>
      </c>
      <c r="L108" s="34">
        <f t="shared" si="6"/>
        <v>630.05901266653666</v>
      </c>
      <c r="M108" s="5">
        <f t="shared" si="7"/>
        <v>352998.55857622979</v>
      </c>
      <c r="N108" s="5">
        <f t="shared" si="8"/>
        <v>329391.73111266131</v>
      </c>
      <c r="O108" s="34">
        <f t="shared" si="9"/>
        <v>23606.827463568479</v>
      </c>
    </row>
    <row r="109" spans="10:15" x14ac:dyDescent="0.25">
      <c r="J109" s="4">
        <v>94</v>
      </c>
      <c r="K109" s="34">
        <f t="shared" si="5"/>
        <v>1764.9927928811398</v>
      </c>
      <c r="L109" s="34">
        <f t="shared" si="6"/>
        <v>633.20930772986924</v>
      </c>
      <c r="M109" s="5">
        <f t="shared" si="7"/>
        <v>352365.34926849999</v>
      </c>
      <c r="N109" s="5">
        <f t="shared" si="8"/>
        <v>328440.4876676136</v>
      </c>
      <c r="O109" s="34">
        <f t="shared" si="9"/>
        <v>23924.86160088639</v>
      </c>
    </row>
    <row r="110" spans="10:15" x14ac:dyDescent="0.25">
      <c r="J110" s="4">
        <v>95</v>
      </c>
      <c r="K110" s="34">
        <f t="shared" si="5"/>
        <v>1761.8267463424907</v>
      </c>
      <c r="L110" s="34">
        <f t="shared" si="6"/>
        <v>636.37535426851855</v>
      </c>
      <c r="M110" s="5">
        <f t="shared" si="7"/>
        <v>351728.97391423152</v>
      </c>
      <c r="N110" s="5">
        <f t="shared" si="8"/>
        <v>327484.48800534068</v>
      </c>
      <c r="O110" s="34">
        <f t="shared" si="9"/>
        <v>24244.485908890842</v>
      </c>
    </row>
    <row r="111" spans="10:15" x14ac:dyDescent="0.25">
      <c r="J111" s="4">
        <v>96</v>
      </c>
      <c r="K111" s="34">
        <f t="shared" si="5"/>
        <v>1758.6448695711481</v>
      </c>
      <c r="L111" s="34">
        <f t="shared" si="6"/>
        <v>639.55723103986122</v>
      </c>
      <c r="M111" s="5">
        <f t="shared" si="7"/>
        <v>351089.41668319167</v>
      </c>
      <c r="N111" s="5">
        <f t="shared" si="8"/>
        <v>326523.70834475639</v>
      </c>
      <c r="O111" s="34">
        <f t="shared" si="9"/>
        <v>24565.708338435274</v>
      </c>
    </row>
    <row r="112" spans="10:15" x14ac:dyDescent="0.25">
      <c r="J112" s="4">
        <v>97</v>
      </c>
      <c r="K112" s="34">
        <f t="shared" si="5"/>
        <v>1755.4470834159488</v>
      </c>
      <c r="L112" s="34">
        <f t="shared" si="6"/>
        <v>642.75501719506053</v>
      </c>
      <c r="M112" s="5">
        <f t="shared" si="7"/>
        <v>350446.66166599654</v>
      </c>
      <c r="N112" s="5">
        <f t="shared" si="8"/>
        <v>325558.12478586915</v>
      </c>
      <c r="O112" s="34">
        <f t="shared" si="9"/>
        <v>24888.536880127387</v>
      </c>
    </row>
    <row r="113" spans="10:15" x14ac:dyDescent="0.25">
      <c r="J113" s="4">
        <v>98</v>
      </c>
      <c r="K113" s="34">
        <f t="shared" si="5"/>
        <v>1752.2333083299734</v>
      </c>
      <c r="L113" s="34">
        <f t="shared" si="6"/>
        <v>645.96879228103592</v>
      </c>
      <c r="M113" s="5">
        <f t="shared" si="7"/>
        <v>349800.69287371566</v>
      </c>
      <c r="N113" s="5">
        <f t="shared" si="8"/>
        <v>324587.7133091875</v>
      </c>
      <c r="O113" s="34">
        <f t="shared" si="9"/>
        <v>25212.979564528156</v>
      </c>
    </row>
    <row r="114" spans="10:15" x14ac:dyDescent="0.25">
      <c r="J114" s="4">
        <v>99</v>
      </c>
      <c r="K114" s="34">
        <f t="shared" si="5"/>
        <v>1749.0034643685681</v>
      </c>
      <c r="L114" s="34">
        <f t="shared" si="6"/>
        <v>649.1986362424409</v>
      </c>
      <c r="M114" s="5">
        <f t="shared" si="7"/>
        <v>349151.49423747318</v>
      </c>
      <c r="N114" s="5">
        <f t="shared" si="8"/>
        <v>323612.44977512246</v>
      </c>
      <c r="O114" s="34">
        <f t="shared" si="9"/>
        <v>25539.044462350721</v>
      </c>
    </row>
    <row r="115" spans="10:15" x14ac:dyDescent="0.25">
      <c r="J115" s="4">
        <v>100</v>
      </c>
      <c r="K115" s="34">
        <f t="shared" si="5"/>
        <v>1745.757471187356</v>
      </c>
      <c r="L115" s="34">
        <f t="shared" si="6"/>
        <v>652.44462942365328</v>
      </c>
      <c r="M115" s="5">
        <f t="shared" si="7"/>
        <v>348499.04960804956</v>
      </c>
      <c r="N115" s="5">
        <f t="shared" si="8"/>
        <v>322632.30992338707</v>
      </c>
      <c r="O115" s="34">
        <f t="shared" si="9"/>
        <v>25866.739684662491</v>
      </c>
    </row>
    <row r="116" spans="10:15" x14ac:dyDescent="0.25">
      <c r="J116" s="4">
        <v>101</v>
      </c>
      <c r="K116" s="34">
        <f t="shared" si="5"/>
        <v>1742.495248040238</v>
      </c>
      <c r="L116" s="34">
        <f t="shared" si="6"/>
        <v>655.7068525707715</v>
      </c>
      <c r="M116" s="5">
        <f t="shared" si="7"/>
        <v>347843.34275547875</v>
      </c>
      <c r="N116" s="5">
        <f t="shared" si="8"/>
        <v>321647.26937239303</v>
      </c>
      <c r="O116" s="34">
        <f t="shared" si="9"/>
        <v>26196.073383085721</v>
      </c>
    </row>
    <row r="117" spans="10:15" x14ac:dyDescent="0.25">
      <c r="J117" s="4">
        <v>102</v>
      </c>
      <c r="K117" s="34">
        <f t="shared" si="5"/>
        <v>1739.2167137773838</v>
      </c>
      <c r="L117" s="34">
        <f t="shared" si="6"/>
        <v>658.9853868336254</v>
      </c>
      <c r="M117" s="5">
        <f t="shared" si="7"/>
        <v>347184.3573686452</v>
      </c>
      <c r="N117" s="5">
        <f t="shared" si="8"/>
        <v>320657.30361864401</v>
      </c>
      <c r="O117" s="34">
        <f t="shared" si="9"/>
        <v>26527.053750001185</v>
      </c>
    </row>
    <row r="118" spans="10:15" x14ac:dyDescent="0.25">
      <c r="J118" s="4">
        <v>103</v>
      </c>
      <c r="K118" s="34">
        <f t="shared" si="5"/>
        <v>1735.9217868432158</v>
      </c>
      <c r="L118" s="34">
        <f t="shared" si="6"/>
        <v>662.28031376779359</v>
      </c>
      <c r="M118" s="5">
        <f t="shared" si="7"/>
        <v>346522.07705487747</v>
      </c>
      <c r="N118" s="5">
        <f t="shared" si="8"/>
        <v>319662.38803612621</v>
      </c>
      <c r="O118" s="34">
        <f t="shared" si="9"/>
        <v>26859.689018751262</v>
      </c>
    </row>
    <row r="119" spans="10:15" x14ac:dyDescent="0.25">
      <c r="J119" s="4">
        <v>104</v>
      </c>
      <c r="K119" s="34">
        <f t="shared" si="5"/>
        <v>1732.6103852743765</v>
      </c>
      <c r="L119" s="34">
        <f t="shared" si="6"/>
        <v>665.59171533663255</v>
      </c>
      <c r="M119" s="5">
        <f t="shared" si="7"/>
        <v>345856.48533954093</v>
      </c>
      <c r="N119" s="5">
        <f t="shared" si="8"/>
        <v>318662.49787569582</v>
      </c>
      <c r="O119" s="34">
        <f t="shared" si="9"/>
        <v>27193.987463845115</v>
      </c>
    </row>
    <row r="120" spans="10:15" x14ac:dyDescent="0.25">
      <c r="J120" s="4">
        <v>105</v>
      </c>
      <c r="K120" s="34">
        <f t="shared" si="5"/>
        <v>1729.2824266976938</v>
      </c>
      <c r="L120" s="34">
        <f t="shared" si="6"/>
        <v>668.91967391331548</v>
      </c>
      <c r="M120" s="5">
        <f t="shared" si="7"/>
        <v>345187.56566562754</v>
      </c>
      <c r="N120" s="5">
        <f t="shared" si="8"/>
        <v>317657.60826446331</v>
      </c>
      <c r="O120" s="34">
        <f t="shared" si="9"/>
        <v>27529.957401164225</v>
      </c>
    </row>
    <row r="121" spans="10:15" x14ac:dyDescent="0.25">
      <c r="J121" s="4">
        <v>106</v>
      </c>
      <c r="K121" s="34">
        <f t="shared" si="5"/>
        <v>1725.9378283281274</v>
      </c>
      <c r="L121" s="34">
        <f t="shared" si="6"/>
        <v>672.26427228288219</v>
      </c>
      <c r="M121" s="5">
        <f t="shared" si="7"/>
        <v>344515.30139334477</v>
      </c>
      <c r="N121" s="5">
        <f t="shared" si="8"/>
        <v>316647.69420517463</v>
      </c>
      <c r="O121" s="34">
        <f t="shared" si="9"/>
        <v>27867.607188170135</v>
      </c>
    </row>
    <row r="122" spans="10:15" x14ac:dyDescent="0.25">
      <c r="J122" s="4">
        <v>107</v>
      </c>
      <c r="K122" s="34">
        <f t="shared" si="5"/>
        <v>1722.5765069667127</v>
      </c>
      <c r="L122" s="34">
        <f t="shared" si="6"/>
        <v>675.6255936442966</v>
      </c>
      <c r="M122" s="5">
        <f t="shared" si="7"/>
        <v>343839.67579970043</v>
      </c>
      <c r="N122" s="5">
        <f t="shared" si="8"/>
        <v>315632.73057558952</v>
      </c>
      <c r="O122" s="34">
        <f t="shared" si="9"/>
        <v>28206.94522411091</v>
      </c>
    </row>
    <row r="123" spans="10:15" x14ac:dyDescent="0.25">
      <c r="J123" s="4">
        <v>108</v>
      </c>
      <c r="K123" s="34">
        <f t="shared" si="5"/>
        <v>1719.1983789984915</v>
      </c>
      <c r="L123" s="34">
        <f t="shared" si="6"/>
        <v>679.00372161251801</v>
      </c>
      <c r="M123" s="5">
        <f t="shared" si="7"/>
        <v>343160.67207808804</v>
      </c>
      <c r="N123" s="5">
        <f t="shared" si="8"/>
        <v>314612.69212785648</v>
      </c>
      <c r="O123" s="34">
        <f t="shared" si="9"/>
        <v>28547.979950231558</v>
      </c>
    </row>
    <row r="124" spans="10:15" x14ac:dyDescent="0.25">
      <c r="J124" s="4">
        <v>109</v>
      </c>
      <c r="K124" s="34">
        <f t="shared" si="5"/>
        <v>1715.8033603904287</v>
      </c>
      <c r="L124" s="34">
        <f t="shared" si="6"/>
        <v>682.39874022058063</v>
      </c>
      <c r="M124" s="5">
        <f t="shared" si="7"/>
        <v>342478.27333786746</v>
      </c>
      <c r="N124" s="5">
        <f t="shared" si="8"/>
        <v>313587.55348788475</v>
      </c>
      <c r="O124" s="34">
        <f t="shared" si="9"/>
        <v>28890.719849982706</v>
      </c>
    </row>
    <row r="125" spans="10:15" x14ac:dyDescent="0.25">
      <c r="J125" s="4">
        <v>110</v>
      </c>
      <c r="K125" s="34">
        <f t="shared" si="5"/>
        <v>1712.3913666893257</v>
      </c>
      <c r="L125" s="34">
        <f t="shared" si="6"/>
        <v>685.81073392168355</v>
      </c>
      <c r="M125" s="5">
        <f t="shared" si="7"/>
        <v>341792.46260394581</v>
      </c>
      <c r="N125" s="5">
        <f t="shared" si="8"/>
        <v>312557.28915471316</v>
      </c>
      <c r="O125" s="34">
        <f t="shared" si="9"/>
        <v>29235.17344923265</v>
      </c>
    </row>
    <row r="126" spans="10:15" x14ac:dyDescent="0.25">
      <c r="J126" s="4">
        <v>111</v>
      </c>
      <c r="K126" s="34">
        <f t="shared" si="5"/>
        <v>1708.9623130197172</v>
      </c>
      <c r="L126" s="34">
        <f t="shared" si="6"/>
        <v>689.23978759129193</v>
      </c>
      <c r="M126" s="5">
        <f t="shared" si="7"/>
        <v>341103.2228163546</v>
      </c>
      <c r="N126" s="5">
        <f t="shared" si="8"/>
        <v>311521.87349987571</v>
      </c>
      <c r="O126" s="34">
        <f t="shared" si="9"/>
        <v>29581.349316478882</v>
      </c>
    </row>
    <row r="127" spans="10:15" x14ac:dyDescent="0.25">
      <c r="J127" s="4">
        <v>112</v>
      </c>
      <c r="K127" s="34">
        <f t="shared" si="5"/>
        <v>1705.5161140817609</v>
      </c>
      <c r="L127" s="34">
        <f t="shared" si="6"/>
        <v>692.68598652924834</v>
      </c>
      <c r="M127" s="5">
        <f t="shared" si="7"/>
        <v>340410.53682982532</v>
      </c>
      <c r="N127" s="5">
        <f t="shared" si="8"/>
        <v>310481.28076676407</v>
      </c>
      <c r="O127" s="34">
        <f t="shared" si="9"/>
        <v>29929.256063061242</v>
      </c>
    </row>
    <row r="128" spans="10:15" x14ac:dyDescent="0.25">
      <c r="J128" s="4">
        <v>113</v>
      </c>
      <c r="K128" s="34">
        <f t="shared" si="5"/>
        <v>1702.0526841491146</v>
      </c>
      <c r="L128" s="34">
        <f t="shared" si="6"/>
        <v>696.1494164618947</v>
      </c>
      <c r="M128" s="5">
        <f t="shared" si="7"/>
        <v>339714.38741336344</v>
      </c>
      <c r="N128" s="5">
        <f t="shared" si="8"/>
        <v>309435.4850699869</v>
      </c>
      <c r="O128" s="34">
        <f t="shared" si="9"/>
        <v>30278.90234337654</v>
      </c>
    </row>
    <row r="129" spans="10:15" x14ac:dyDescent="0.25">
      <c r="J129" s="4">
        <v>114</v>
      </c>
      <c r="K129" s="34">
        <f t="shared" si="5"/>
        <v>1698.571937066805</v>
      </c>
      <c r="L129" s="34">
        <f t="shared" si="6"/>
        <v>699.63016354420415</v>
      </c>
      <c r="M129" s="5">
        <f t="shared" si="7"/>
        <v>339014.75724981929</v>
      </c>
      <c r="N129" s="5">
        <f t="shared" si="8"/>
        <v>308384.46039472584</v>
      </c>
      <c r="O129" s="34">
        <f t="shared" si="9"/>
        <v>30630.296855093446</v>
      </c>
    </row>
    <row r="130" spans="10:15" x14ac:dyDescent="0.25">
      <c r="J130" s="4">
        <v>115</v>
      </c>
      <c r="K130" s="34">
        <f t="shared" si="5"/>
        <v>1695.0737862490839</v>
      </c>
      <c r="L130" s="34">
        <f t="shared" si="6"/>
        <v>703.12831436192528</v>
      </c>
      <c r="M130" s="5">
        <f t="shared" si="7"/>
        <v>338311.62893545738</v>
      </c>
      <c r="N130" s="5">
        <f t="shared" si="8"/>
        <v>307328.18059608847</v>
      </c>
      <c r="O130" s="34">
        <f t="shared" si="9"/>
        <v>30983.448339368915</v>
      </c>
    </row>
    <row r="131" spans="10:15" x14ac:dyDescent="0.25">
      <c r="J131" s="4">
        <v>116</v>
      </c>
      <c r="K131" s="34">
        <f t="shared" si="5"/>
        <v>1691.5581446772744</v>
      </c>
      <c r="L131" s="34">
        <f t="shared" si="6"/>
        <v>706.6439559337349</v>
      </c>
      <c r="M131" s="5">
        <f t="shared" si="7"/>
        <v>337604.9849795237</v>
      </c>
      <c r="N131" s="5">
        <f t="shared" si="8"/>
        <v>306266.61939845793</v>
      </c>
      <c r="O131" s="34">
        <f t="shared" si="9"/>
        <v>31338.365581065766</v>
      </c>
    </row>
    <row r="132" spans="10:15" x14ac:dyDescent="0.25">
      <c r="J132" s="4">
        <v>117</v>
      </c>
      <c r="K132" s="34">
        <f t="shared" si="5"/>
        <v>1688.0249248976061</v>
      </c>
      <c r="L132" s="34">
        <f t="shared" si="6"/>
        <v>710.17717571340324</v>
      </c>
      <c r="M132" s="5">
        <f t="shared" si="7"/>
        <v>336894.80780381028</v>
      </c>
      <c r="N132" s="5">
        <f t="shared" si="8"/>
        <v>305199.75039483921</v>
      </c>
      <c r="O132" s="34">
        <f t="shared" si="9"/>
        <v>31695.057408971072</v>
      </c>
    </row>
    <row r="133" spans="10:15" x14ac:dyDescent="0.25">
      <c r="J133" s="4">
        <v>118</v>
      </c>
      <c r="K133" s="34">
        <f t="shared" si="5"/>
        <v>1684.4740390190389</v>
      </c>
      <c r="L133" s="34">
        <f t="shared" si="6"/>
        <v>713.72806159197046</v>
      </c>
      <c r="M133" s="5">
        <f t="shared" si="7"/>
        <v>336181.07974221843</v>
      </c>
      <c r="N133" s="5">
        <f t="shared" si="8"/>
        <v>304127.54704620241</v>
      </c>
      <c r="O133" s="34">
        <f t="shared" si="9"/>
        <v>32053.532696016016</v>
      </c>
    </row>
    <row r="134" spans="10:15" x14ac:dyDescent="0.25">
      <c r="J134" s="4">
        <v>119</v>
      </c>
      <c r="K134" s="34">
        <f t="shared" si="5"/>
        <v>1680.905398711079</v>
      </c>
      <c r="L134" s="34">
        <f t="shared" si="6"/>
        <v>717.29670189993021</v>
      </c>
      <c r="M134" s="5">
        <f t="shared" si="7"/>
        <v>335463.78304031852</v>
      </c>
      <c r="N134" s="5">
        <f t="shared" si="8"/>
        <v>303049.98268082243</v>
      </c>
      <c r="O134" s="34">
        <f t="shared" si="9"/>
        <v>32413.80035949609</v>
      </c>
    </row>
    <row r="135" spans="10:15" x14ac:dyDescent="0.25">
      <c r="J135" s="4">
        <v>120</v>
      </c>
      <c r="K135" s="34">
        <f t="shared" si="5"/>
        <v>1677.3189152015793</v>
      </c>
      <c r="L135" s="34">
        <f t="shared" si="6"/>
        <v>720.88318540942998</v>
      </c>
      <c r="M135" s="5">
        <f t="shared" si="7"/>
        <v>334742.89985490905</v>
      </c>
      <c r="N135" s="5">
        <f t="shared" si="8"/>
        <v>301967.03049361554</v>
      </c>
      <c r="O135" s="34">
        <f t="shared" si="9"/>
        <v>32775.869361293502</v>
      </c>
    </row>
    <row r="136" spans="10:15" x14ac:dyDescent="0.25">
      <c r="J136" s="4">
        <v>121</v>
      </c>
      <c r="K136" s="34">
        <f t="shared" si="5"/>
        <v>1673.7144992745323</v>
      </c>
      <c r="L136" s="34">
        <f t="shared" si="6"/>
        <v>724.48760133647716</v>
      </c>
      <c r="M136" s="5">
        <f t="shared" si="7"/>
        <v>334018.41225357272</v>
      </c>
      <c r="N136" s="5">
        <f t="shared" si="8"/>
        <v>300878.66354547261</v>
      </c>
      <c r="O136" s="34">
        <f t="shared" si="9"/>
        <v>33139.748708100116</v>
      </c>
    </row>
    <row r="137" spans="10:15" x14ac:dyDescent="0.25">
      <c r="J137" s="4">
        <v>122</v>
      </c>
      <c r="K137" s="34">
        <f t="shared" si="5"/>
        <v>1670.0920612678497</v>
      </c>
      <c r="L137" s="34">
        <f t="shared" si="6"/>
        <v>728.11003934315966</v>
      </c>
      <c r="M137" s="5">
        <f t="shared" si="7"/>
        <v>333290.3022142296</v>
      </c>
      <c r="N137" s="5">
        <f t="shared" si="8"/>
        <v>299784.85476258898</v>
      </c>
      <c r="O137" s="34">
        <f t="shared" si="9"/>
        <v>33505.447451640619</v>
      </c>
    </row>
    <row r="138" spans="10:15" x14ac:dyDescent="0.25">
      <c r="J138" s="4">
        <v>123</v>
      </c>
      <c r="K138" s="34">
        <f t="shared" si="5"/>
        <v>1666.4515110711341</v>
      </c>
      <c r="L138" s="34">
        <f t="shared" si="6"/>
        <v>731.75058953987536</v>
      </c>
      <c r="M138" s="5">
        <f t="shared" si="7"/>
        <v>332558.55162468966</v>
      </c>
      <c r="N138" s="5">
        <f t="shared" si="8"/>
        <v>298685.57693579094</v>
      </c>
      <c r="O138" s="34">
        <f t="shared" si="9"/>
        <v>33872.974688898714</v>
      </c>
    </row>
    <row r="139" spans="10:15" x14ac:dyDescent="0.25">
      <c r="J139" s="4">
        <v>124</v>
      </c>
      <c r="K139" s="34">
        <f t="shared" si="5"/>
        <v>1662.7927581234344</v>
      </c>
      <c r="L139" s="34">
        <f t="shared" si="6"/>
        <v>735.4093424875748</v>
      </c>
      <c r="M139" s="5">
        <f t="shared" si="7"/>
        <v>331823.14228220214</v>
      </c>
      <c r="N139" s="5">
        <f t="shared" si="8"/>
        <v>297580.80271985888</v>
      </c>
      <c r="O139" s="34">
        <f t="shared" si="9"/>
        <v>34242.339562343259</v>
      </c>
    </row>
    <row r="140" spans="10:15" x14ac:dyDescent="0.25">
      <c r="J140" s="4">
        <v>125</v>
      </c>
      <c r="K140" s="34">
        <f t="shared" si="5"/>
        <v>1659.1157114109967</v>
      </c>
      <c r="L140" s="34">
        <f t="shared" si="6"/>
        <v>739.0863892000126</v>
      </c>
      <c r="M140" s="5">
        <f t="shared" si="7"/>
        <v>331084.05589300214</v>
      </c>
      <c r="N140" s="5">
        <f t="shared" si="8"/>
        <v>296470.50463284715</v>
      </c>
      <c r="O140" s="34">
        <f t="shared" si="9"/>
        <v>34613.551260154985</v>
      </c>
    </row>
    <row r="141" spans="10:15" x14ac:dyDescent="0.25">
      <c r="J141" s="4">
        <v>126</v>
      </c>
      <c r="K141" s="34">
        <f t="shared" si="5"/>
        <v>1655.4202794649964</v>
      </c>
      <c r="L141" s="34">
        <f t="shared" si="6"/>
        <v>742.78182114601282</v>
      </c>
      <c r="M141" s="5">
        <f t="shared" si="7"/>
        <v>330341.27407185617</v>
      </c>
      <c r="N141" s="5">
        <f t="shared" si="8"/>
        <v>295354.65505540039</v>
      </c>
      <c r="O141" s="34">
        <f t="shared" si="9"/>
        <v>34986.619016455777</v>
      </c>
    </row>
    <row r="142" spans="10:15" x14ac:dyDescent="0.25">
      <c r="J142" s="4">
        <v>127</v>
      </c>
      <c r="K142" s="34">
        <f t="shared" si="5"/>
        <v>1651.7063703592667</v>
      </c>
      <c r="L142" s="34">
        <f t="shared" si="6"/>
        <v>746.49573025174266</v>
      </c>
      <c r="M142" s="5">
        <f t="shared" si="7"/>
        <v>329594.77834160457</v>
      </c>
      <c r="N142" s="5">
        <f t="shared" si="8"/>
        <v>294233.22623006639</v>
      </c>
      <c r="O142" s="34">
        <f t="shared" si="9"/>
        <v>35361.552111538185</v>
      </c>
    </row>
    <row r="143" spans="10:15" x14ac:dyDescent="0.25">
      <c r="J143" s="4">
        <v>128</v>
      </c>
      <c r="K143" s="34">
        <f t="shared" si="5"/>
        <v>1647.9738917080078</v>
      </c>
      <c r="L143" s="34">
        <f t="shared" si="6"/>
        <v>750.22820890300147</v>
      </c>
      <c r="M143" s="5">
        <f t="shared" si="7"/>
        <v>328844.55013270158</v>
      </c>
      <c r="N143" s="5">
        <f t="shared" si="8"/>
        <v>293106.19026060571</v>
      </c>
      <c r="O143" s="34">
        <f t="shared" si="9"/>
        <v>35738.359872095869</v>
      </c>
    </row>
    <row r="144" spans="10:15" x14ac:dyDescent="0.25">
      <c r="J144" s="4">
        <v>129</v>
      </c>
      <c r="K144" s="34">
        <f t="shared" ref="K144:K207" si="10">-IPMT(APR/12, Month,  Loan_Term_Years*12, Loan_Amount)</f>
        <v>1644.2227506634929</v>
      </c>
      <c r="L144" s="34">
        <f t="shared" ref="L144:L207" si="11">-PPMT(APR/12, Month,  Loan_Term_Years*12, Loan_Amount)</f>
        <v>753.97934994751643</v>
      </c>
      <c r="M144" s="5">
        <f t="shared" ref="M144:M207" si="12">FV(APR/12, Month, Monthly_Payment, -Loan_Amount)</f>
        <v>328090.5707827541</v>
      </c>
      <c r="N144" s="5">
        <f t="shared" ref="N144:N207" si="13">N143+N143*APR/12 - (Monthly_Payment+Additional_Payment)</f>
        <v>291973.51911129773</v>
      </c>
      <c r="O144" s="34">
        <f t="shared" si="9"/>
        <v>36117.051671456371</v>
      </c>
    </row>
    <row r="145" spans="10:15" x14ac:dyDescent="0.25">
      <c r="J145" s="4">
        <v>130</v>
      </c>
      <c r="K145" s="34">
        <f t="shared" si="10"/>
        <v>1640.4528539137552</v>
      </c>
      <c r="L145" s="34">
        <f t="shared" si="11"/>
        <v>757.74924669725397</v>
      </c>
      <c r="M145" s="5">
        <f t="shared" si="12"/>
        <v>327332.82153605681</v>
      </c>
      <c r="N145" s="5">
        <f t="shared" si="13"/>
        <v>290835.18460624322</v>
      </c>
      <c r="O145" s="34">
        <f t="shared" si="9"/>
        <v>36497.636929813598</v>
      </c>
    </row>
    <row r="146" spans="10:15" x14ac:dyDescent="0.25">
      <c r="J146" s="4">
        <v>131</v>
      </c>
      <c r="K146" s="34">
        <f t="shared" si="10"/>
        <v>1636.6641076802689</v>
      </c>
      <c r="L146" s="34">
        <f t="shared" si="11"/>
        <v>761.5379929307403</v>
      </c>
      <c r="M146" s="5">
        <f t="shared" si="12"/>
        <v>326571.28354312613</v>
      </c>
      <c r="N146" s="5">
        <f t="shared" si="13"/>
        <v>289691.15842866345</v>
      </c>
      <c r="O146" s="34">
        <f t="shared" ref="O146:O209" si="14">M146-N146</f>
        <v>36880.125114462688</v>
      </c>
    </row>
    <row r="147" spans="10:15" x14ac:dyDescent="0.25">
      <c r="J147" s="4">
        <v>132</v>
      </c>
      <c r="K147" s="34">
        <f t="shared" si="10"/>
        <v>1632.8564177156152</v>
      </c>
      <c r="L147" s="34">
        <f t="shared" si="11"/>
        <v>765.34568289539391</v>
      </c>
      <c r="M147" s="5">
        <f t="shared" si="12"/>
        <v>325805.9378602308</v>
      </c>
      <c r="N147" s="5">
        <f t="shared" si="13"/>
        <v>288541.41212019575</v>
      </c>
      <c r="O147" s="34">
        <f t="shared" si="14"/>
        <v>37264.525740035053</v>
      </c>
    </row>
    <row r="148" spans="10:15" x14ac:dyDescent="0.25">
      <c r="J148" s="4">
        <v>133</v>
      </c>
      <c r="K148" s="34">
        <f t="shared" si="10"/>
        <v>1629.0296893011382</v>
      </c>
      <c r="L148" s="34">
        <f t="shared" si="11"/>
        <v>769.17241130987111</v>
      </c>
      <c r="M148" s="5">
        <f t="shared" si="12"/>
        <v>325036.76544892095</v>
      </c>
      <c r="N148" s="5">
        <f t="shared" si="13"/>
        <v>287385.91708018573</v>
      </c>
      <c r="O148" s="34">
        <f t="shared" si="14"/>
        <v>37650.848368735227</v>
      </c>
    </row>
    <row r="149" spans="10:15" x14ac:dyDescent="0.25">
      <c r="J149" s="4">
        <v>134</v>
      </c>
      <c r="K149" s="34">
        <f t="shared" si="10"/>
        <v>1625.1838272445891</v>
      </c>
      <c r="L149" s="34">
        <f t="shared" si="11"/>
        <v>773.0182733664202</v>
      </c>
      <c r="M149" s="5">
        <f t="shared" si="12"/>
        <v>324263.74717555451</v>
      </c>
      <c r="N149" s="5">
        <f t="shared" si="13"/>
        <v>286224.64456497564</v>
      </c>
      <c r="O149" s="34">
        <f t="shared" si="14"/>
        <v>38039.102610578877</v>
      </c>
    </row>
    <row r="150" spans="10:15" x14ac:dyDescent="0.25">
      <c r="J150" s="4">
        <v>135</v>
      </c>
      <c r="K150" s="34">
        <f t="shared" si="10"/>
        <v>1621.3187358777568</v>
      </c>
      <c r="L150" s="34">
        <f t="shared" si="11"/>
        <v>776.88336473325239</v>
      </c>
      <c r="M150" s="5">
        <f t="shared" si="12"/>
        <v>323486.86381082138</v>
      </c>
      <c r="N150" s="5">
        <f t="shared" si="13"/>
        <v>285057.56568718952</v>
      </c>
      <c r="O150" s="34">
        <f t="shared" si="14"/>
        <v>38429.298123631859</v>
      </c>
    </row>
    <row r="151" spans="10:15" x14ac:dyDescent="0.25">
      <c r="J151" s="4">
        <v>136</v>
      </c>
      <c r="K151" s="34">
        <f t="shared" si="10"/>
        <v>1617.4343190540906</v>
      </c>
      <c r="L151" s="34">
        <f t="shared" si="11"/>
        <v>780.76778155691864</v>
      </c>
      <c r="M151" s="5">
        <f t="shared" si="12"/>
        <v>322706.0960292645</v>
      </c>
      <c r="N151" s="5">
        <f t="shared" si="13"/>
        <v>283884.65141501446</v>
      </c>
      <c r="O151" s="34">
        <f t="shared" si="14"/>
        <v>38821.444614250038</v>
      </c>
    </row>
    <row r="152" spans="10:15" x14ac:dyDescent="0.25">
      <c r="J152" s="4">
        <v>137</v>
      </c>
      <c r="K152" s="34">
        <f t="shared" si="10"/>
        <v>1613.530480146306</v>
      </c>
      <c r="L152" s="34">
        <f t="shared" si="11"/>
        <v>784.67162046470344</v>
      </c>
      <c r="M152" s="5">
        <f t="shared" si="12"/>
        <v>321921.42440879979</v>
      </c>
      <c r="N152" s="5">
        <f t="shared" si="13"/>
        <v>282705.87257147854</v>
      </c>
      <c r="O152" s="34">
        <f t="shared" si="14"/>
        <v>39215.551837321254</v>
      </c>
    </row>
    <row r="153" spans="10:15" x14ac:dyDescent="0.25">
      <c r="J153" s="4">
        <v>138</v>
      </c>
      <c r="K153" s="34">
        <f t="shared" si="10"/>
        <v>1609.6071220439826</v>
      </c>
      <c r="L153" s="34">
        <f t="shared" si="11"/>
        <v>788.59497856702683</v>
      </c>
      <c r="M153" s="5">
        <f t="shared" si="12"/>
        <v>321132.82943023287</v>
      </c>
      <c r="N153" s="5">
        <f t="shared" si="13"/>
        <v>281521.19983372494</v>
      </c>
      <c r="O153" s="34">
        <f t="shared" si="14"/>
        <v>39611.629596507933</v>
      </c>
    </row>
    <row r="154" spans="10:15" x14ac:dyDescent="0.25">
      <c r="J154" s="4">
        <v>139</v>
      </c>
      <c r="K154" s="34">
        <f t="shared" si="10"/>
        <v>1605.6641471511473</v>
      </c>
      <c r="L154" s="34">
        <f t="shared" si="11"/>
        <v>792.53795345986202</v>
      </c>
      <c r="M154" s="5">
        <f t="shared" si="12"/>
        <v>320340.29147677298</v>
      </c>
      <c r="N154" s="5">
        <f t="shared" si="13"/>
        <v>280330.60373228259</v>
      </c>
      <c r="O154" s="34">
        <f t="shared" si="14"/>
        <v>40009.687744490395</v>
      </c>
    </row>
    <row r="155" spans="10:15" x14ac:dyDescent="0.25">
      <c r="J155" s="4">
        <v>140</v>
      </c>
      <c r="K155" s="34">
        <f t="shared" si="10"/>
        <v>1601.701457383848</v>
      </c>
      <c r="L155" s="34">
        <f t="shared" si="11"/>
        <v>796.50064322716116</v>
      </c>
      <c r="M155" s="5">
        <f t="shared" si="12"/>
        <v>319543.79083354591</v>
      </c>
      <c r="N155" s="5">
        <f t="shared" si="13"/>
        <v>279134.05465033301</v>
      </c>
      <c r="O155" s="34">
        <f t="shared" si="14"/>
        <v>40409.736183212895</v>
      </c>
    </row>
    <row r="156" spans="10:15" x14ac:dyDescent="0.25">
      <c r="J156" s="4">
        <v>141</v>
      </c>
      <c r="K156" s="34">
        <f t="shared" si="10"/>
        <v>1597.7189541677124</v>
      </c>
      <c r="L156" s="34">
        <f t="shared" si="11"/>
        <v>800.48314644329707</v>
      </c>
      <c r="M156" s="5">
        <f t="shared" si="12"/>
        <v>318743.30768710258</v>
      </c>
      <c r="N156" s="5">
        <f t="shared" si="13"/>
        <v>277931.52282297367</v>
      </c>
      <c r="O156" s="34">
        <f t="shared" si="14"/>
        <v>40811.784864128917</v>
      </c>
    </row>
    <row r="157" spans="10:15" x14ac:dyDescent="0.25">
      <c r="J157" s="4">
        <v>142</v>
      </c>
      <c r="K157" s="34">
        <f t="shared" si="10"/>
        <v>1593.7165384354957</v>
      </c>
      <c r="L157" s="34">
        <f t="shared" si="11"/>
        <v>804.48556217551345</v>
      </c>
      <c r="M157" s="5">
        <f t="shared" si="12"/>
        <v>317938.82212492719</v>
      </c>
      <c r="N157" s="5">
        <f t="shared" si="13"/>
        <v>276722.97833647754</v>
      </c>
      <c r="O157" s="34">
        <f t="shared" si="14"/>
        <v>41215.843788449652</v>
      </c>
    </row>
    <row r="158" spans="10:15" x14ac:dyDescent="0.25">
      <c r="J158" s="4">
        <v>143</v>
      </c>
      <c r="K158" s="34">
        <f t="shared" si="10"/>
        <v>1589.6941106246179</v>
      </c>
      <c r="L158" s="34">
        <f t="shared" si="11"/>
        <v>808.50798998639107</v>
      </c>
      <c r="M158" s="5">
        <f t="shared" si="12"/>
        <v>317130.31413494085</v>
      </c>
      <c r="N158" s="5">
        <f t="shared" si="13"/>
        <v>275508.39112754894</v>
      </c>
      <c r="O158" s="34">
        <f t="shared" si="14"/>
        <v>41621.923007391917</v>
      </c>
    </row>
    <row r="159" spans="10:15" x14ac:dyDescent="0.25">
      <c r="J159" s="4">
        <v>144</v>
      </c>
      <c r="K159" s="34">
        <f t="shared" si="10"/>
        <v>1585.6515706746859</v>
      </c>
      <c r="L159" s="34">
        <f t="shared" si="11"/>
        <v>812.55052993632319</v>
      </c>
      <c r="M159" s="5">
        <f t="shared" si="12"/>
        <v>316317.76360500453</v>
      </c>
      <c r="N159" s="5">
        <f t="shared" si="13"/>
        <v>274287.73098257568</v>
      </c>
      <c r="O159" s="34">
        <f t="shared" si="14"/>
        <v>42030.032622428844</v>
      </c>
    </row>
    <row r="160" spans="10:15" x14ac:dyDescent="0.25">
      <c r="J160" s="4">
        <v>145</v>
      </c>
      <c r="K160" s="34">
        <f t="shared" si="10"/>
        <v>1581.5888180250047</v>
      </c>
      <c r="L160" s="34">
        <f t="shared" si="11"/>
        <v>816.61328258600463</v>
      </c>
      <c r="M160" s="5">
        <f t="shared" si="12"/>
        <v>315501.15032241849</v>
      </c>
      <c r="N160" s="5">
        <f t="shared" si="13"/>
        <v>273060.96753687755</v>
      </c>
      <c r="O160" s="34">
        <f t="shared" si="14"/>
        <v>42440.182785540936</v>
      </c>
    </row>
    <row r="161" spans="10:15" x14ac:dyDescent="0.25">
      <c r="J161" s="4">
        <v>146</v>
      </c>
      <c r="K161" s="34">
        <f t="shared" si="10"/>
        <v>1577.5057516120746</v>
      </c>
      <c r="L161" s="34">
        <f t="shared" si="11"/>
        <v>820.6963489989347</v>
      </c>
      <c r="M161" s="5">
        <f t="shared" si="12"/>
        <v>314680.45397341967</v>
      </c>
      <c r="N161" s="5">
        <f t="shared" si="13"/>
        <v>271828.07027395093</v>
      </c>
      <c r="O161" s="34">
        <f t="shared" si="14"/>
        <v>42852.383699468744</v>
      </c>
    </row>
    <row r="162" spans="10:15" x14ac:dyDescent="0.25">
      <c r="J162" s="4">
        <v>147</v>
      </c>
      <c r="K162" s="34">
        <f t="shared" si="10"/>
        <v>1573.4022698670801</v>
      </c>
      <c r="L162" s="34">
        <f t="shared" si="11"/>
        <v>824.79983074392931</v>
      </c>
      <c r="M162" s="5">
        <f t="shared" si="12"/>
        <v>313855.65414267575</v>
      </c>
      <c r="N162" s="5">
        <f t="shared" si="13"/>
        <v>270589.00852470967</v>
      </c>
      <c r="O162" s="34">
        <f t="shared" si="14"/>
        <v>43266.645617966074</v>
      </c>
    </row>
    <row r="163" spans="10:15" x14ac:dyDescent="0.25">
      <c r="J163" s="4">
        <v>148</v>
      </c>
      <c r="K163" s="34">
        <f t="shared" si="10"/>
        <v>1569.2782707133601</v>
      </c>
      <c r="L163" s="34">
        <f t="shared" si="11"/>
        <v>828.92382989764917</v>
      </c>
      <c r="M163" s="5">
        <f t="shared" si="12"/>
        <v>313026.73031277821</v>
      </c>
      <c r="N163" s="5">
        <f t="shared" si="13"/>
        <v>269343.75146672223</v>
      </c>
      <c r="O163" s="34">
        <f t="shared" si="14"/>
        <v>43682.978846055979</v>
      </c>
    </row>
    <row r="164" spans="10:15" x14ac:dyDescent="0.25">
      <c r="J164" s="4">
        <v>149</v>
      </c>
      <c r="K164" s="34">
        <f t="shared" si="10"/>
        <v>1565.1336515638718</v>
      </c>
      <c r="L164" s="34">
        <f t="shared" si="11"/>
        <v>833.06844904713716</v>
      </c>
      <c r="M164" s="5">
        <f t="shared" si="12"/>
        <v>312193.6618637311</v>
      </c>
      <c r="N164" s="5">
        <f t="shared" si="13"/>
        <v>268092.26812344481</v>
      </c>
      <c r="O164" s="34">
        <f t="shared" si="14"/>
        <v>44101.393740286294</v>
      </c>
    </row>
    <row r="165" spans="10:15" x14ac:dyDescent="0.25">
      <c r="J165" s="4">
        <v>150</v>
      </c>
      <c r="K165" s="34">
        <f t="shared" si="10"/>
        <v>1560.9683093186361</v>
      </c>
      <c r="L165" s="34">
        <f t="shared" si="11"/>
        <v>837.2337912923731</v>
      </c>
      <c r="M165" s="5">
        <f t="shared" si="12"/>
        <v>311356.42807243881</v>
      </c>
      <c r="N165" s="5">
        <f t="shared" si="13"/>
        <v>266834.52736345102</v>
      </c>
      <c r="O165" s="34">
        <f t="shared" si="14"/>
        <v>44521.900708987785</v>
      </c>
    </row>
    <row r="166" spans="10:15" x14ac:dyDescent="0.25">
      <c r="J166" s="4">
        <v>151</v>
      </c>
      <c r="K166" s="34">
        <f t="shared" si="10"/>
        <v>1556.7821403621747</v>
      </c>
      <c r="L166" s="34">
        <f t="shared" si="11"/>
        <v>841.41996024883474</v>
      </c>
      <c r="M166" s="5">
        <f t="shared" si="12"/>
        <v>310515.00811218994</v>
      </c>
      <c r="N166" s="5">
        <f t="shared" si="13"/>
        <v>265570.49789965729</v>
      </c>
      <c r="O166" s="34">
        <f t="shared" si="14"/>
        <v>44944.510212532652</v>
      </c>
    </row>
    <row r="167" spans="10:15" x14ac:dyDescent="0.25">
      <c r="J167" s="4">
        <v>152</v>
      </c>
      <c r="K167" s="34">
        <f t="shared" si="10"/>
        <v>1552.5750405609303</v>
      </c>
      <c r="L167" s="34">
        <f t="shared" si="11"/>
        <v>845.62706005007885</v>
      </c>
      <c r="M167" s="5">
        <f t="shared" si="12"/>
        <v>309669.38105213991</v>
      </c>
      <c r="N167" s="5">
        <f t="shared" si="13"/>
        <v>264300.14828854456</v>
      </c>
      <c r="O167" s="34">
        <f t="shared" si="14"/>
        <v>45369.232763595355</v>
      </c>
    </row>
    <row r="168" spans="10:15" x14ac:dyDescent="0.25">
      <c r="J168" s="4">
        <v>153</v>
      </c>
      <c r="K168" s="34">
        <f t="shared" si="10"/>
        <v>1548.3469052606797</v>
      </c>
      <c r="L168" s="34">
        <f t="shared" si="11"/>
        <v>849.8551953503295</v>
      </c>
      <c r="M168" s="5">
        <f t="shared" si="12"/>
        <v>308819.52585678967</v>
      </c>
      <c r="N168" s="5">
        <f t="shared" si="13"/>
        <v>263023.44692937628</v>
      </c>
      <c r="O168" s="34">
        <f t="shared" si="14"/>
        <v>45796.078927413386</v>
      </c>
    </row>
    <row r="169" spans="10:15" x14ac:dyDescent="0.25">
      <c r="J169" s="4">
        <v>154</v>
      </c>
      <c r="K169" s="34">
        <f t="shared" si="10"/>
        <v>1544.0976292839282</v>
      </c>
      <c r="L169" s="34">
        <f t="shared" si="11"/>
        <v>854.104471327081</v>
      </c>
      <c r="M169" s="5">
        <f t="shared" si="12"/>
        <v>307965.42138546263</v>
      </c>
      <c r="N169" s="5">
        <f t="shared" si="13"/>
        <v>261740.36206341215</v>
      </c>
      <c r="O169" s="34">
        <f t="shared" si="14"/>
        <v>46225.059322050482</v>
      </c>
    </row>
    <row r="170" spans="10:15" x14ac:dyDescent="0.25">
      <c r="J170" s="4">
        <v>155</v>
      </c>
      <c r="K170" s="34">
        <f t="shared" si="10"/>
        <v>1539.8271069272928</v>
      </c>
      <c r="L170" s="34">
        <f t="shared" si="11"/>
        <v>858.37499368371653</v>
      </c>
      <c r="M170" s="5">
        <f t="shared" si="12"/>
        <v>307107.04639177886</v>
      </c>
      <c r="N170" s="5">
        <f t="shared" si="13"/>
        <v>260450.8617731182</v>
      </c>
      <c r="O170" s="34">
        <f t="shared" si="14"/>
        <v>46656.184618660656</v>
      </c>
    </row>
    <row r="171" spans="10:15" x14ac:dyDescent="0.25">
      <c r="J171" s="4">
        <v>156</v>
      </c>
      <c r="K171" s="34">
        <f t="shared" si="10"/>
        <v>1535.5352319588742</v>
      </c>
      <c r="L171" s="34">
        <f t="shared" si="11"/>
        <v>862.66686865213501</v>
      </c>
      <c r="M171" s="5">
        <f t="shared" si="12"/>
        <v>306244.37952312687</v>
      </c>
      <c r="N171" s="5">
        <f t="shared" si="13"/>
        <v>259154.91398137278</v>
      </c>
      <c r="O171" s="34">
        <f t="shared" si="14"/>
        <v>47089.465541754093</v>
      </c>
    </row>
    <row r="172" spans="10:15" x14ac:dyDescent="0.25">
      <c r="J172" s="4">
        <v>157</v>
      </c>
      <c r="K172" s="34">
        <f t="shared" si="10"/>
        <v>1531.2218976156134</v>
      </c>
      <c r="L172" s="34">
        <f t="shared" si="11"/>
        <v>866.98020299539564</v>
      </c>
      <c r="M172" s="5">
        <f t="shared" si="12"/>
        <v>305377.39932013152</v>
      </c>
      <c r="N172" s="5">
        <f t="shared" si="13"/>
        <v>257852.48645066866</v>
      </c>
      <c r="O172" s="34">
        <f t="shared" si="14"/>
        <v>47524.91286946286</v>
      </c>
    </row>
    <row r="173" spans="10:15" x14ac:dyDescent="0.25">
      <c r="J173" s="4">
        <v>158</v>
      </c>
      <c r="K173" s="34">
        <f t="shared" si="10"/>
        <v>1526.8869966006366</v>
      </c>
      <c r="L173" s="34">
        <f t="shared" si="11"/>
        <v>871.31510401037258</v>
      </c>
      <c r="M173" s="5">
        <f t="shared" si="12"/>
        <v>304506.08421612123</v>
      </c>
      <c r="N173" s="5">
        <f t="shared" si="13"/>
        <v>256543.54678231099</v>
      </c>
      <c r="O173" s="34">
        <f t="shared" si="14"/>
        <v>47962.537433810241</v>
      </c>
    </row>
    <row r="174" spans="10:15" x14ac:dyDescent="0.25">
      <c r="J174" s="4">
        <v>159</v>
      </c>
      <c r="K174" s="34">
        <f t="shared" si="10"/>
        <v>1522.5304210805846</v>
      </c>
      <c r="L174" s="34">
        <f t="shared" si="11"/>
        <v>875.67167953042463</v>
      </c>
      <c r="M174" s="5">
        <f t="shared" si="12"/>
        <v>303630.41253659083</v>
      </c>
      <c r="N174" s="5">
        <f t="shared" si="13"/>
        <v>255228.06241561155</v>
      </c>
      <c r="O174" s="34">
        <f t="shared" si="14"/>
        <v>48402.350120979274</v>
      </c>
    </row>
    <row r="175" spans="10:15" x14ac:dyDescent="0.25">
      <c r="J175" s="4">
        <v>160</v>
      </c>
      <c r="K175" s="34">
        <f t="shared" si="10"/>
        <v>1518.1520626829326</v>
      </c>
      <c r="L175" s="34">
        <f t="shared" si="11"/>
        <v>880.05003792807668</v>
      </c>
      <c r="M175" s="5">
        <f t="shared" si="12"/>
        <v>302750.36249866278</v>
      </c>
      <c r="N175" s="5">
        <f t="shared" si="13"/>
        <v>253906.00062707861</v>
      </c>
      <c r="O175" s="34">
        <f t="shared" si="14"/>
        <v>48844.361871584173</v>
      </c>
    </row>
    <row r="176" spans="10:15" x14ac:dyDescent="0.25">
      <c r="J176" s="4">
        <v>161</v>
      </c>
      <c r="K176" s="34">
        <f t="shared" si="10"/>
        <v>1513.7518124932922</v>
      </c>
      <c r="L176" s="34">
        <f t="shared" si="11"/>
        <v>884.45028811771715</v>
      </c>
      <c r="M176" s="5">
        <f t="shared" si="12"/>
        <v>301865.91221054515</v>
      </c>
      <c r="N176" s="5">
        <f t="shared" si="13"/>
        <v>252577.32852960299</v>
      </c>
      <c r="O176" s="34">
        <f t="shared" si="14"/>
        <v>49288.58368094216</v>
      </c>
    </row>
    <row r="177" spans="10:15" x14ac:dyDescent="0.25">
      <c r="J177" s="4">
        <v>162</v>
      </c>
      <c r="K177" s="34">
        <f t="shared" si="10"/>
        <v>1509.3295610527034</v>
      </c>
      <c r="L177" s="34">
        <f t="shared" si="11"/>
        <v>888.87253955830556</v>
      </c>
      <c r="M177" s="5">
        <f t="shared" si="12"/>
        <v>300977.03967098694</v>
      </c>
      <c r="N177" s="5">
        <f t="shared" si="13"/>
        <v>251242.01307164002</v>
      </c>
      <c r="O177" s="34">
        <f t="shared" si="14"/>
        <v>49735.026599346922</v>
      </c>
    </row>
    <row r="178" spans="10:15" x14ac:dyDescent="0.25">
      <c r="J178" s="4">
        <v>163</v>
      </c>
      <c r="K178" s="34">
        <f t="shared" si="10"/>
        <v>1504.8851983549121</v>
      </c>
      <c r="L178" s="34">
        <f t="shared" si="11"/>
        <v>893.31690225609725</v>
      </c>
      <c r="M178" s="5">
        <f t="shared" si="12"/>
        <v>300083.72276873083</v>
      </c>
      <c r="N178" s="5">
        <f t="shared" si="13"/>
        <v>249900.02103638722</v>
      </c>
      <c r="O178" s="34">
        <f t="shared" si="14"/>
        <v>50183.701732343616</v>
      </c>
    </row>
    <row r="179" spans="10:15" x14ac:dyDescent="0.25">
      <c r="J179" s="4">
        <v>164</v>
      </c>
      <c r="K179" s="34">
        <f t="shared" si="10"/>
        <v>1500.4186138436314</v>
      </c>
      <c r="L179" s="34">
        <f t="shared" si="11"/>
        <v>897.78348676737767</v>
      </c>
      <c r="M179" s="5">
        <f t="shared" si="12"/>
        <v>299185.93928196351</v>
      </c>
      <c r="N179" s="5">
        <f t="shared" si="13"/>
        <v>248551.31904095816</v>
      </c>
      <c r="O179" s="34">
        <f t="shared" si="14"/>
        <v>50634.620241005352</v>
      </c>
    </row>
    <row r="180" spans="10:15" x14ac:dyDescent="0.25">
      <c r="J180" s="4">
        <v>165</v>
      </c>
      <c r="K180" s="34">
        <f t="shared" si="10"/>
        <v>1495.9296964097946</v>
      </c>
      <c r="L180" s="34">
        <f t="shared" si="11"/>
        <v>902.2724042012145</v>
      </c>
      <c r="M180" s="5">
        <f t="shared" si="12"/>
        <v>298283.6668777623</v>
      </c>
      <c r="N180" s="5">
        <f t="shared" si="13"/>
        <v>247195.87353555195</v>
      </c>
      <c r="O180" s="34">
        <f t="shared" si="14"/>
        <v>51087.793342210352</v>
      </c>
    </row>
    <row r="181" spans="10:15" x14ac:dyDescent="0.25">
      <c r="J181" s="4">
        <v>166</v>
      </c>
      <c r="K181" s="34">
        <f t="shared" si="10"/>
        <v>1491.4183343887885</v>
      </c>
      <c r="L181" s="34">
        <f t="shared" si="11"/>
        <v>906.78376622222061</v>
      </c>
      <c r="M181" s="5">
        <f t="shared" si="12"/>
        <v>297376.88311154023</v>
      </c>
      <c r="N181" s="5">
        <f t="shared" si="13"/>
        <v>245833.65080261871</v>
      </c>
      <c r="O181" s="34">
        <f t="shared" si="14"/>
        <v>51543.232308921521</v>
      </c>
    </row>
    <row r="182" spans="10:15" x14ac:dyDescent="0.25">
      <c r="J182" s="4">
        <v>167</v>
      </c>
      <c r="K182" s="34">
        <f t="shared" si="10"/>
        <v>1486.8844155576776</v>
      </c>
      <c r="L182" s="34">
        <f t="shared" si="11"/>
        <v>911.31768505333173</v>
      </c>
      <c r="M182" s="5">
        <f t="shared" si="12"/>
        <v>296465.56542648689</v>
      </c>
      <c r="N182" s="5">
        <f t="shared" si="13"/>
        <v>244464.61695602079</v>
      </c>
      <c r="O182" s="34">
        <f t="shared" si="14"/>
        <v>52000.948470466101</v>
      </c>
    </row>
    <row r="183" spans="10:15" x14ac:dyDescent="0.25">
      <c r="J183" s="4">
        <v>168</v>
      </c>
      <c r="K183" s="34">
        <f t="shared" si="10"/>
        <v>1482.3278271324107</v>
      </c>
      <c r="L183" s="34">
        <f t="shared" si="11"/>
        <v>915.8742734785983</v>
      </c>
      <c r="M183" s="5">
        <f t="shared" si="12"/>
        <v>295549.69115300826</v>
      </c>
      <c r="N183" s="5">
        <f t="shared" si="13"/>
        <v>243088.73794018989</v>
      </c>
      <c r="O183" s="34">
        <f t="shared" si="14"/>
        <v>52460.953212818364</v>
      </c>
    </row>
    <row r="184" spans="10:15" x14ac:dyDescent="0.25">
      <c r="J184" s="4">
        <v>169</v>
      </c>
      <c r="K184" s="34">
        <f t="shared" si="10"/>
        <v>1477.748455765018</v>
      </c>
      <c r="L184" s="34">
        <f t="shared" si="11"/>
        <v>920.45364484599133</v>
      </c>
      <c r="M184" s="5">
        <f t="shared" si="12"/>
        <v>294629.23750816227</v>
      </c>
      <c r="N184" s="5">
        <f t="shared" si="13"/>
        <v>241705.97952927984</v>
      </c>
      <c r="O184" s="34">
        <f t="shared" si="14"/>
        <v>52923.257978882437</v>
      </c>
    </row>
    <row r="185" spans="10:15" x14ac:dyDescent="0.25">
      <c r="J185" s="4">
        <v>170</v>
      </c>
      <c r="K185" s="34">
        <f t="shared" si="10"/>
        <v>1473.1461875407879</v>
      </c>
      <c r="L185" s="34">
        <f t="shared" si="11"/>
        <v>925.05591307022132</v>
      </c>
      <c r="M185" s="5">
        <f t="shared" si="12"/>
        <v>293704.18159509217</v>
      </c>
      <c r="N185" s="5">
        <f t="shared" si="13"/>
        <v>240316.30732631523</v>
      </c>
      <c r="O185" s="34">
        <f t="shared" si="14"/>
        <v>53387.874268776941</v>
      </c>
    </row>
    <row r="186" spans="10:15" x14ac:dyDescent="0.25">
      <c r="J186" s="4">
        <v>171</v>
      </c>
      <c r="K186" s="34">
        <f t="shared" si="10"/>
        <v>1468.520907975437</v>
      </c>
      <c r="L186" s="34">
        <f t="shared" si="11"/>
        <v>929.68119263557242</v>
      </c>
      <c r="M186" s="5">
        <f t="shared" si="12"/>
        <v>292774.50040245673</v>
      </c>
      <c r="N186" s="5">
        <f t="shared" si="13"/>
        <v>238919.6867623358</v>
      </c>
      <c r="O186" s="34">
        <f t="shared" si="14"/>
        <v>53854.813640120934</v>
      </c>
    </row>
    <row r="187" spans="10:15" x14ac:dyDescent="0.25">
      <c r="J187" s="4">
        <v>172</v>
      </c>
      <c r="K187" s="34">
        <f t="shared" si="10"/>
        <v>1463.872502012259</v>
      </c>
      <c r="L187" s="34">
        <f t="shared" si="11"/>
        <v>934.32959859875018</v>
      </c>
      <c r="M187" s="5">
        <f t="shared" si="12"/>
        <v>291840.17080385797</v>
      </c>
      <c r="N187" s="5">
        <f t="shared" si="13"/>
        <v>237516.08309553648</v>
      </c>
      <c r="O187" s="34">
        <f t="shared" si="14"/>
        <v>54324.087708321487</v>
      </c>
    </row>
    <row r="188" spans="10:15" x14ac:dyDescent="0.25">
      <c r="J188" s="4">
        <v>173</v>
      </c>
      <c r="K188" s="34">
        <f t="shared" si="10"/>
        <v>1459.2008540192651</v>
      </c>
      <c r="L188" s="34">
        <f t="shared" si="11"/>
        <v>939.00124659174401</v>
      </c>
      <c r="M188" s="5">
        <f t="shared" si="12"/>
        <v>290901.16955726629</v>
      </c>
      <c r="N188" s="5">
        <f t="shared" si="13"/>
        <v>236105.46141040316</v>
      </c>
      <c r="O188" s="34">
        <f t="shared" si="14"/>
        <v>54795.708146863122</v>
      </c>
    </row>
    <row r="189" spans="10:15" x14ac:dyDescent="0.25">
      <c r="J189" s="4">
        <v>174</v>
      </c>
      <c r="K189" s="34">
        <f t="shared" si="10"/>
        <v>1454.5058477863065</v>
      </c>
      <c r="L189" s="34">
        <f t="shared" si="11"/>
        <v>943.69625282470281</v>
      </c>
      <c r="M189" s="5">
        <f t="shared" si="12"/>
        <v>289957.47330444155</v>
      </c>
      <c r="N189" s="5">
        <f t="shared" si="13"/>
        <v>234687.78661684418</v>
      </c>
      <c r="O189" s="34">
        <f t="shared" si="14"/>
        <v>55269.686687597365</v>
      </c>
    </row>
    <row r="190" spans="10:15" x14ac:dyDescent="0.25">
      <c r="J190" s="4">
        <v>175</v>
      </c>
      <c r="K190" s="34">
        <f t="shared" si="10"/>
        <v>1449.7873665221828</v>
      </c>
      <c r="L190" s="34">
        <f t="shared" si="11"/>
        <v>948.41473408882621</v>
      </c>
      <c r="M190" s="5">
        <f t="shared" si="12"/>
        <v>289009.05857035285</v>
      </c>
      <c r="N190" s="5">
        <f t="shared" si="13"/>
        <v>233263.02344931741</v>
      </c>
      <c r="O190" s="34">
        <f t="shared" si="14"/>
        <v>55746.035121035442</v>
      </c>
    </row>
    <row r="191" spans="10:15" x14ac:dyDescent="0.25">
      <c r="J191" s="4">
        <v>176</v>
      </c>
      <c r="K191" s="34">
        <f t="shared" si="10"/>
        <v>1445.0452928517389</v>
      </c>
      <c r="L191" s="34">
        <f t="shared" si="11"/>
        <v>953.15680775927046</v>
      </c>
      <c r="M191" s="5">
        <f t="shared" si="12"/>
        <v>288055.90176259365</v>
      </c>
      <c r="N191" s="5">
        <f t="shared" si="13"/>
        <v>231831.13646595299</v>
      </c>
      <c r="O191" s="34">
        <f t="shared" si="14"/>
        <v>56224.76529664066</v>
      </c>
    </row>
    <row r="192" spans="10:15" x14ac:dyDescent="0.25">
      <c r="J192" s="4">
        <v>177</v>
      </c>
      <c r="K192" s="34">
        <f t="shared" si="10"/>
        <v>1440.2795088129424</v>
      </c>
      <c r="L192" s="34">
        <f t="shared" si="11"/>
        <v>957.92259179806683</v>
      </c>
      <c r="M192" s="5">
        <f t="shared" si="12"/>
        <v>287097.97917079565</v>
      </c>
      <c r="N192" s="5">
        <f t="shared" si="13"/>
        <v>230392.09004767175</v>
      </c>
      <c r="O192" s="34">
        <f t="shared" si="14"/>
        <v>56705.889123123896</v>
      </c>
    </row>
    <row r="193" spans="10:15" x14ac:dyDescent="0.25">
      <c r="J193" s="4">
        <v>178</v>
      </c>
      <c r="K193" s="34">
        <f t="shared" si="10"/>
        <v>1435.489895853952</v>
      </c>
      <c r="L193" s="34">
        <f t="shared" si="11"/>
        <v>962.71220475705707</v>
      </c>
      <c r="M193" s="5">
        <f t="shared" si="12"/>
        <v>286135.26696603873</v>
      </c>
      <c r="N193" s="5">
        <f t="shared" si="13"/>
        <v>228945.84839729909</v>
      </c>
      <c r="O193" s="34">
        <f t="shared" si="14"/>
        <v>57189.418568739638</v>
      </c>
    </row>
    <row r="194" spans="10:15" x14ac:dyDescent="0.25">
      <c r="J194" s="4">
        <v>179</v>
      </c>
      <c r="K194" s="34">
        <f t="shared" si="10"/>
        <v>1430.6763348301665</v>
      </c>
      <c r="L194" s="34">
        <f t="shared" si="11"/>
        <v>967.52576578084245</v>
      </c>
      <c r="M194" s="5">
        <f t="shared" si="12"/>
        <v>285167.74120025791</v>
      </c>
      <c r="N194" s="5">
        <f t="shared" si="13"/>
        <v>227492.37553867459</v>
      </c>
      <c r="O194" s="34">
        <f t="shared" si="14"/>
        <v>57675.365661583317</v>
      </c>
    </row>
    <row r="195" spans="10:15" x14ac:dyDescent="0.25">
      <c r="J195" s="4">
        <v>180</v>
      </c>
      <c r="K195" s="34">
        <f t="shared" si="10"/>
        <v>1425.8387060012628</v>
      </c>
      <c r="L195" s="34">
        <f t="shared" si="11"/>
        <v>972.36339460974659</v>
      </c>
      <c r="M195" s="5">
        <f t="shared" si="12"/>
        <v>284195.37780564814</v>
      </c>
      <c r="N195" s="5">
        <f t="shared" si="13"/>
        <v>226031.63531575695</v>
      </c>
      <c r="O195" s="34">
        <f t="shared" si="14"/>
        <v>58163.742489891185</v>
      </c>
    </row>
    <row r="196" spans="10:15" x14ac:dyDescent="0.25">
      <c r="J196" s="4">
        <v>181</v>
      </c>
      <c r="K196" s="34">
        <f t="shared" si="10"/>
        <v>1420.9768890282139</v>
      </c>
      <c r="L196" s="34">
        <f t="shared" si="11"/>
        <v>977.22521158279528</v>
      </c>
      <c r="M196" s="5">
        <f t="shared" si="12"/>
        <v>283218.15259406541</v>
      </c>
      <c r="N196" s="5">
        <f t="shared" si="13"/>
        <v>224563.59139172474</v>
      </c>
      <c r="O196" s="34">
        <f t="shared" si="14"/>
        <v>58654.561202340672</v>
      </c>
    </row>
    <row r="197" spans="10:15" x14ac:dyDescent="0.25">
      <c r="J197" s="4">
        <v>182</v>
      </c>
      <c r="K197" s="34">
        <f t="shared" si="10"/>
        <v>1416.0907629702999</v>
      </c>
      <c r="L197" s="34">
        <f t="shared" si="11"/>
        <v>982.11133764070928</v>
      </c>
      <c r="M197" s="5">
        <f t="shared" si="12"/>
        <v>282236.04125642485</v>
      </c>
      <c r="N197" s="5">
        <f t="shared" si="13"/>
        <v>223088.20724807237</v>
      </c>
      <c r="O197" s="34">
        <f t="shared" si="14"/>
        <v>59147.834008352482</v>
      </c>
    </row>
    <row r="198" spans="10:15" x14ac:dyDescent="0.25">
      <c r="J198" s="4">
        <v>183</v>
      </c>
      <c r="K198" s="34">
        <f t="shared" si="10"/>
        <v>1411.1802062820964</v>
      </c>
      <c r="L198" s="34">
        <f t="shared" si="11"/>
        <v>987.02189432891294</v>
      </c>
      <c r="M198" s="5">
        <f t="shared" si="12"/>
        <v>281249.01936209586</v>
      </c>
      <c r="N198" s="5">
        <f t="shared" si="13"/>
        <v>221605.44618370174</v>
      </c>
      <c r="O198" s="34">
        <f t="shared" si="14"/>
        <v>59643.573178394116</v>
      </c>
    </row>
    <row r="199" spans="10:15" x14ac:dyDescent="0.25">
      <c r="J199" s="4">
        <v>184</v>
      </c>
      <c r="K199" s="34">
        <f t="shared" si="10"/>
        <v>1406.2450968104517</v>
      </c>
      <c r="L199" s="34">
        <f t="shared" si="11"/>
        <v>991.95700380055746</v>
      </c>
      <c r="M199" s="5">
        <f t="shared" si="12"/>
        <v>280257.06235829531</v>
      </c>
      <c r="N199" s="5">
        <f t="shared" si="13"/>
        <v>220115.27131400924</v>
      </c>
      <c r="O199" s="34">
        <f t="shared" si="14"/>
        <v>60141.791044286074</v>
      </c>
    </row>
    <row r="200" spans="10:15" x14ac:dyDescent="0.25">
      <c r="J200" s="4">
        <v>185</v>
      </c>
      <c r="K200" s="34">
        <f t="shared" si="10"/>
        <v>1401.285311791449</v>
      </c>
      <c r="L200" s="34">
        <f t="shared" si="11"/>
        <v>996.91678881956022</v>
      </c>
      <c r="M200" s="5">
        <f t="shared" si="12"/>
        <v>279260.14556947583</v>
      </c>
      <c r="N200" s="5">
        <f t="shared" si="13"/>
        <v>218617.64556996827</v>
      </c>
      <c r="O200" s="34">
        <f t="shared" si="14"/>
        <v>60642.499999507563</v>
      </c>
    </row>
    <row r="201" spans="10:15" x14ac:dyDescent="0.25">
      <c r="J201" s="4">
        <v>186</v>
      </c>
      <c r="K201" s="34">
        <f t="shared" si="10"/>
        <v>1396.3007278473513</v>
      </c>
      <c r="L201" s="34">
        <f t="shared" si="11"/>
        <v>1001.9013727636581</v>
      </c>
      <c r="M201" s="5">
        <f t="shared" si="12"/>
        <v>278258.24419671227</v>
      </c>
      <c r="N201" s="5">
        <f t="shared" si="13"/>
        <v>217112.5316972071</v>
      </c>
      <c r="O201" s="34">
        <f t="shared" si="14"/>
        <v>61145.712499505171</v>
      </c>
    </row>
    <row r="202" spans="10:15" x14ac:dyDescent="0.25">
      <c r="J202" s="4">
        <v>187</v>
      </c>
      <c r="K202" s="34">
        <f t="shared" si="10"/>
        <v>1391.2912209835329</v>
      </c>
      <c r="L202" s="34">
        <f t="shared" si="11"/>
        <v>1006.9108796274762</v>
      </c>
      <c r="M202" s="5">
        <f t="shared" si="12"/>
        <v>277251.33331708482</v>
      </c>
      <c r="N202" s="5">
        <f t="shared" si="13"/>
        <v>215599.89225508214</v>
      </c>
      <c r="O202" s="34">
        <f t="shared" si="14"/>
        <v>61651.441062002676</v>
      </c>
    </row>
    <row r="203" spans="10:15" x14ac:dyDescent="0.25">
      <c r="J203" s="4">
        <v>188</v>
      </c>
      <c r="K203" s="34">
        <f t="shared" si="10"/>
        <v>1386.2566665853954</v>
      </c>
      <c r="L203" s="34">
        <f t="shared" si="11"/>
        <v>1011.9454340256136</v>
      </c>
      <c r="M203" s="5">
        <f t="shared" si="12"/>
        <v>276239.38788305921</v>
      </c>
      <c r="N203" s="5">
        <f t="shared" si="13"/>
        <v>214079.68961574655</v>
      </c>
      <c r="O203" s="34">
        <f t="shared" si="14"/>
        <v>62159.698267312662</v>
      </c>
    </row>
    <row r="204" spans="10:15" x14ac:dyDescent="0.25">
      <c r="J204" s="4">
        <v>189</v>
      </c>
      <c r="K204" s="34">
        <f t="shared" si="10"/>
        <v>1381.1969394152679</v>
      </c>
      <c r="L204" s="34">
        <f t="shared" si="11"/>
        <v>1017.0051611957418</v>
      </c>
      <c r="M204" s="5">
        <f t="shared" si="12"/>
        <v>275222.38272186369</v>
      </c>
      <c r="N204" s="5">
        <f t="shared" si="13"/>
        <v>212551.88596321427</v>
      </c>
      <c r="O204" s="34">
        <f t="shared" si="14"/>
        <v>62670.496758649417</v>
      </c>
    </row>
    <row r="205" spans="10:15" x14ac:dyDescent="0.25">
      <c r="J205" s="4">
        <v>190</v>
      </c>
      <c r="K205" s="34">
        <f t="shared" si="10"/>
        <v>1376.1119136092889</v>
      </c>
      <c r="L205" s="34">
        <f t="shared" si="11"/>
        <v>1022.0901870017206</v>
      </c>
      <c r="M205" s="5">
        <f t="shared" si="12"/>
        <v>274200.29253486195</v>
      </c>
      <c r="N205" s="5">
        <f t="shared" si="13"/>
        <v>211016.44329241934</v>
      </c>
      <c r="O205" s="34">
        <f t="shared" si="14"/>
        <v>63183.849242442608</v>
      </c>
    </row>
    <row r="206" spans="10:15" x14ac:dyDescent="0.25">
      <c r="J206" s="4">
        <v>191</v>
      </c>
      <c r="K206" s="34">
        <f t="shared" si="10"/>
        <v>1371.0014626742804</v>
      </c>
      <c r="L206" s="34">
        <f t="shared" si="11"/>
        <v>1027.2006379367292</v>
      </c>
      <c r="M206" s="5">
        <f t="shared" si="12"/>
        <v>273173.09189692535</v>
      </c>
      <c r="N206" s="5">
        <f t="shared" si="13"/>
        <v>209473.32340827043</v>
      </c>
      <c r="O206" s="34">
        <f t="shared" si="14"/>
        <v>63699.768488654925</v>
      </c>
    </row>
    <row r="207" spans="10:15" x14ac:dyDescent="0.25">
      <c r="J207" s="4">
        <v>192</v>
      </c>
      <c r="K207" s="34">
        <f t="shared" si="10"/>
        <v>1365.8654594845966</v>
      </c>
      <c r="L207" s="34">
        <f t="shared" si="11"/>
        <v>1032.3366411264128</v>
      </c>
      <c r="M207" s="5">
        <f t="shared" si="12"/>
        <v>272140.75525579904</v>
      </c>
      <c r="N207" s="5">
        <f t="shared" si="13"/>
        <v>207922.48792470078</v>
      </c>
      <c r="O207" s="34">
        <f t="shared" si="14"/>
        <v>64218.267331098265</v>
      </c>
    </row>
    <row r="208" spans="10:15" x14ac:dyDescent="0.25">
      <c r="J208" s="4">
        <v>193</v>
      </c>
      <c r="K208" s="34">
        <f t="shared" ref="K208:K271" si="15">-IPMT(APR/12, Month,  Loan_Term_Years*12, Loan_Amount)</f>
        <v>1360.7037762789646</v>
      </c>
      <c r="L208" s="34">
        <f t="shared" ref="L208:L271" si="16">-PPMT(APR/12, Month,  Loan_Term_Years*12, Loan_Amount)</f>
        <v>1037.4983243320448</v>
      </c>
      <c r="M208" s="5">
        <f t="shared" ref="M208:M271" si="17">FV(APR/12, Month, Monthly_Payment, -Loan_Amount)</f>
        <v>271103.25693146698</v>
      </c>
      <c r="N208" s="5">
        <f t="shared" ref="N208:N271" si="18">N207+N207*APR/12 - (Monthly_Payment+Additional_Payment)</f>
        <v>206363.89826371329</v>
      </c>
      <c r="O208" s="34">
        <f t="shared" si="14"/>
        <v>64739.358667753695</v>
      </c>
    </row>
    <row r="209" spans="10:15" x14ac:dyDescent="0.25">
      <c r="J209" s="4">
        <v>194</v>
      </c>
      <c r="K209" s="34">
        <f t="shared" si="15"/>
        <v>1355.5162846573044</v>
      </c>
      <c r="L209" s="34">
        <f t="shared" si="16"/>
        <v>1042.6858159537051</v>
      </c>
      <c r="M209" s="5">
        <f t="shared" si="17"/>
        <v>270060.57111551345</v>
      </c>
      <c r="N209" s="5">
        <f t="shared" si="18"/>
        <v>204797.51565442086</v>
      </c>
      <c r="O209" s="34">
        <f t="shared" si="14"/>
        <v>65263.05546109259</v>
      </c>
    </row>
    <row r="210" spans="10:15" x14ac:dyDescent="0.25">
      <c r="J210" s="4">
        <v>195</v>
      </c>
      <c r="K210" s="34">
        <f t="shared" si="15"/>
        <v>1350.3028555775359</v>
      </c>
      <c r="L210" s="34">
        <f t="shared" si="16"/>
        <v>1047.8992450334733</v>
      </c>
      <c r="M210" s="5">
        <f t="shared" si="17"/>
        <v>269012.67187047994</v>
      </c>
      <c r="N210" s="5">
        <f t="shared" si="18"/>
        <v>203223.30113208195</v>
      </c>
      <c r="O210" s="34">
        <f t="shared" ref="O210:O273" si="19">M210-N210</f>
        <v>65789.370738397993</v>
      </c>
    </row>
    <row r="211" spans="10:15" x14ac:dyDescent="0.25">
      <c r="J211" s="4">
        <v>196</v>
      </c>
      <c r="K211" s="34">
        <f t="shared" si="15"/>
        <v>1345.0633593523683</v>
      </c>
      <c r="L211" s="34">
        <f t="shared" si="16"/>
        <v>1053.1387412586409</v>
      </c>
      <c r="M211" s="5">
        <f t="shared" si="17"/>
        <v>267959.53312922141</v>
      </c>
      <c r="N211" s="5">
        <f t="shared" si="18"/>
        <v>201641.21553713136</v>
      </c>
      <c r="O211" s="34">
        <f t="shared" si="19"/>
        <v>66318.317592090054</v>
      </c>
    </row>
    <row r="212" spans="10:15" x14ac:dyDescent="0.25">
      <c r="J212" s="4">
        <v>197</v>
      </c>
      <c r="K212" s="34">
        <f t="shared" si="15"/>
        <v>1339.7976656460753</v>
      </c>
      <c r="L212" s="34">
        <f t="shared" si="16"/>
        <v>1058.4044349649341</v>
      </c>
      <c r="M212" s="5">
        <f t="shared" si="17"/>
        <v>266901.12869425653</v>
      </c>
      <c r="N212" s="5">
        <f t="shared" si="18"/>
        <v>200051.21951420602</v>
      </c>
      <c r="O212" s="34">
        <f t="shared" si="19"/>
        <v>66849.909180050512</v>
      </c>
    </row>
    <row r="213" spans="10:15" x14ac:dyDescent="0.25">
      <c r="J213" s="4">
        <v>198</v>
      </c>
      <c r="K213" s="34">
        <f t="shared" si="15"/>
        <v>1334.5056434712501</v>
      </c>
      <c r="L213" s="34">
        <f t="shared" si="16"/>
        <v>1063.6964571397586</v>
      </c>
      <c r="M213" s="5">
        <f t="shared" si="17"/>
        <v>265837.43223711674</v>
      </c>
      <c r="N213" s="5">
        <f t="shared" si="18"/>
        <v>198453.27351116604</v>
      </c>
      <c r="O213" s="34">
        <f t="shared" si="19"/>
        <v>67384.158725950692</v>
      </c>
    </row>
    <row r="214" spans="10:15" x14ac:dyDescent="0.25">
      <c r="J214" s="4">
        <v>199</v>
      </c>
      <c r="K214" s="34">
        <f t="shared" si="15"/>
        <v>1329.1871611855518</v>
      </c>
      <c r="L214" s="34">
        <f t="shared" si="16"/>
        <v>1069.0149394254577</v>
      </c>
      <c r="M214" s="5">
        <f t="shared" si="17"/>
        <v>264768.41729769134</v>
      </c>
      <c r="N214" s="5">
        <f t="shared" si="18"/>
        <v>196847.33777811087</v>
      </c>
      <c r="O214" s="34">
        <f t="shared" si="19"/>
        <v>67921.079519580468</v>
      </c>
    </row>
    <row r="215" spans="10:15" x14ac:dyDescent="0.25">
      <c r="J215" s="4">
        <v>200</v>
      </c>
      <c r="K215" s="34">
        <f t="shared" si="15"/>
        <v>1323.8420864884245</v>
      </c>
      <c r="L215" s="34">
        <f t="shared" si="16"/>
        <v>1074.3600141225847</v>
      </c>
      <c r="M215" s="5">
        <f t="shared" si="17"/>
        <v>263694.05728356901</v>
      </c>
      <c r="N215" s="5">
        <f t="shared" si="18"/>
        <v>195233.37236639042</v>
      </c>
      <c r="O215" s="34">
        <f t="shared" si="19"/>
        <v>68460.684917178587</v>
      </c>
    </row>
    <row r="216" spans="10:15" x14ac:dyDescent="0.25">
      <c r="J216" s="4">
        <v>201</v>
      </c>
      <c r="K216" s="34">
        <f t="shared" si="15"/>
        <v>1318.4702864178114</v>
      </c>
      <c r="L216" s="34">
        <f t="shared" si="16"/>
        <v>1079.7318141931978</v>
      </c>
      <c r="M216" s="5">
        <f t="shared" si="17"/>
        <v>262614.3254693757</v>
      </c>
      <c r="N216" s="5">
        <f t="shared" si="18"/>
        <v>193611.33712761136</v>
      </c>
      <c r="O216" s="34">
        <f t="shared" si="19"/>
        <v>69002.988341764343</v>
      </c>
    </row>
    <row r="217" spans="10:15" x14ac:dyDescent="0.25">
      <c r="J217" s="4">
        <v>202</v>
      </c>
      <c r="K217" s="34">
        <f t="shared" si="15"/>
        <v>1313.0716273468454</v>
      </c>
      <c r="L217" s="34">
        <f t="shared" si="16"/>
        <v>1085.1304732641638</v>
      </c>
      <c r="M217" s="5">
        <f t="shared" si="17"/>
        <v>261529.19499611168</v>
      </c>
      <c r="N217" s="5">
        <f t="shared" si="18"/>
        <v>191981.19171263842</v>
      </c>
      <c r="O217" s="34">
        <f t="shared" si="19"/>
        <v>69548.003283473256</v>
      </c>
    </row>
    <row r="218" spans="10:15" x14ac:dyDescent="0.25">
      <c r="J218" s="4">
        <v>203</v>
      </c>
      <c r="K218" s="34">
        <f t="shared" si="15"/>
        <v>1307.6459749805247</v>
      </c>
      <c r="L218" s="34">
        <f t="shared" si="16"/>
        <v>1090.5561256304848</v>
      </c>
      <c r="M218" s="5">
        <f t="shared" si="17"/>
        <v>260438.63887048129</v>
      </c>
      <c r="N218" s="5">
        <f t="shared" si="18"/>
        <v>190342.89557059063</v>
      </c>
      <c r="O218" s="34">
        <f t="shared" si="19"/>
        <v>70095.743299890659</v>
      </c>
    </row>
    <row r="219" spans="10:15" x14ac:dyDescent="0.25">
      <c r="J219" s="4">
        <v>204</v>
      </c>
      <c r="K219" s="34">
        <f t="shared" si="15"/>
        <v>1302.1931943523723</v>
      </c>
      <c r="L219" s="34">
        <f t="shared" si="16"/>
        <v>1096.0089062586369</v>
      </c>
      <c r="M219" s="5">
        <f t="shared" si="17"/>
        <v>259342.62996422278</v>
      </c>
      <c r="N219" s="5">
        <f t="shared" si="18"/>
        <v>188696.40794783257</v>
      </c>
      <c r="O219" s="34">
        <f t="shared" si="19"/>
        <v>70646.222016390209</v>
      </c>
    </row>
    <row r="220" spans="10:15" x14ac:dyDescent="0.25">
      <c r="J220" s="4">
        <v>205</v>
      </c>
      <c r="K220" s="34">
        <f t="shared" si="15"/>
        <v>1296.713149821079</v>
      </c>
      <c r="L220" s="34">
        <f t="shared" si="16"/>
        <v>1101.4889507899302</v>
      </c>
      <c r="M220" s="5">
        <f t="shared" si="17"/>
        <v>258241.14101343276</v>
      </c>
      <c r="N220" s="5">
        <f t="shared" si="18"/>
        <v>187041.68788696075</v>
      </c>
      <c r="O220" s="34">
        <f t="shared" si="19"/>
        <v>71199.453126472014</v>
      </c>
    </row>
    <row r="221" spans="10:15" x14ac:dyDescent="0.25">
      <c r="J221" s="4">
        <v>206</v>
      </c>
      <c r="K221" s="34">
        <f t="shared" si="15"/>
        <v>1291.2057050671294</v>
      </c>
      <c r="L221" s="34">
        <f t="shared" si="16"/>
        <v>1106.9963955438798</v>
      </c>
      <c r="M221" s="5">
        <f t="shared" si="17"/>
        <v>257134.14461788908</v>
      </c>
      <c r="N221" s="5">
        <f t="shared" si="18"/>
        <v>185378.69422578454</v>
      </c>
      <c r="O221" s="34">
        <f t="shared" si="19"/>
        <v>71755.45039210454</v>
      </c>
    </row>
    <row r="222" spans="10:15" x14ac:dyDescent="0.25">
      <c r="J222" s="4">
        <v>207</v>
      </c>
      <c r="K222" s="34">
        <f t="shared" si="15"/>
        <v>1285.6707230894101</v>
      </c>
      <c r="L222" s="34">
        <f t="shared" si="16"/>
        <v>1112.5313775215993</v>
      </c>
      <c r="M222" s="5">
        <f t="shared" si="17"/>
        <v>256021.6132403675</v>
      </c>
      <c r="N222" s="5">
        <f t="shared" si="18"/>
        <v>183707.38559630245</v>
      </c>
      <c r="O222" s="34">
        <f t="shared" si="19"/>
        <v>72314.227644065046</v>
      </c>
    </row>
    <row r="223" spans="10:15" x14ac:dyDescent="0.25">
      <c r="J223" s="4">
        <v>208</v>
      </c>
      <c r="K223" s="34">
        <f t="shared" si="15"/>
        <v>1280.1080662018019</v>
      </c>
      <c r="L223" s="34">
        <f t="shared" si="16"/>
        <v>1118.0940344092073</v>
      </c>
      <c r="M223" s="5">
        <f t="shared" si="17"/>
        <v>254903.51920595835</v>
      </c>
      <c r="N223" s="5">
        <f t="shared" si="18"/>
        <v>182027.72042367296</v>
      </c>
      <c r="O223" s="34">
        <f t="shared" si="19"/>
        <v>72875.79878228539</v>
      </c>
    </row>
    <row r="224" spans="10:15" x14ac:dyDescent="0.25">
      <c r="J224" s="4">
        <v>209</v>
      </c>
      <c r="K224" s="34">
        <f t="shared" si="15"/>
        <v>1274.5175960297561</v>
      </c>
      <c r="L224" s="34">
        <f t="shared" si="16"/>
        <v>1123.6845045812533</v>
      </c>
      <c r="M224" s="5">
        <f t="shared" si="17"/>
        <v>253779.8347013772</v>
      </c>
      <c r="N224" s="5">
        <f t="shared" si="18"/>
        <v>180339.65692518032</v>
      </c>
      <c r="O224" s="34">
        <f t="shared" si="19"/>
        <v>73440.177776196884</v>
      </c>
    </row>
    <row r="225" spans="10:15" x14ac:dyDescent="0.25">
      <c r="J225" s="4">
        <v>210</v>
      </c>
      <c r="K225" s="34">
        <f t="shared" si="15"/>
        <v>1268.8991735068496</v>
      </c>
      <c r="L225" s="34">
        <f t="shared" si="16"/>
        <v>1129.3029271041596</v>
      </c>
      <c r="M225" s="5">
        <f t="shared" si="17"/>
        <v>252650.53177427326</v>
      </c>
      <c r="N225" s="5">
        <f t="shared" si="18"/>
        <v>178643.15310919521</v>
      </c>
      <c r="O225" s="34">
        <f t="shared" si="19"/>
        <v>74007.378665078053</v>
      </c>
    </row>
    <row r="226" spans="10:15" x14ac:dyDescent="0.25">
      <c r="J226" s="4">
        <v>211</v>
      </c>
      <c r="K226" s="34">
        <f t="shared" si="15"/>
        <v>1263.252658871329</v>
      </c>
      <c r="L226" s="34">
        <f t="shared" si="16"/>
        <v>1134.9494417396804</v>
      </c>
      <c r="M226" s="5">
        <f t="shared" si="17"/>
        <v>251515.58233253343</v>
      </c>
      <c r="N226" s="5">
        <f t="shared" si="18"/>
        <v>176938.16677413019</v>
      </c>
      <c r="O226" s="34">
        <f t="shared" si="19"/>
        <v>74577.415558403241</v>
      </c>
    </row>
    <row r="227" spans="10:15" x14ac:dyDescent="0.25">
      <c r="J227" s="4">
        <v>212</v>
      </c>
      <c r="K227" s="34">
        <f t="shared" si="15"/>
        <v>1257.5779116626304</v>
      </c>
      <c r="L227" s="34">
        <f t="shared" si="16"/>
        <v>1140.6241889483788</v>
      </c>
      <c r="M227" s="5">
        <f t="shared" si="17"/>
        <v>250374.95814358536</v>
      </c>
      <c r="N227" s="5">
        <f t="shared" si="18"/>
        <v>175224.65550738983</v>
      </c>
      <c r="O227" s="34">
        <f t="shared" si="19"/>
        <v>75150.302636195527</v>
      </c>
    </row>
    <row r="228" spans="10:15" x14ac:dyDescent="0.25">
      <c r="J228" s="4">
        <v>213</v>
      </c>
      <c r="K228" s="34">
        <f t="shared" si="15"/>
        <v>1251.8747907178883</v>
      </c>
      <c r="L228" s="34">
        <f t="shared" si="16"/>
        <v>1146.3273098931206</v>
      </c>
      <c r="M228" s="5">
        <f t="shared" si="17"/>
        <v>249228.63083369227</v>
      </c>
      <c r="N228" s="5">
        <f t="shared" si="18"/>
        <v>173502.57668431578</v>
      </c>
      <c r="O228" s="34">
        <f t="shared" si="19"/>
        <v>75726.05414937649</v>
      </c>
    </row>
    <row r="229" spans="10:15" x14ac:dyDescent="0.25">
      <c r="J229" s="4">
        <v>214</v>
      </c>
      <c r="K229" s="34">
        <f t="shared" si="15"/>
        <v>1246.1431541684231</v>
      </c>
      <c r="L229" s="34">
        <f t="shared" si="16"/>
        <v>1152.0589464425864</v>
      </c>
      <c r="M229" s="5">
        <f t="shared" si="17"/>
        <v>248076.57188724948</v>
      </c>
      <c r="N229" s="5">
        <f t="shared" si="18"/>
        <v>171771.88746712636</v>
      </c>
      <c r="O229" s="34">
        <f t="shared" si="19"/>
        <v>76304.684420123114</v>
      </c>
    </row>
    <row r="230" spans="10:15" x14ac:dyDescent="0.25">
      <c r="J230" s="4">
        <v>215</v>
      </c>
      <c r="K230" s="34">
        <f t="shared" si="15"/>
        <v>1240.3828594362099</v>
      </c>
      <c r="L230" s="34">
        <f t="shared" si="16"/>
        <v>1157.8192411747993</v>
      </c>
      <c r="M230" s="5">
        <f t="shared" si="17"/>
        <v>246918.75264607486</v>
      </c>
      <c r="N230" s="5">
        <f t="shared" si="18"/>
        <v>170032.54480385099</v>
      </c>
      <c r="O230" s="34">
        <f t="shared" si="19"/>
        <v>76886.20784222387</v>
      </c>
    </row>
    <row r="231" spans="10:15" x14ac:dyDescent="0.25">
      <c r="J231" s="4">
        <v>216</v>
      </c>
      <c r="K231" s="34">
        <f t="shared" si="15"/>
        <v>1234.5937632303362</v>
      </c>
      <c r="L231" s="34">
        <f t="shared" si="16"/>
        <v>1163.608337380673</v>
      </c>
      <c r="M231" s="5">
        <f t="shared" si="17"/>
        <v>245755.14430869417</v>
      </c>
      <c r="N231" s="5">
        <f t="shared" si="18"/>
        <v>168284.50542725925</v>
      </c>
      <c r="O231" s="34">
        <f t="shared" si="19"/>
        <v>77470.638881434919</v>
      </c>
    </row>
    <row r="232" spans="10:15" x14ac:dyDescent="0.25">
      <c r="J232" s="4">
        <v>217</v>
      </c>
      <c r="K232" s="34">
        <f t="shared" si="15"/>
        <v>1228.7757215434328</v>
      </c>
      <c r="L232" s="34">
        <f t="shared" si="16"/>
        <v>1169.4263790675766</v>
      </c>
      <c r="M232" s="5">
        <f t="shared" si="17"/>
        <v>244585.71792962682</v>
      </c>
      <c r="N232" s="5">
        <f t="shared" si="18"/>
        <v>166527.72585378456</v>
      </c>
      <c r="O232" s="34">
        <f t="shared" si="19"/>
        <v>78057.992075842252</v>
      </c>
    </row>
    <row r="233" spans="10:15" x14ac:dyDescent="0.25">
      <c r="J233" s="4">
        <v>218</v>
      </c>
      <c r="K233" s="34">
        <f t="shared" si="15"/>
        <v>1222.9285896480949</v>
      </c>
      <c r="L233" s="34">
        <f t="shared" si="16"/>
        <v>1175.2735109629145</v>
      </c>
      <c r="M233" s="5">
        <f t="shared" si="17"/>
        <v>243410.44441866397</v>
      </c>
      <c r="N233" s="5">
        <f t="shared" si="18"/>
        <v>164762.16238244248</v>
      </c>
      <c r="O233" s="34">
        <f t="shared" si="19"/>
        <v>78648.282036221499</v>
      </c>
    </row>
    <row r="234" spans="10:15" x14ac:dyDescent="0.25">
      <c r="J234" s="4">
        <v>219</v>
      </c>
      <c r="K234" s="34">
        <f t="shared" si="15"/>
        <v>1217.0522220932803</v>
      </c>
      <c r="L234" s="34">
        <f t="shared" si="16"/>
        <v>1181.1498785177291</v>
      </c>
      <c r="M234" s="5">
        <f t="shared" si="17"/>
        <v>242229.29454014613</v>
      </c>
      <c r="N234" s="5">
        <f t="shared" si="18"/>
        <v>162987.77109374368</v>
      </c>
      <c r="O234" s="34">
        <f t="shared" si="19"/>
        <v>79241.523446402454</v>
      </c>
    </row>
    <row r="235" spans="10:15" x14ac:dyDescent="0.25">
      <c r="J235" s="4">
        <v>220</v>
      </c>
      <c r="K235" s="34">
        <f t="shared" si="15"/>
        <v>1211.1464727006917</v>
      </c>
      <c r="L235" s="34">
        <f t="shared" si="16"/>
        <v>1187.0556279103178</v>
      </c>
      <c r="M235" s="5">
        <f t="shared" si="17"/>
        <v>241042.23891223606</v>
      </c>
      <c r="N235" s="5">
        <f t="shared" si="18"/>
        <v>161204.50784860141</v>
      </c>
      <c r="O235" s="34">
        <f t="shared" si="19"/>
        <v>79837.731063634652</v>
      </c>
    </row>
    <row r="236" spans="10:15" x14ac:dyDescent="0.25">
      <c r="J236" s="4">
        <v>221</v>
      </c>
      <c r="K236" s="34">
        <f t="shared" si="15"/>
        <v>1205.21119456114</v>
      </c>
      <c r="L236" s="34">
        <f t="shared" si="16"/>
        <v>1192.9909060498692</v>
      </c>
      <c r="M236" s="5">
        <f t="shared" si="17"/>
        <v>239849.24800618633</v>
      </c>
      <c r="N236" s="5">
        <f t="shared" si="18"/>
        <v>159412.32828723342</v>
      </c>
      <c r="O236" s="34">
        <f t="shared" si="19"/>
        <v>80436.919718952908</v>
      </c>
    </row>
    <row r="237" spans="10:15" x14ac:dyDescent="0.25">
      <c r="J237" s="4">
        <v>222</v>
      </c>
      <c r="K237" s="34">
        <f t="shared" si="15"/>
        <v>1199.2462400308907</v>
      </c>
      <c r="L237" s="34">
        <f t="shared" si="16"/>
        <v>1198.9558605801187</v>
      </c>
      <c r="M237" s="5">
        <f t="shared" si="17"/>
        <v>238650.29214560625</v>
      </c>
      <c r="N237" s="5">
        <f t="shared" si="18"/>
        <v>157611.18782805858</v>
      </c>
      <c r="O237" s="34">
        <f t="shared" si="19"/>
        <v>81039.104317547666</v>
      </c>
    </row>
    <row r="238" spans="10:15" x14ac:dyDescent="0.25">
      <c r="J238" s="4">
        <v>223</v>
      </c>
      <c r="K238" s="34">
        <f t="shared" si="15"/>
        <v>1193.2514607279898</v>
      </c>
      <c r="L238" s="34">
        <f t="shared" si="16"/>
        <v>1204.9506398830192</v>
      </c>
      <c r="M238" s="5">
        <f t="shared" si="17"/>
        <v>237445.34150572331</v>
      </c>
      <c r="N238" s="5">
        <f t="shared" si="18"/>
        <v>155801.04166658787</v>
      </c>
      <c r="O238" s="34">
        <f t="shared" si="19"/>
        <v>81644.299839135434</v>
      </c>
    </row>
    <row r="239" spans="10:15" x14ac:dyDescent="0.25">
      <c r="J239" s="4">
        <v>224</v>
      </c>
      <c r="K239" s="34">
        <f t="shared" si="15"/>
        <v>1187.2267075285747</v>
      </c>
      <c r="L239" s="34">
        <f t="shared" si="16"/>
        <v>1210.9753930824343</v>
      </c>
      <c r="M239" s="5">
        <f t="shared" si="17"/>
        <v>236234.36611264094</v>
      </c>
      <c r="N239" s="5">
        <f t="shared" si="18"/>
        <v>153981.84477430981</v>
      </c>
      <c r="O239" s="34">
        <f t="shared" si="19"/>
        <v>82252.521338331135</v>
      </c>
    </row>
    <row r="240" spans="10:15" x14ac:dyDescent="0.25">
      <c r="J240" s="4">
        <v>225</v>
      </c>
      <c r="K240" s="34">
        <f t="shared" si="15"/>
        <v>1181.1718305631625</v>
      </c>
      <c r="L240" s="34">
        <f t="shared" si="16"/>
        <v>1217.0302700478467</v>
      </c>
      <c r="M240" s="5">
        <f t="shared" si="17"/>
        <v>235017.33584259322</v>
      </c>
      <c r="N240" s="5">
        <f t="shared" si="18"/>
        <v>152153.55189757035</v>
      </c>
      <c r="O240" s="34">
        <f t="shared" si="19"/>
        <v>82863.783945022878</v>
      </c>
    </row>
    <row r="241" spans="10:15" x14ac:dyDescent="0.25">
      <c r="J241" s="4">
        <v>226</v>
      </c>
      <c r="K241" s="34">
        <f t="shared" si="15"/>
        <v>1175.0866792129234</v>
      </c>
      <c r="L241" s="34">
        <f t="shared" si="16"/>
        <v>1223.1154213980858</v>
      </c>
      <c r="M241" s="5">
        <f t="shared" si="17"/>
        <v>233794.22042119503</v>
      </c>
      <c r="N241" s="5">
        <f t="shared" si="18"/>
        <v>150316.11755644719</v>
      </c>
      <c r="O241" s="34">
        <f t="shared" si="19"/>
        <v>83478.102864747838</v>
      </c>
    </row>
    <row r="242" spans="10:15" x14ac:dyDescent="0.25">
      <c r="J242" s="4">
        <v>227</v>
      </c>
      <c r="K242" s="34">
        <f t="shared" si="15"/>
        <v>1168.9711021059331</v>
      </c>
      <c r="L242" s="34">
        <f t="shared" si="16"/>
        <v>1229.2309985050763</v>
      </c>
      <c r="M242" s="5">
        <f t="shared" si="17"/>
        <v>232564.98942269012</v>
      </c>
      <c r="N242" s="5">
        <f t="shared" si="18"/>
        <v>148469.49604361842</v>
      </c>
      <c r="O242" s="34">
        <f t="shared" si="19"/>
        <v>84095.493379071704</v>
      </c>
    </row>
    <row r="243" spans="10:15" x14ac:dyDescent="0.25">
      <c r="J243" s="4">
        <v>228</v>
      </c>
      <c r="K243" s="34">
        <f t="shared" si="15"/>
        <v>1162.8249471134079</v>
      </c>
      <c r="L243" s="34">
        <f t="shared" si="16"/>
        <v>1235.3771534976015</v>
      </c>
      <c r="M243" s="5">
        <f t="shared" si="17"/>
        <v>231329.61226919247</v>
      </c>
      <c r="N243" s="5">
        <f t="shared" si="18"/>
        <v>146613.64142322552</v>
      </c>
      <c r="O243" s="34">
        <f t="shared" si="19"/>
        <v>84715.970845966949</v>
      </c>
    </row>
    <row r="244" spans="10:15" x14ac:dyDescent="0.25">
      <c r="J244" s="4">
        <v>229</v>
      </c>
      <c r="K244" s="34">
        <f t="shared" si="15"/>
        <v>1156.6480613459198</v>
      </c>
      <c r="L244" s="34">
        <f t="shared" si="16"/>
        <v>1241.5540392650894</v>
      </c>
      <c r="M244" s="5">
        <f t="shared" si="17"/>
        <v>230088.05822992767</v>
      </c>
      <c r="N244" s="5">
        <f t="shared" si="18"/>
        <v>144748.50752973065</v>
      </c>
      <c r="O244" s="34">
        <f t="shared" si="19"/>
        <v>85339.550700197025</v>
      </c>
    </row>
    <row r="245" spans="10:15" x14ac:dyDescent="0.25">
      <c r="J245" s="4">
        <v>230</v>
      </c>
      <c r="K245" s="34">
        <f t="shared" si="15"/>
        <v>1150.4402911495943</v>
      </c>
      <c r="L245" s="34">
        <f t="shared" si="16"/>
        <v>1247.7618094614149</v>
      </c>
      <c r="M245" s="5">
        <f t="shared" si="17"/>
        <v>228840.29642046627</v>
      </c>
      <c r="N245" s="5">
        <f t="shared" si="18"/>
        <v>142874.0479667683</v>
      </c>
      <c r="O245" s="34">
        <f t="shared" si="19"/>
        <v>85966.248453697975</v>
      </c>
    </row>
    <row r="246" spans="10:15" x14ac:dyDescent="0.25">
      <c r="J246" s="4">
        <v>231</v>
      </c>
      <c r="K246" s="34">
        <f t="shared" si="15"/>
        <v>1144.2014821022872</v>
      </c>
      <c r="L246" s="34">
        <f t="shared" si="16"/>
        <v>1254.000618508722</v>
      </c>
      <c r="M246" s="5">
        <f t="shared" si="17"/>
        <v>227586.2958019576</v>
      </c>
      <c r="N246" s="5">
        <f t="shared" si="18"/>
        <v>140990.21610599113</v>
      </c>
      <c r="O246" s="34">
        <f t="shared" si="19"/>
        <v>86596.079695966473</v>
      </c>
    </row>
    <row r="247" spans="10:15" x14ac:dyDescent="0.25">
      <c r="J247" s="4">
        <v>232</v>
      </c>
      <c r="K247" s="34">
        <f t="shared" si="15"/>
        <v>1137.9314790097435</v>
      </c>
      <c r="L247" s="34">
        <f t="shared" si="16"/>
        <v>1260.2706216012657</v>
      </c>
      <c r="M247" s="5">
        <f t="shared" si="17"/>
        <v>226326.02518035646</v>
      </c>
      <c r="N247" s="5">
        <f t="shared" si="18"/>
        <v>139096.96508591008</v>
      </c>
      <c r="O247" s="34">
        <f t="shared" si="19"/>
        <v>87229.06009444638</v>
      </c>
    </row>
    <row r="248" spans="10:15" x14ac:dyDescent="0.25">
      <c r="J248" s="4">
        <v>233</v>
      </c>
      <c r="K248" s="34">
        <f t="shared" si="15"/>
        <v>1131.6301259017373</v>
      </c>
      <c r="L248" s="34">
        <f t="shared" si="16"/>
        <v>1266.5719747092721</v>
      </c>
      <c r="M248" s="5">
        <f t="shared" si="17"/>
        <v>225059.45320564718</v>
      </c>
      <c r="N248" s="5">
        <f t="shared" si="18"/>
        <v>137194.24781072864</v>
      </c>
      <c r="O248" s="34">
        <f t="shared" si="19"/>
        <v>87865.205394918536</v>
      </c>
    </row>
    <row r="249" spans="10:15" x14ac:dyDescent="0.25">
      <c r="J249" s="4">
        <v>234</v>
      </c>
      <c r="K249" s="34">
        <f t="shared" si="15"/>
        <v>1125.2972660281907</v>
      </c>
      <c r="L249" s="34">
        <f t="shared" si="16"/>
        <v>1272.9048345828182</v>
      </c>
      <c r="M249" s="5">
        <f t="shared" si="17"/>
        <v>223786.54837106448</v>
      </c>
      <c r="N249" s="5">
        <f t="shared" si="18"/>
        <v>135282.01694917129</v>
      </c>
      <c r="O249" s="34">
        <f t="shared" si="19"/>
        <v>88504.531421893189</v>
      </c>
    </row>
    <row r="250" spans="10:15" x14ac:dyDescent="0.25">
      <c r="J250" s="4">
        <v>235</v>
      </c>
      <c r="K250" s="34">
        <f t="shared" si="15"/>
        <v>1118.9327418552768</v>
      </c>
      <c r="L250" s="34">
        <f t="shared" si="16"/>
        <v>1279.2693587557324</v>
      </c>
      <c r="M250" s="5">
        <f t="shared" si="17"/>
        <v>222507.27901230869</v>
      </c>
      <c r="N250" s="5">
        <f t="shared" si="18"/>
        <v>133360.22493330613</v>
      </c>
      <c r="O250" s="34">
        <f t="shared" si="19"/>
        <v>89147.054079002555</v>
      </c>
    </row>
    <row r="251" spans="10:15" x14ac:dyDescent="0.25">
      <c r="J251" s="4">
        <v>236</v>
      </c>
      <c r="K251" s="34">
        <f t="shared" si="15"/>
        <v>1112.5363950614981</v>
      </c>
      <c r="L251" s="34">
        <f t="shared" si="16"/>
        <v>1285.6657055495111</v>
      </c>
      <c r="M251" s="5">
        <f t="shared" si="17"/>
        <v>221221.61330675939</v>
      </c>
      <c r="N251" s="5">
        <f t="shared" si="18"/>
        <v>131428.82395736166</v>
      </c>
      <c r="O251" s="34">
        <f t="shared" si="19"/>
        <v>89792.789349397732</v>
      </c>
    </row>
    <row r="252" spans="10:15" x14ac:dyDescent="0.25">
      <c r="J252" s="4">
        <v>237</v>
      </c>
      <c r="K252" s="34">
        <f t="shared" si="15"/>
        <v>1106.1080665337504</v>
      </c>
      <c r="L252" s="34">
        <f t="shared" si="16"/>
        <v>1292.0940340772588</v>
      </c>
      <c r="M252" s="5">
        <f t="shared" si="17"/>
        <v>219929.51927268226</v>
      </c>
      <c r="N252" s="5">
        <f t="shared" si="18"/>
        <v>129487.76597653744</v>
      </c>
      <c r="O252" s="34">
        <f t="shared" si="19"/>
        <v>90441.753296144816</v>
      </c>
    </row>
    <row r="253" spans="10:15" x14ac:dyDescent="0.25">
      <c r="J253" s="4">
        <v>238</v>
      </c>
      <c r="K253" s="34">
        <f t="shared" si="15"/>
        <v>1099.6475963633641</v>
      </c>
      <c r="L253" s="34">
        <f t="shared" si="16"/>
        <v>1298.5545042476451</v>
      </c>
      <c r="M253" s="5">
        <f t="shared" si="17"/>
        <v>218630.96476843464</v>
      </c>
      <c r="N253" s="5">
        <f t="shared" si="18"/>
        <v>127537.00270580911</v>
      </c>
      <c r="O253" s="34">
        <f t="shared" si="19"/>
        <v>91093.962062625535</v>
      </c>
    </row>
    <row r="254" spans="10:15" x14ac:dyDescent="0.25">
      <c r="J254" s="4">
        <v>239</v>
      </c>
      <c r="K254" s="34">
        <f t="shared" si="15"/>
        <v>1093.1548238421262</v>
      </c>
      <c r="L254" s="34">
        <f t="shared" si="16"/>
        <v>1305.047276768883</v>
      </c>
      <c r="M254" s="5">
        <f t="shared" si="17"/>
        <v>217325.91749166581</v>
      </c>
      <c r="N254" s="5">
        <f t="shared" si="18"/>
        <v>125576.48561872714</v>
      </c>
      <c r="O254" s="34">
        <f t="shared" si="19"/>
        <v>91749.431872938672</v>
      </c>
    </row>
    <row r="255" spans="10:15" x14ac:dyDescent="0.25">
      <c r="J255" s="4">
        <v>240</v>
      </c>
      <c r="K255" s="34">
        <f t="shared" si="15"/>
        <v>1086.6295874582818</v>
      </c>
      <c r="L255" s="34">
        <f t="shared" si="16"/>
        <v>1311.5725131527277</v>
      </c>
      <c r="M255" s="5">
        <f t="shared" si="17"/>
        <v>216014.3449785132</v>
      </c>
      <c r="N255" s="5">
        <f t="shared" si="18"/>
        <v>123606.16594620976</v>
      </c>
      <c r="O255" s="34">
        <f t="shared" si="19"/>
        <v>92408.179032303437</v>
      </c>
    </row>
    <row r="256" spans="10:15" x14ac:dyDescent="0.25">
      <c r="J256" s="4">
        <v>241</v>
      </c>
      <c r="K256" s="34">
        <f t="shared" si="15"/>
        <v>1080.0717248925182</v>
      </c>
      <c r="L256" s="34">
        <f t="shared" si="16"/>
        <v>1318.1303757184912</v>
      </c>
      <c r="M256" s="5">
        <f t="shared" si="17"/>
        <v>214696.21460279473</v>
      </c>
      <c r="N256" s="5">
        <f t="shared" si="18"/>
        <v>121625.9946753298</v>
      </c>
      <c r="O256" s="34">
        <f t="shared" si="19"/>
        <v>93070.219927464932</v>
      </c>
    </row>
    <row r="257" spans="10:15" x14ac:dyDescent="0.25">
      <c r="J257" s="4">
        <v>242</v>
      </c>
      <c r="K257" s="34">
        <f t="shared" si="15"/>
        <v>1073.4810730139259</v>
      </c>
      <c r="L257" s="34">
        <f t="shared" si="16"/>
        <v>1324.721027597084</v>
      </c>
      <c r="M257" s="5">
        <f t="shared" si="17"/>
        <v>213371.49357519788</v>
      </c>
      <c r="N257" s="5">
        <f t="shared" si="18"/>
        <v>119635.92254809543</v>
      </c>
      <c r="O257" s="34">
        <f t="shared" si="19"/>
        <v>93735.571027102444</v>
      </c>
    </row>
    <row r="258" spans="10:15" x14ac:dyDescent="0.25">
      <c r="J258" s="4">
        <v>243</v>
      </c>
      <c r="K258" s="34">
        <f t="shared" si="15"/>
        <v>1066.8574678759403</v>
      </c>
      <c r="L258" s="34">
        <f t="shared" si="16"/>
        <v>1331.3446327350694</v>
      </c>
      <c r="M258" s="5">
        <f t="shared" si="17"/>
        <v>212040.14894246287</v>
      </c>
      <c r="N258" s="5">
        <f t="shared" si="18"/>
        <v>117635.9000602249</v>
      </c>
      <c r="O258" s="34">
        <f t="shared" si="19"/>
        <v>94404.248882237967</v>
      </c>
    </row>
    <row r="259" spans="10:15" x14ac:dyDescent="0.25">
      <c r="J259" s="4">
        <v>244</v>
      </c>
      <c r="K259" s="34">
        <f t="shared" si="15"/>
        <v>1060.2007447122646</v>
      </c>
      <c r="L259" s="34">
        <f t="shared" si="16"/>
        <v>1338.0013558987444</v>
      </c>
      <c r="M259" s="5">
        <f t="shared" si="17"/>
        <v>210702.14758656407</v>
      </c>
      <c r="N259" s="5">
        <f t="shared" si="18"/>
        <v>115625.87745991501</v>
      </c>
      <c r="O259" s="34">
        <f t="shared" si="19"/>
        <v>95076.270126649062</v>
      </c>
    </row>
    <row r="260" spans="10:15" x14ac:dyDescent="0.25">
      <c r="J260" s="4">
        <v>245</v>
      </c>
      <c r="K260" s="34">
        <f t="shared" si="15"/>
        <v>1053.5107379327712</v>
      </c>
      <c r="L260" s="34">
        <f t="shared" si="16"/>
        <v>1344.6913626782382</v>
      </c>
      <c r="M260" s="5">
        <f t="shared" si="17"/>
        <v>209357.45622388599</v>
      </c>
      <c r="N260" s="5">
        <f t="shared" si="18"/>
        <v>113605.80474660356</v>
      </c>
      <c r="O260" s="34">
        <f t="shared" si="19"/>
        <v>95751.65147728243</v>
      </c>
    </row>
    <row r="261" spans="10:15" x14ac:dyDescent="0.25">
      <c r="J261" s="4">
        <v>246</v>
      </c>
      <c r="K261" s="34">
        <f t="shared" si="15"/>
        <v>1046.7872811193797</v>
      </c>
      <c r="L261" s="34">
        <f t="shared" si="16"/>
        <v>1351.4148194916293</v>
      </c>
      <c r="M261" s="5">
        <f t="shared" si="17"/>
        <v>208006.04140439443</v>
      </c>
      <c r="N261" s="5">
        <f t="shared" si="18"/>
        <v>111575.63166972557</v>
      </c>
      <c r="O261" s="34">
        <f t="shared" si="19"/>
        <v>96430.409734668865</v>
      </c>
    </row>
    <row r="262" spans="10:15" x14ac:dyDescent="0.25">
      <c r="J262" s="4">
        <v>247</v>
      </c>
      <c r="K262" s="34">
        <f t="shared" si="15"/>
        <v>1040.0302070219218</v>
      </c>
      <c r="L262" s="34">
        <f t="shared" si="16"/>
        <v>1358.1718935890874</v>
      </c>
      <c r="M262" s="5">
        <f t="shared" si="17"/>
        <v>206647.86951080547</v>
      </c>
      <c r="N262" s="5">
        <f t="shared" si="18"/>
        <v>109535.30772746318</v>
      </c>
      <c r="O262" s="34">
        <f t="shared" si="19"/>
        <v>97112.561783342288</v>
      </c>
    </row>
    <row r="263" spans="10:15" x14ac:dyDescent="0.25">
      <c r="J263" s="4">
        <v>248</v>
      </c>
      <c r="K263" s="34">
        <f t="shared" si="15"/>
        <v>1033.2393475539764</v>
      </c>
      <c r="L263" s="34">
        <f t="shared" si="16"/>
        <v>1364.9627530570331</v>
      </c>
      <c r="M263" s="5">
        <f t="shared" si="17"/>
        <v>205282.90675774869</v>
      </c>
      <c r="N263" s="5">
        <f t="shared" si="18"/>
        <v>107484.78216548948</v>
      </c>
      <c r="O263" s="34">
        <f t="shared" si="19"/>
        <v>97798.124592259206</v>
      </c>
    </row>
    <row r="264" spans="10:15" x14ac:dyDescent="0.25">
      <c r="J264" s="4">
        <v>249</v>
      </c>
      <c r="K264" s="34">
        <f t="shared" si="15"/>
        <v>1026.414533788691</v>
      </c>
      <c r="L264" s="34">
        <f t="shared" si="16"/>
        <v>1371.7875668223182</v>
      </c>
      <c r="M264" s="5">
        <f t="shared" si="17"/>
        <v>203911.11919092643</v>
      </c>
      <c r="N264" s="5">
        <f t="shared" si="18"/>
        <v>105424.00397570591</v>
      </c>
      <c r="O264" s="34">
        <f t="shared" si="19"/>
        <v>98487.115215220518</v>
      </c>
    </row>
    <row r="265" spans="10:15" x14ac:dyDescent="0.25">
      <c r="J265" s="4">
        <v>250</v>
      </c>
      <c r="K265" s="34">
        <f t="shared" si="15"/>
        <v>1019.5555959545795</v>
      </c>
      <c r="L265" s="34">
        <f t="shared" si="16"/>
        <v>1378.6465046564297</v>
      </c>
      <c r="M265" s="5">
        <f t="shared" si="17"/>
        <v>202532.47268627002</v>
      </c>
      <c r="N265" s="5">
        <f t="shared" si="18"/>
        <v>103352.92189497342</v>
      </c>
      <c r="O265" s="34">
        <f t="shared" si="19"/>
        <v>99179.550791296599</v>
      </c>
    </row>
    <row r="266" spans="10:15" x14ac:dyDescent="0.25">
      <c r="J266" s="4">
        <v>251</v>
      </c>
      <c r="K266" s="34">
        <f t="shared" si="15"/>
        <v>1012.6623634312974</v>
      </c>
      <c r="L266" s="34">
        <f t="shared" si="16"/>
        <v>1385.5397371797119</v>
      </c>
      <c r="M266" s="5">
        <f t="shared" si="17"/>
        <v>201146.93294909061</v>
      </c>
      <c r="N266" s="5">
        <f t="shared" si="18"/>
        <v>101271.48440383727</v>
      </c>
      <c r="O266" s="34">
        <f t="shared" si="19"/>
        <v>99875.448545253341</v>
      </c>
    </row>
    <row r="267" spans="10:15" x14ac:dyDescent="0.25">
      <c r="J267" s="4">
        <v>252</v>
      </c>
      <c r="K267" s="34">
        <f t="shared" si="15"/>
        <v>1005.734664745399</v>
      </c>
      <c r="L267" s="34">
        <f t="shared" si="16"/>
        <v>1392.4674358656102</v>
      </c>
      <c r="M267" s="5">
        <f t="shared" si="17"/>
        <v>199754.46551322495</v>
      </c>
      <c r="N267" s="5">
        <f t="shared" si="18"/>
        <v>99179.639725245434</v>
      </c>
      <c r="O267" s="34">
        <f t="shared" si="19"/>
        <v>100574.82578797951</v>
      </c>
    </row>
    <row r="268" spans="10:15" x14ac:dyDescent="0.25">
      <c r="J268" s="4">
        <v>253</v>
      </c>
      <c r="K268" s="34">
        <f t="shared" si="15"/>
        <v>998.77232756607077</v>
      </c>
      <c r="L268" s="34">
        <f t="shared" si="16"/>
        <v>1399.4297730449387</v>
      </c>
      <c r="M268" s="5">
        <f t="shared" si="17"/>
        <v>198355.03574018017</v>
      </c>
      <c r="N268" s="5">
        <f t="shared" si="18"/>
        <v>97077.335823260641</v>
      </c>
      <c r="O268" s="34">
        <f t="shared" si="19"/>
        <v>101277.69991691953</v>
      </c>
    </row>
    <row r="269" spans="10:15" x14ac:dyDescent="0.25">
      <c r="J269" s="4">
        <v>254</v>
      </c>
      <c r="K269" s="34">
        <f t="shared" si="15"/>
        <v>991.77517870084614</v>
      </c>
      <c r="L269" s="34">
        <f t="shared" si="16"/>
        <v>1406.4269219101632</v>
      </c>
      <c r="M269" s="5">
        <f t="shared" si="17"/>
        <v>196948.60881827003</v>
      </c>
      <c r="N269" s="5">
        <f t="shared" si="18"/>
        <v>94964.520401765927</v>
      </c>
      <c r="O269" s="34">
        <f t="shared" si="19"/>
        <v>101984.08841650411</v>
      </c>
    </row>
    <row r="270" spans="10:15" x14ac:dyDescent="0.25">
      <c r="J270" s="4">
        <v>255</v>
      </c>
      <c r="K270" s="34">
        <f t="shared" si="15"/>
        <v>984.74304409129536</v>
      </c>
      <c r="L270" s="34">
        <f t="shared" si="16"/>
        <v>1413.4590565197141</v>
      </c>
      <c r="M270" s="5">
        <f t="shared" si="17"/>
        <v>195535.1497617506</v>
      </c>
      <c r="N270" s="5">
        <f t="shared" si="18"/>
        <v>92841.140903163745</v>
      </c>
      <c r="O270" s="34">
        <f t="shared" si="19"/>
        <v>102694.00885858685</v>
      </c>
    </row>
    <row r="271" spans="10:15" x14ac:dyDescent="0.25">
      <c r="J271" s="4">
        <v>256</v>
      </c>
      <c r="K271" s="34">
        <f t="shared" si="15"/>
        <v>977.67574880869665</v>
      </c>
      <c r="L271" s="34">
        <f t="shared" si="16"/>
        <v>1420.5263518023125</v>
      </c>
      <c r="M271" s="5">
        <f t="shared" si="17"/>
        <v>194114.62340994808</v>
      </c>
      <c r="N271" s="5">
        <f t="shared" si="18"/>
        <v>90707.144507068544</v>
      </c>
      <c r="O271" s="34">
        <f t="shared" si="19"/>
        <v>103407.47890287953</v>
      </c>
    </row>
    <row r="272" spans="10:15" x14ac:dyDescent="0.25">
      <c r="J272" s="4">
        <v>257</v>
      </c>
      <c r="K272" s="34">
        <f t="shared" ref="K272:K335" si="20">-IPMT(APR/12, Month,  Loan_Term_Years*12, Loan_Amount)</f>
        <v>970.57311704968515</v>
      </c>
      <c r="L272" s="34">
        <f t="shared" ref="L272:L335" si="21">-PPMT(APR/12, Month,  Loan_Term_Years*12, Loan_Amount)</f>
        <v>1427.628983561324</v>
      </c>
      <c r="M272" s="5">
        <f t="shared" ref="M272:M335" si="22">FV(APR/12, Month, Monthly_Payment, -Loan_Amount)</f>
        <v>192686.9944263869</v>
      </c>
      <c r="N272" s="5">
        <f t="shared" ref="N272:N310" si="23">N271+N271*APR/12 - (Monthly_Payment+Additional_Payment)</f>
        <v>88562.478128992865</v>
      </c>
      <c r="O272" s="34">
        <f t="shared" si="19"/>
        <v>104124.51629739403</v>
      </c>
    </row>
    <row r="273" spans="10:15" x14ac:dyDescent="0.25">
      <c r="J273" s="4">
        <v>258</v>
      </c>
      <c r="K273" s="34">
        <f t="shared" si="20"/>
        <v>963.43497213187857</v>
      </c>
      <c r="L273" s="34">
        <f t="shared" si="21"/>
        <v>1434.7671284791309</v>
      </c>
      <c r="M273" s="5">
        <f t="shared" si="22"/>
        <v>191252.2272979077</v>
      </c>
      <c r="N273" s="5">
        <f t="shared" si="23"/>
        <v>86407.088419026812</v>
      </c>
      <c r="O273" s="34">
        <f t="shared" si="19"/>
        <v>104845.13887888088</v>
      </c>
    </row>
    <row r="274" spans="10:15" x14ac:dyDescent="0.25">
      <c r="J274" s="4">
        <v>259</v>
      </c>
      <c r="K274" s="34">
        <f t="shared" si="20"/>
        <v>956.26113648948285</v>
      </c>
      <c r="L274" s="34">
        <f t="shared" si="21"/>
        <v>1441.9409641215266</v>
      </c>
      <c r="M274" s="5">
        <f t="shared" si="22"/>
        <v>189810.28633378656</v>
      </c>
      <c r="N274" s="5">
        <f t="shared" si="23"/>
        <v>84240.92176051093</v>
      </c>
      <c r="O274" s="34">
        <f t="shared" ref="O274:O310" si="24">M274-N274</f>
        <v>105569.36457327563</v>
      </c>
    </row>
    <row r="275" spans="10:15" x14ac:dyDescent="0.25">
      <c r="J275" s="4">
        <v>260</v>
      </c>
      <c r="K275" s="34">
        <f t="shared" si="20"/>
        <v>949.05143166887501</v>
      </c>
      <c r="L275" s="34">
        <f t="shared" si="21"/>
        <v>1449.1506689421342</v>
      </c>
      <c r="M275" s="5">
        <f t="shared" si="22"/>
        <v>188361.13566484465</v>
      </c>
      <c r="N275" s="5">
        <f t="shared" si="23"/>
        <v>82063.924268702467</v>
      </c>
      <c r="O275" s="34">
        <f t="shared" si="24"/>
        <v>106297.21139614219</v>
      </c>
    </row>
    <row r="276" spans="10:15" x14ac:dyDescent="0.25">
      <c r="J276" s="4">
        <v>261</v>
      </c>
      <c r="K276" s="34">
        <f t="shared" si="20"/>
        <v>941.80567832416455</v>
      </c>
      <c r="L276" s="34">
        <f t="shared" si="21"/>
        <v>1456.3964222868449</v>
      </c>
      <c r="M276" s="5">
        <f t="shared" si="22"/>
        <v>186904.7392425579</v>
      </c>
      <c r="N276" s="5">
        <f t="shared" si="23"/>
        <v>79876.041789434967</v>
      </c>
      <c r="O276" s="34">
        <f t="shared" si="24"/>
        <v>107028.69745312294</v>
      </c>
    </row>
    <row r="277" spans="10:15" x14ac:dyDescent="0.25">
      <c r="J277" s="4">
        <v>262</v>
      </c>
      <c r="K277" s="34">
        <f t="shared" si="20"/>
        <v>934.52369621273033</v>
      </c>
      <c r="L277" s="34">
        <f t="shared" si="21"/>
        <v>1463.6784043982791</v>
      </c>
      <c r="M277" s="5">
        <f t="shared" si="22"/>
        <v>185441.06083815987</v>
      </c>
      <c r="N277" s="5">
        <f t="shared" si="23"/>
        <v>77677.219897771123</v>
      </c>
      <c r="O277" s="34">
        <f t="shared" si="24"/>
        <v>107763.84094038875</v>
      </c>
    </row>
    <row r="278" spans="10:15" x14ac:dyDescent="0.25">
      <c r="J278" s="4">
        <v>263</v>
      </c>
      <c r="K278" s="34">
        <f t="shared" si="20"/>
        <v>927.20530419073884</v>
      </c>
      <c r="L278" s="34">
        <f t="shared" si="21"/>
        <v>1470.9967964202704</v>
      </c>
      <c r="M278" s="5">
        <f t="shared" si="22"/>
        <v>183970.06404173933</v>
      </c>
      <c r="N278" s="5">
        <f t="shared" si="23"/>
        <v>75467.403896648961</v>
      </c>
      <c r="O278" s="34">
        <f t="shared" si="24"/>
        <v>108502.66014509037</v>
      </c>
    </row>
    <row r="279" spans="10:15" x14ac:dyDescent="0.25">
      <c r="J279" s="4">
        <v>264</v>
      </c>
      <c r="K279" s="34">
        <f t="shared" si="20"/>
        <v>919.85032020863741</v>
      </c>
      <c r="L279" s="34">
        <f t="shared" si="21"/>
        <v>1478.3517804023718</v>
      </c>
      <c r="M279" s="5">
        <f t="shared" si="22"/>
        <v>182491.71226133709</v>
      </c>
      <c r="N279" s="5">
        <f t="shared" si="23"/>
        <v>73246.538815521184</v>
      </c>
      <c r="O279" s="34">
        <f t="shared" si="24"/>
        <v>109245.1734458159</v>
      </c>
    </row>
    <row r="280" spans="10:15" x14ac:dyDescent="0.25">
      <c r="J280" s="4">
        <v>265</v>
      </c>
      <c r="K280" s="34">
        <f t="shared" si="20"/>
        <v>912.45856130662582</v>
      </c>
      <c r="L280" s="34">
        <f t="shared" si="21"/>
        <v>1485.7435393043838</v>
      </c>
      <c r="M280" s="5">
        <f t="shared" si="22"/>
        <v>181005.96872203285</v>
      </c>
      <c r="N280" s="5">
        <f t="shared" si="23"/>
        <v>71014.56940898778</v>
      </c>
      <c r="O280" s="34">
        <f t="shared" si="24"/>
        <v>109991.39931304507</v>
      </c>
    </row>
    <row r="281" spans="10:15" x14ac:dyDescent="0.25">
      <c r="J281" s="4">
        <v>266</v>
      </c>
      <c r="K281" s="34">
        <f t="shared" si="20"/>
        <v>905.02984361010385</v>
      </c>
      <c r="L281" s="34">
        <f t="shared" si="21"/>
        <v>1493.1722570009056</v>
      </c>
      <c r="M281" s="5">
        <f t="shared" si="22"/>
        <v>179512.79646503204</v>
      </c>
      <c r="N281" s="5">
        <f t="shared" si="23"/>
        <v>68771.440155421704</v>
      </c>
      <c r="O281" s="34">
        <f t="shared" si="24"/>
        <v>110741.35630961033</v>
      </c>
    </row>
    <row r="282" spans="10:15" x14ac:dyDescent="0.25">
      <c r="J282" s="4">
        <v>267</v>
      </c>
      <c r="K282" s="34">
        <f t="shared" si="20"/>
        <v>897.56398232509923</v>
      </c>
      <c r="L282" s="34">
        <f t="shared" si="21"/>
        <v>1500.63811828591</v>
      </c>
      <c r="M282" s="5">
        <f t="shared" si="22"/>
        <v>178012.15834674635</v>
      </c>
      <c r="N282" s="5">
        <f t="shared" si="23"/>
        <v>66517.095255587803</v>
      </c>
      <c r="O282" s="34">
        <f t="shared" si="24"/>
        <v>111495.06309115855</v>
      </c>
    </row>
    <row r="283" spans="10:15" x14ac:dyDescent="0.25">
      <c r="J283" s="4">
        <v>268</v>
      </c>
      <c r="K283" s="34">
        <f t="shared" si="20"/>
        <v>890.06079173366959</v>
      </c>
      <c r="L283" s="34">
        <f t="shared" si="21"/>
        <v>1508.1413088773395</v>
      </c>
      <c r="M283" s="5">
        <f t="shared" si="22"/>
        <v>176504.0170378692</v>
      </c>
      <c r="N283" s="5">
        <f t="shared" si="23"/>
        <v>64251.478631254729</v>
      </c>
      <c r="O283" s="34">
        <f t="shared" si="24"/>
        <v>112252.53840661448</v>
      </c>
    </row>
    <row r="284" spans="10:15" x14ac:dyDescent="0.25">
      <c r="J284" s="4">
        <v>269</v>
      </c>
      <c r="K284" s="34">
        <f t="shared" si="20"/>
        <v>882.52008518928301</v>
      </c>
      <c r="L284" s="34">
        <f t="shared" si="21"/>
        <v>1515.6820154217264</v>
      </c>
      <c r="M284" s="5">
        <f t="shared" si="22"/>
        <v>174988.3350224474</v>
      </c>
      <c r="N284" s="5">
        <f t="shared" si="23"/>
        <v>61974.533923799994</v>
      </c>
      <c r="O284" s="34">
        <f t="shared" si="24"/>
        <v>113013.80109864741</v>
      </c>
    </row>
    <row r="285" spans="10:15" x14ac:dyDescent="0.25">
      <c r="J285" s="4">
        <v>270</v>
      </c>
      <c r="K285" s="34">
        <f t="shared" si="20"/>
        <v>874.94167511217415</v>
      </c>
      <c r="L285" s="34">
        <f t="shared" si="21"/>
        <v>1523.2604254988348</v>
      </c>
      <c r="M285" s="5">
        <f t="shared" si="22"/>
        <v>173465.07459694869</v>
      </c>
      <c r="N285" s="5">
        <f t="shared" si="23"/>
        <v>59686.204492807985</v>
      </c>
      <c r="O285" s="34">
        <f t="shared" si="24"/>
        <v>113778.8701041407</v>
      </c>
    </row>
    <row r="286" spans="10:15" x14ac:dyDescent="0.25">
      <c r="J286" s="4">
        <v>271</v>
      </c>
      <c r="K286" s="34">
        <f t="shared" si="20"/>
        <v>867.32537298468014</v>
      </c>
      <c r="L286" s="34">
        <f t="shared" si="21"/>
        <v>1530.8767276263291</v>
      </c>
      <c r="M286" s="5">
        <f t="shared" si="22"/>
        <v>171934.1978693225</v>
      </c>
      <c r="N286" s="5">
        <f t="shared" si="23"/>
        <v>57386.43341466102</v>
      </c>
      <c r="O286" s="34">
        <f t="shared" si="24"/>
        <v>114547.76445466148</v>
      </c>
    </row>
    <row r="287" spans="10:15" x14ac:dyDescent="0.25">
      <c r="J287" s="4">
        <v>272</v>
      </c>
      <c r="K287" s="34">
        <f t="shared" si="20"/>
        <v>859.67098934654848</v>
      </c>
      <c r="L287" s="34">
        <f t="shared" si="21"/>
        <v>1538.5311112644608</v>
      </c>
      <c r="M287" s="5">
        <f t="shared" si="22"/>
        <v>170395.66675805836</v>
      </c>
      <c r="N287" s="5">
        <f t="shared" si="23"/>
        <v>55075.163481123316</v>
      </c>
      <c r="O287" s="34">
        <f t="shared" si="24"/>
        <v>115320.50327693505</v>
      </c>
    </row>
    <row r="288" spans="10:15" x14ac:dyDescent="0.25">
      <c r="J288" s="4">
        <v>273</v>
      </c>
      <c r="K288" s="34">
        <f t="shared" si="20"/>
        <v>851.97833379022632</v>
      </c>
      <c r="L288" s="34">
        <f t="shared" si="21"/>
        <v>1546.2237668207833</v>
      </c>
      <c r="M288" s="5">
        <f t="shared" si="22"/>
        <v>168849.44299123739</v>
      </c>
      <c r="N288" s="5">
        <f t="shared" si="23"/>
        <v>52752.337197917928</v>
      </c>
      <c r="O288" s="34">
        <f t="shared" si="24"/>
        <v>116097.10579331947</v>
      </c>
    </row>
    <row r="289" spans="10:15" x14ac:dyDescent="0.25">
      <c r="J289" s="4">
        <v>274</v>
      </c>
      <c r="K289" s="34">
        <f t="shared" si="20"/>
        <v>844.24721495612232</v>
      </c>
      <c r="L289" s="34">
        <f t="shared" si="21"/>
        <v>1553.954885654887</v>
      </c>
      <c r="M289" s="5">
        <f t="shared" si="22"/>
        <v>167295.48810558254</v>
      </c>
      <c r="N289" s="5">
        <f t="shared" si="23"/>
        <v>50417.896783296506</v>
      </c>
      <c r="O289" s="34">
        <f t="shared" si="24"/>
        <v>116877.59132228603</v>
      </c>
    </row>
    <row r="290" spans="10:15" x14ac:dyDescent="0.25">
      <c r="J290" s="4">
        <v>275</v>
      </c>
      <c r="K290" s="34">
        <f t="shared" si="20"/>
        <v>836.47744052784776</v>
      </c>
      <c r="L290" s="34">
        <f t="shared" si="21"/>
        <v>1561.7246600831616</v>
      </c>
      <c r="M290" s="5">
        <f t="shared" si="22"/>
        <v>165733.76344549959</v>
      </c>
      <c r="N290" s="5">
        <f t="shared" si="23"/>
        <v>48071.784166601981</v>
      </c>
      <c r="O290" s="34">
        <f t="shared" si="24"/>
        <v>117661.9792788976</v>
      </c>
    </row>
    <row r="291" spans="10:15" x14ac:dyDescent="0.25">
      <c r="J291" s="4">
        <v>276</v>
      </c>
      <c r="K291" s="34">
        <f t="shared" si="20"/>
        <v>828.66881722743199</v>
      </c>
      <c r="L291" s="34">
        <f t="shared" si="21"/>
        <v>1569.5332833835773</v>
      </c>
      <c r="M291" s="5">
        <f t="shared" si="22"/>
        <v>164164.230162116</v>
      </c>
      <c r="N291" s="5">
        <f t="shared" si="23"/>
        <v>45713.940986823982</v>
      </c>
      <c r="O291" s="34">
        <f t="shared" si="24"/>
        <v>118450.28917529201</v>
      </c>
    </row>
    <row r="292" spans="10:15" x14ac:dyDescent="0.25">
      <c r="J292" s="4">
        <v>277</v>
      </c>
      <c r="K292" s="34">
        <f t="shared" si="20"/>
        <v>820.82115081051438</v>
      </c>
      <c r="L292" s="34">
        <f t="shared" si="21"/>
        <v>1577.380949800495</v>
      </c>
      <c r="M292" s="5">
        <f t="shared" si="22"/>
        <v>162586.84921231586</v>
      </c>
      <c r="N292" s="5">
        <f t="shared" si="23"/>
        <v>43344.308591147092</v>
      </c>
      <c r="O292" s="34">
        <f t="shared" si="24"/>
        <v>119242.54062116877</v>
      </c>
    </row>
    <row r="293" spans="10:15" x14ac:dyDescent="0.25">
      <c r="J293" s="4">
        <v>278</v>
      </c>
      <c r="K293" s="34">
        <f t="shared" si="20"/>
        <v>812.93424606151166</v>
      </c>
      <c r="L293" s="34">
        <f t="shared" si="21"/>
        <v>1585.2678545494975</v>
      </c>
      <c r="M293" s="5">
        <f t="shared" si="22"/>
        <v>161001.58135776641</v>
      </c>
      <c r="N293" s="5">
        <f t="shared" si="23"/>
        <v>40962.828033491816</v>
      </c>
      <c r="O293" s="34">
        <f t="shared" si="24"/>
        <v>120038.75332427458</v>
      </c>
    </row>
    <row r="294" spans="10:15" x14ac:dyDescent="0.25">
      <c r="J294" s="4">
        <v>279</v>
      </c>
      <c r="K294" s="34">
        <f t="shared" si="20"/>
        <v>805.0079067887641</v>
      </c>
      <c r="L294" s="34">
        <f t="shared" si="21"/>
        <v>1593.1941938222451</v>
      </c>
      <c r="M294" s="5">
        <f t="shared" si="22"/>
        <v>159408.38716394431</v>
      </c>
      <c r="N294" s="5">
        <f t="shared" si="23"/>
        <v>38569.440073048267</v>
      </c>
      <c r="O294" s="34">
        <f t="shared" si="24"/>
        <v>120838.94709089605</v>
      </c>
    </row>
    <row r="295" spans="10:15" x14ac:dyDescent="0.25">
      <c r="J295" s="4">
        <v>280</v>
      </c>
      <c r="K295" s="34">
        <f t="shared" si="20"/>
        <v>797.04193581965308</v>
      </c>
      <c r="L295" s="34">
        <f t="shared" si="21"/>
        <v>1601.1601647913565</v>
      </c>
      <c r="M295" s="5">
        <f t="shared" si="22"/>
        <v>157807.22699915292</v>
      </c>
      <c r="N295" s="5">
        <f t="shared" si="23"/>
        <v>36164.085172802501</v>
      </c>
      <c r="O295" s="34">
        <f t="shared" si="24"/>
        <v>121643.14182635042</v>
      </c>
    </row>
    <row r="296" spans="10:15" x14ac:dyDescent="0.25">
      <c r="J296" s="4">
        <v>281</v>
      </c>
      <c r="K296" s="34">
        <f t="shared" si="20"/>
        <v>789.0361349956961</v>
      </c>
      <c r="L296" s="34">
        <f t="shared" si="21"/>
        <v>1609.1659656153131</v>
      </c>
      <c r="M296" s="5">
        <f t="shared" si="22"/>
        <v>156198.06103353784</v>
      </c>
      <c r="N296" s="5">
        <f t="shared" si="23"/>
        <v>33746.703498055504</v>
      </c>
      <c r="O296" s="34">
        <f t="shared" si="24"/>
        <v>122451.35753548234</v>
      </c>
    </row>
    <row r="297" spans="10:15" x14ac:dyDescent="0.25">
      <c r="J297" s="4">
        <v>282</v>
      </c>
      <c r="K297" s="34">
        <f t="shared" si="20"/>
        <v>780.99030516761968</v>
      </c>
      <c r="L297" s="34">
        <f t="shared" si="21"/>
        <v>1617.21179544339</v>
      </c>
      <c r="M297" s="5">
        <f t="shared" si="22"/>
        <v>154580.84923809441</v>
      </c>
      <c r="N297" s="5">
        <f t="shared" si="23"/>
        <v>31317.234914934772</v>
      </c>
      <c r="O297" s="34">
        <f t="shared" si="24"/>
        <v>123263.61432315964</v>
      </c>
    </row>
    <row r="298" spans="10:15" x14ac:dyDescent="0.25">
      <c r="J298" s="4">
        <v>283</v>
      </c>
      <c r="K298" s="34">
        <f t="shared" si="20"/>
        <v>772.90424619040277</v>
      </c>
      <c r="L298" s="34">
        <f t="shared" si="21"/>
        <v>1625.2978544206064</v>
      </c>
      <c r="M298" s="5">
        <f t="shared" si="22"/>
        <v>152955.55138367391</v>
      </c>
      <c r="N298" s="5">
        <f t="shared" si="23"/>
        <v>28875.618988898437</v>
      </c>
      <c r="O298" s="34">
        <f t="shared" si="24"/>
        <v>124079.93239477547</v>
      </c>
    </row>
    <row r="299" spans="10:15" x14ac:dyDescent="0.25">
      <c r="J299" s="4">
        <v>284</v>
      </c>
      <c r="K299" s="34">
        <f t="shared" si="20"/>
        <v>764.77775691829959</v>
      </c>
      <c r="L299" s="34">
        <f t="shared" si="21"/>
        <v>1633.4243436927095</v>
      </c>
      <c r="M299" s="5">
        <f t="shared" si="22"/>
        <v>151322.12703998154</v>
      </c>
      <c r="N299" s="5">
        <f t="shared" si="23"/>
        <v>26421.794983231921</v>
      </c>
      <c r="O299" s="34">
        <f t="shared" si="24"/>
        <v>124900.33205674961</v>
      </c>
    </row>
    <row r="300" spans="10:15" x14ac:dyDescent="0.25">
      <c r="J300" s="4">
        <v>285</v>
      </c>
      <c r="K300" s="34">
        <f t="shared" si="20"/>
        <v>756.61063519983611</v>
      </c>
      <c r="L300" s="34">
        <f t="shared" si="21"/>
        <v>1641.5914654111732</v>
      </c>
      <c r="M300" s="5">
        <f t="shared" si="22"/>
        <v>149680.5355745703</v>
      </c>
      <c r="N300" s="5">
        <f t="shared" si="23"/>
        <v>23955.701857537071</v>
      </c>
      <c r="O300" s="34">
        <f t="shared" si="24"/>
        <v>125724.83371703322</v>
      </c>
    </row>
    <row r="301" spans="10:15" x14ac:dyDescent="0.25">
      <c r="J301" s="4">
        <v>286</v>
      </c>
      <c r="K301" s="34">
        <f t="shared" si="20"/>
        <v>748.40267787278015</v>
      </c>
      <c r="L301" s="34">
        <f t="shared" si="21"/>
        <v>1649.7994227382292</v>
      </c>
      <c r="M301" s="5">
        <f t="shared" si="22"/>
        <v>148030.73615183216</v>
      </c>
      <c r="N301" s="5">
        <f t="shared" si="23"/>
        <v>21477.278266213747</v>
      </c>
      <c r="O301" s="34">
        <f t="shared" si="24"/>
        <v>126553.45788561841</v>
      </c>
    </row>
    <row r="302" spans="10:15" x14ac:dyDescent="0.25">
      <c r="J302" s="4">
        <v>287</v>
      </c>
      <c r="K302" s="34">
        <f t="shared" si="20"/>
        <v>740.15368075908907</v>
      </c>
      <c r="L302" s="34">
        <f t="shared" si="21"/>
        <v>1658.0484198519205</v>
      </c>
      <c r="M302" s="5">
        <f t="shared" si="22"/>
        <v>146372.68773198058</v>
      </c>
      <c r="N302" s="5">
        <f t="shared" si="23"/>
        <v>18986.462556933806</v>
      </c>
      <c r="O302" s="34">
        <f t="shared" si="24"/>
        <v>127386.22517504677</v>
      </c>
    </row>
    <row r="303" spans="10:15" x14ac:dyDescent="0.25">
      <c r="J303" s="4">
        <v>288</v>
      </c>
      <c r="K303" s="34">
        <f t="shared" si="20"/>
        <v>731.8634386598294</v>
      </c>
      <c r="L303" s="34">
        <f t="shared" si="21"/>
        <v>1666.33866195118</v>
      </c>
      <c r="M303" s="5">
        <f t="shared" si="22"/>
        <v>144706.34907002933</v>
      </c>
      <c r="N303" s="5">
        <f t="shared" si="23"/>
        <v>16483.192769107467</v>
      </c>
      <c r="O303" s="34">
        <f t="shared" si="24"/>
        <v>128223.15630092187</v>
      </c>
    </row>
    <row r="304" spans="10:15" x14ac:dyDescent="0.25">
      <c r="J304" s="4">
        <v>289</v>
      </c>
      <c r="K304" s="34">
        <f t="shared" si="20"/>
        <v>723.53174535007361</v>
      </c>
      <c r="L304" s="34">
        <f t="shared" si="21"/>
        <v>1674.6703552609356</v>
      </c>
      <c r="M304" s="5">
        <f t="shared" si="22"/>
        <v>143031.6787147685</v>
      </c>
      <c r="N304" s="5">
        <f t="shared" si="23"/>
        <v>13967.406632341996</v>
      </c>
      <c r="O304" s="34">
        <f t="shared" si="24"/>
        <v>129064.2720824265</v>
      </c>
    </row>
    <row r="305" spans="10:15" x14ac:dyDescent="0.25">
      <c r="J305" s="4">
        <v>290</v>
      </c>
      <c r="K305" s="34">
        <f t="shared" si="20"/>
        <v>715.15839357376899</v>
      </c>
      <c r="L305" s="34">
        <f t="shared" si="21"/>
        <v>1683.0437070372404</v>
      </c>
      <c r="M305" s="5">
        <f t="shared" si="22"/>
        <v>141348.63500773138</v>
      </c>
      <c r="N305" s="5">
        <f t="shared" si="23"/>
        <v>11439.041564892696</v>
      </c>
      <c r="O305" s="34">
        <f t="shared" si="24"/>
        <v>129909.59344283868</v>
      </c>
    </row>
    <row r="306" spans="10:15" x14ac:dyDescent="0.25">
      <c r="J306" s="4">
        <v>291</v>
      </c>
      <c r="K306" s="34">
        <f t="shared" si="20"/>
        <v>706.74317503858254</v>
      </c>
      <c r="L306" s="34">
        <f t="shared" si="21"/>
        <v>1691.4589255724266</v>
      </c>
      <c r="M306" s="5">
        <f t="shared" si="22"/>
        <v>139657.17608215916</v>
      </c>
      <c r="N306" s="5">
        <f t="shared" si="23"/>
        <v>8898.0346721061487</v>
      </c>
      <c r="O306" s="34">
        <f t="shared" si="24"/>
        <v>130759.14141005301</v>
      </c>
    </row>
    <row r="307" spans="10:15" x14ac:dyDescent="0.25">
      <c r="J307" s="4">
        <v>292</v>
      </c>
      <c r="K307" s="34">
        <f t="shared" si="20"/>
        <v>698.28588041072055</v>
      </c>
      <c r="L307" s="34">
        <f t="shared" si="21"/>
        <v>1699.9162202002888</v>
      </c>
      <c r="M307" s="5">
        <f t="shared" si="22"/>
        <v>137957.25986195914</v>
      </c>
      <c r="N307" s="5">
        <f t="shared" si="23"/>
        <v>6344.32274485567</v>
      </c>
      <c r="O307" s="34">
        <f t="shared" si="24"/>
        <v>131612.93711710349</v>
      </c>
    </row>
    <row r="308" spans="10:15" x14ac:dyDescent="0.25">
      <c r="J308" s="4">
        <v>293</v>
      </c>
      <c r="K308" s="34">
        <f t="shared" si="20"/>
        <v>689.7862993097192</v>
      </c>
      <c r="L308" s="34">
        <f t="shared" si="21"/>
        <v>1708.4158013012905</v>
      </c>
      <c r="M308" s="5">
        <f t="shared" si="22"/>
        <v>136248.84406065801</v>
      </c>
      <c r="N308" s="5">
        <f t="shared" si="23"/>
        <v>3777.8422579689391</v>
      </c>
      <c r="O308" s="34">
        <f t="shared" si="24"/>
        <v>132471.00180268908</v>
      </c>
    </row>
    <row r="309" spans="10:15" s="70" customFormat="1" x14ac:dyDescent="0.25">
      <c r="J309" s="67">
        <v>294</v>
      </c>
      <c r="K309" s="68">
        <f t="shared" si="20"/>
        <v>681.2442203032125</v>
      </c>
      <c r="L309" s="68">
        <f t="shared" si="21"/>
        <v>1716.9578803077966</v>
      </c>
      <c r="M309" s="69">
        <f t="shared" si="22"/>
        <v>134531.88618035032</v>
      </c>
      <c r="N309" s="69">
        <f t="shared" si="23"/>
        <v>1198.5293686477744</v>
      </c>
      <c r="O309" s="68">
        <f t="shared" si="24"/>
        <v>133333.35681170254</v>
      </c>
    </row>
    <row r="310" spans="10:15" x14ac:dyDescent="0.25">
      <c r="J310" s="4">
        <v>295</v>
      </c>
      <c r="K310" s="34">
        <f t="shared" si="20"/>
        <v>672.65943090167377</v>
      </c>
      <c r="L310" s="34">
        <f t="shared" si="21"/>
        <v>1725.5426697093355</v>
      </c>
      <c r="M310" s="5">
        <f t="shared" si="22"/>
        <v>132806.34351064102</v>
      </c>
      <c r="N310" s="5">
        <f t="shared" si="23"/>
        <v>-1393.6800851199962</v>
      </c>
      <c r="O310" s="34">
        <f t="shared" si="24"/>
        <v>134200.02359576101</v>
      </c>
    </row>
    <row r="311" spans="10:15" x14ac:dyDescent="0.25">
      <c r="J311" s="4">
        <v>296</v>
      </c>
      <c r="K311" s="34">
        <f t="shared" si="20"/>
        <v>664.03171755312712</v>
      </c>
      <c r="L311" s="34">
        <f t="shared" si="21"/>
        <v>1734.1703830578824</v>
      </c>
      <c r="M311" s="5">
        <f t="shared" si="22"/>
        <v>131072.17312758323</v>
      </c>
      <c r="N311" s="5"/>
      <c r="O311" s="34"/>
    </row>
    <row r="312" spans="10:15" x14ac:dyDescent="0.25">
      <c r="J312" s="4">
        <v>297</v>
      </c>
      <c r="K312" s="34">
        <f t="shared" si="20"/>
        <v>655.36086563783761</v>
      </c>
      <c r="L312" s="34">
        <f t="shared" si="21"/>
        <v>1742.8412349731716</v>
      </c>
      <c r="M312" s="5">
        <f t="shared" si="22"/>
        <v>129329.33189261029</v>
      </c>
      <c r="N312" s="5"/>
      <c r="O312" s="34"/>
    </row>
    <row r="313" spans="10:15" x14ac:dyDescent="0.25">
      <c r="J313" s="4">
        <v>298</v>
      </c>
      <c r="K313" s="34">
        <f t="shared" si="20"/>
        <v>646.64665946297168</v>
      </c>
      <c r="L313" s="34">
        <f t="shared" si="21"/>
        <v>1751.5554411480375</v>
      </c>
      <c r="M313" s="5">
        <f t="shared" si="22"/>
        <v>127577.77645146241</v>
      </c>
      <c r="N313" s="5"/>
      <c r="O313" s="34"/>
    </row>
    <row r="314" spans="10:15" x14ac:dyDescent="0.25">
      <c r="J314" s="4">
        <v>299</v>
      </c>
      <c r="K314" s="34">
        <f t="shared" si="20"/>
        <v>637.88888225723144</v>
      </c>
      <c r="L314" s="34">
        <f t="shared" si="21"/>
        <v>1760.3132183537778</v>
      </c>
      <c r="M314" s="5">
        <f t="shared" si="22"/>
        <v>125817.46323310863</v>
      </c>
      <c r="N314" s="5"/>
      <c r="O314" s="34"/>
    </row>
    <row r="315" spans="10:15" x14ac:dyDescent="0.25">
      <c r="J315" s="4">
        <v>300</v>
      </c>
      <c r="K315" s="34">
        <f t="shared" si="20"/>
        <v>629.08731616546265</v>
      </c>
      <c r="L315" s="34">
        <f t="shared" si="21"/>
        <v>1769.1147844455463</v>
      </c>
      <c r="M315" s="5">
        <f t="shared" si="22"/>
        <v>124048.34844866302</v>
      </c>
      <c r="N315" s="5"/>
      <c r="O315" s="34"/>
    </row>
    <row r="316" spans="10:15" x14ac:dyDescent="0.25">
      <c r="J316" s="4">
        <v>301</v>
      </c>
      <c r="K316" s="34">
        <f t="shared" si="20"/>
        <v>620.24174224323497</v>
      </c>
      <c r="L316" s="34">
        <f t="shared" si="21"/>
        <v>1777.9603583677745</v>
      </c>
      <c r="M316" s="5">
        <f t="shared" si="22"/>
        <v>122270.38809029595</v>
      </c>
      <c r="N316" s="5"/>
      <c r="O316" s="34"/>
    </row>
    <row r="317" spans="10:15" x14ac:dyDescent="0.25">
      <c r="J317" s="4">
        <v>302</v>
      </c>
      <c r="K317" s="34">
        <f t="shared" si="20"/>
        <v>611.3519404513961</v>
      </c>
      <c r="L317" s="34">
        <f t="shared" si="21"/>
        <v>1786.8501601596131</v>
      </c>
      <c r="M317" s="5">
        <f t="shared" si="22"/>
        <v>120483.53793013631</v>
      </c>
      <c r="N317" s="5"/>
      <c r="O317" s="34"/>
    </row>
    <row r="318" spans="10:15" x14ac:dyDescent="0.25">
      <c r="J318" s="4">
        <v>303</v>
      </c>
      <c r="K318" s="34">
        <f t="shared" si="20"/>
        <v>602.41768965059794</v>
      </c>
      <c r="L318" s="34">
        <f t="shared" si="21"/>
        <v>1795.7844109604112</v>
      </c>
      <c r="M318" s="5">
        <f t="shared" si="22"/>
        <v>118687.75351917581</v>
      </c>
      <c r="N318" s="5"/>
      <c r="O318" s="34"/>
    </row>
    <row r="319" spans="10:15" x14ac:dyDescent="0.25">
      <c r="J319" s="4">
        <v>304</v>
      </c>
      <c r="K319" s="34">
        <f t="shared" si="20"/>
        <v>593.43876759579587</v>
      </c>
      <c r="L319" s="34">
        <f t="shared" si="21"/>
        <v>1804.7633330152132</v>
      </c>
      <c r="M319" s="5">
        <f t="shared" si="22"/>
        <v>116882.9901861609</v>
      </c>
      <c r="N319" s="5"/>
      <c r="O319" s="34"/>
    </row>
    <row r="320" spans="10:15" x14ac:dyDescent="0.25">
      <c r="J320" s="4">
        <v>305</v>
      </c>
      <c r="K320" s="34">
        <f t="shared" si="20"/>
        <v>584.4149509307199</v>
      </c>
      <c r="L320" s="34">
        <f t="shared" si="21"/>
        <v>1813.7871496802895</v>
      </c>
      <c r="M320" s="5">
        <f t="shared" si="22"/>
        <v>115069.20303648058</v>
      </c>
      <c r="N320" s="5"/>
      <c r="O320" s="34"/>
    </row>
    <row r="321" spans="10:15" x14ac:dyDescent="0.25">
      <c r="J321" s="4">
        <v>306</v>
      </c>
      <c r="K321" s="34">
        <f t="shared" si="20"/>
        <v>575.34601518231841</v>
      </c>
      <c r="L321" s="34">
        <f t="shared" si="21"/>
        <v>1822.8560854286911</v>
      </c>
      <c r="M321" s="5">
        <f t="shared" si="22"/>
        <v>113246.34695105231</v>
      </c>
      <c r="N321" s="5"/>
      <c r="O321" s="34"/>
    </row>
    <row r="322" spans="10:15" x14ac:dyDescent="0.25">
      <c r="J322" s="4">
        <v>307</v>
      </c>
      <c r="K322" s="34">
        <f t="shared" si="20"/>
        <v>566.2317347551749</v>
      </c>
      <c r="L322" s="34">
        <f t="shared" si="21"/>
        <v>1831.9703658558344</v>
      </c>
      <c r="M322" s="5">
        <f t="shared" si="22"/>
        <v>111414.37658519647</v>
      </c>
      <c r="N322" s="5"/>
      <c r="O322" s="34"/>
    </row>
    <row r="323" spans="10:15" x14ac:dyDescent="0.25">
      <c r="J323" s="4">
        <v>308</v>
      </c>
      <c r="K323" s="34">
        <f t="shared" si="20"/>
        <v>557.07188292589569</v>
      </c>
      <c r="L323" s="34">
        <f t="shared" si="21"/>
        <v>1841.1302176851134</v>
      </c>
      <c r="M323" s="5">
        <f t="shared" si="22"/>
        <v>109573.24636751181</v>
      </c>
      <c r="N323" s="5"/>
      <c r="O323" s="34"/>
    </row>
    <row r="324" spans="10:15" x14ac:dyDescent="0.25">
      <c r="J324" s="4">
        <v>309</v>
      </c>
      <c r="K324" s="34">
        <f t="shared" si="20"/>
        <v>547.8662318374702</v>
      </c>
      <c r="L324" s="34">
        <f t="shared" si="21"/>
        <v>1850.335868773539</v>
      </c>
      <c r="M324" s="5">
        <f t="shared" si="22"/>
        <v>107722.91049873806</v>
      </c>
      <c r="N324" s="5"/>
      <c r="O324" s="34"/>
    </row>
    <row r="325" spans="10:15" x14ac:dyDescent="0.25">
      <c r="J325" s="4">
        <v>310</v>
      </c>
      <c r="K325" s="34">
        <f t="shared" si="20"/>
        <v>538.61455249360245</v>
      </c>
      <c r="L325" s="34">
        <f t="shared" si="21"/>
        <v>1859.5875481174069</v>
      </c>
      <c r="M325" s="5">
        <f t="shared" si="22"/>
        <v>105863.32295062067</v>
      </c>
      <c r="N325" s="5"/>
      <c r="O325" s="34"/>
    </row>
    <row r="326" spans="10:15" x14ac:dyDescent="0.25">
      <c r="J326" s="4">
        <v>311</v>
      </c>
      <c r="K326" s="34">
        <f t="shared" si="20"/>
        <v>529.31661475301541</v>
      </c>
      <c r="L326" s="34">
        <f t="shared" si="21"/>
        <v>1868.8854858579939</v>
      </c>
      <c r="M326" s="5">
        <f t="shared" si="22"/>
        <v>103994.43746476294</v>
      </c>
      <c r="N326" s="5"/>
      <c r="O326" s="34"/>
    </row>
    <row r="327" spans="10:15" x14ac:dyDescent="0.25">
      <c r="J327" s="4">
        <v>312</v>
      </c>
      <c r="K327" s="34">
        <f t="shared" si="20"/>
        <v>519.97218732372551</v>
      </c>
      <c r="L327" s="34">
        <f t="shared" si="21"/>
        <v>1878.2299132872838</v>
      </c>
      <c r="M327" s="5">
        <f t="shared" si="22"/>
        <v>102116.20755147585</v>
      </c>
      <c r="N327" s="5"/>
      <c r="O327" s="34"/>
    </row>
    <row r="328" spans="10:15" x14ac:dyDescent="0.25">
      <c r="J328" s="4">
        <v>313</v>
      </c>
      <c r="K328" s="34">
        <f t="shared" si="20"/>
        <v>510.5810377572891</v>
      </c>
      <c r="L328" s="34">
        <f t="shared" si="21"/>
        <v>1887.6210628537203</v>
      </c>
      <c r="M328" s="5">
        <f t="shared" si="22"/>
        <v>100228.58648862201</v>
      </c>
      <c r="N328" s="5"/>
      <c r="O328" s="34"/>
    </row>
    <row r="329" spans="10:15" x14ac:dyDescent="0.25">
      <c r="J329" s="4">
        <v>314</v>
      </c>
      <c r="K329" s="34">
        <f t="shared" si="20"/>
        <v>501.14293244302047</v>
      </c>
      <c r="L329" s="34">
        <f t="shared" si="21"/>
        <v>1897.0591681679889</v>
      </c>
      <c r="M329" s="5">
        <f t="shared" si="22"/>
        <v>98331.527320454363</v>
      </c>
      <c r="N329" s="5"/>
      <c r="O329" s="34"/>
    </row>
    <row r="330" spans="10:15" x14ac:dyDescent="0.25">
      <c r="J330" s="4">
        <v>315</v>
      </c>
      <c r="K330" s="34">
        <f t="shared" si="20"/>
        <v>491.6576366021805</v>
      </c>
      <c r="L330" s="34">
        <f t="shared" si="21"/>
        <v>1906.5444640088288</v>
      </c>
      <c r="M330" s="5">
        <f t="shared" si="22"/>
        <v>96424.982856445713</v>
      </c>
      <c r="N330" s="5"/>
      <c r="O330" s="34"/>
    </row>
    <row r="331" spans="10:15" x14ac:dyDescent="0.25">
      <c r="J331" s="4">
        <v>316</v>
      </c>
      <c r="K331" s="34">
        <f t="shared" si="20"/>
        <v>482.12491428213639</v>
      </c>
      <c r="L331" s="34">
        <f t="shared" si="21"/>
        <v>1916.077186328873</v>
      </c>
      <c r="M331" s="5">
        <f t="shared" si="22"/>
        <v>94508.905670117354</v>
      </c>
      <c r="N331" s="5"/>
      <c r="O331" s="34"/>
    </row>
    <row r="332" spans="10:15" x14ac:dyDescent="0.25">
      <c r="J332" s="4">
        <v>317</v>
      </c>
      <c r="K332" s="34">
        <f t="shared" si="20"/>
        <v>472.54452835049204</v>
      </c>
      <c r="L332" s="34">
        <f t="shared" si="21"/>
        <v>1925.6575722605173</v>
      </c>
      <c r="M332" s="5">
        <f t="shared" si="22"/>
        <v>92583.248097856529</v>
      </c>
      <c r="N332" s="5"/>
      <c r="O332" s="34"/>
    </row>
    <row r="333" spans="10:15" x14ac:dyDescent="0.25">
      <c r="J333" s="4">
        <v>318</v>
      </c>
      <c r="K333" s="34">
        <f t="shared" si="20"/>
        <v>462.91624048918948</v>
      </c>
      <c r="L333" s="34">
        <f t="shared" si="21"/>
        <v>1935.2858601218197</v>
      </c>
      <c r="M333" s="5">
        <f t="shared" si="22"/>
        <v>90647.962237735046</v>
      </c>
      <c r="N333" s="5"/>
      <c r="O333" s="34"/>
    </row>
    <row r="334" spans="10:15" x14ac:dyDescent="0.25">
      <c r="J334" s="4">
        <v>319</v>
      </c>
      <c r="K334" s="34">
        <f t="shared" si="20"/>
        <v>453.23981118858035</v>
      </c>
      <c r="L334" s="34">
        <f t="shared" si="21"/>
        <v>1944.962289422429</v>
      </c>
      <c r="M334" s="5">
        <f t="shared" si="22"/>
        <v>88702.999948312528</v>
      </c>
      <c r="N334" s="5"/>
      <c r="O334" s="34"/>
    </row>
    <row r="335" spans="10:15" x14ac:dyDescent="0.25">
      <c r="J335" s="4">
        <v>320</v>
      </c>
      <c r="K335" s="34">
        <f t="shared" si="20"/>
        <v>443.51499974146822</v>
      </c>
      <c r="L335" s="34">
        <f t="shared" si="21"/>
        <v>1954.6871008695412</v>
      </c>
      <c r="M335" s="5">
        <f t="shared" si="22"/>
        <v>86748.312847443391</v>
      </c>
      <c r="N335" s="5"/>
      <c r="O335" s="34"/>
    </row>
    <row r="336" spans="10:15" x14ac:dyDescent="0.25">
      <c r="J336" s="4">
        <v>321</v>
      </c>
      <c r="K336" s="34">
        <f t="shared" ref="K336:K375" si="25">-IPMT(APR/12, Month,  Loan_Term_Years*12, Loan_Amount)</f>
        <v>433.74156423712043</v>
      </c>
      <c r="L336" s="34">
        <f t="shared" ref="L336:L375" si="26">-PPMT(APR/12, Month,  Loan_Term_Years*12, Loan_Amount)</f>
        <v>1964.4605363738885</v>
      </c>
      <c r="M336" s="5">
        <f t="shared" ref="M336:M375" si="27">FV(APR/12, Month, Monthly_Payment, -Loan_Amount)</f>
        <v>84783.852311069379</v>
      </c>
      <c r="N336" s="5"/>
      <c r="O336" s="34"/>
    </row>
    <row r="337" spans="10:15" x14ac:dyDescent="0.25">
      <c r="J337" s="4">
        <v>322</v>
      </c>
      <c r="K337" s="34">
        <f t="shared" si="25"/>
        <v>423.91926155525101</v>
      </c>
      <c r="L337" s="34">
        <f t="shared" si="26"/>
        <v>1974.2828390557581</v>
      </c>
      <c r="M337" s="5">
        <f t="shared" si="27"/>
        <v>82809.569472013973</v>
      </c>
      <c r="N337" s="5"/>
      <c r="O337" s="34"/>
    </row>
    <row r="338" spans="10:15" x14ac:dyDescent="0.25">
      <c r="J338" s="4">
        <v>323</v>
      </c>
      <c r="K338" s="34">
        <f t="shared" si="25"/>
        <v>414.04784735997225</v>
      </c>
      <c r="L338" s="34">
        <f t="shared" si="26"/>
        <v>1984.1542532510373</v>
      </c>
      <c r="M338" s="5">
        <f t="shared" si="27"/>
        <v>80825.415218763053</v>
      </c>
      <c r="N338" s="5"/>
      <c r="O338" s="34"/>
    </row>
    <row r="339" spans="10:15" x14ac:dyDescent="0.25">
      <c r="J339" s="4">
        <v>324</v>
      </c>
      <c r="K339" s="34">
        <f t="shared" si="25"/>
        <v>404.12707609371705</v>
      </c>
      <c r="L339" s="34">
        <f t="shared" si="26"/>
        <v>1994.0750245172924</v>
      </c>
      <c r="M339" s="5">
        <f t="shared" si="27"/>
        <v>78831.340194246033</v>
      </c>
      <c r="N339" s="5"/>
      <c r="O339" s="34"/>
    </row>
    <row r="340" spans="10:15" x14ac:dyDescent="0.25">
      <c r="J340" s="4">
        <v>325</v>
      </c>
      <c r="K340" s="34">
        <f t="shared" si="25"/>
        <v>394.15670097113059</v>
      </c>
      <c r="L340" s="34">
        <f t="shared" si="26"/>
        <v>2004.0453996398787</v>
      </c>
      <c r="M340" s="5">
        <f t="shared" si="27"/>
        <v>76827.294794606278</v>
      </c>
      <c r="N340" s="5"/>
      <c r="O340" s="34"/>
    </row>
    <row r="341" spans="10:15" x14ac:dyDescent="0.25">
      <c r="J341" s="4">
        <v>326</v>
      </c>
      <c r="K341" s="34">
        <f t="shared" si="25"/>
        <v>384.13647397293119</v>
      </c>
      <c r="L341" s="34">
        <f t="shared" si="26"/>
        <v>2014.0656266380784</v>
      </c>
      <c r="M341" s="5">
        <f t="shared" si="27"/>
        <v>74813.229167968268</v>
      </c>
      <c r="N341" s="5"/>
      <c r="O341" s="34"/>
    </row>
    <row r="342" spans="10:15" x14ac:dyDescent="0.25">
      <c r="J342" s="4">
        <v>327</v>
      </c>
      <c r="K342" s="34">
        <f t="shared" si="25"/>
        <v>374.06614583974078</v>
      </c>
      <c r="L342" s="34">
        <f t="shared" si="26"/>
        <v>2024.1359547712684</v>
      </c>
      <c r="M342" s="5">
        <f t="shared" si="27"/>
        <v>72789.09321319731</v>
      </c>
      <c r="N342" s="5"/>
      <c r="O342" s="34"/>
    </row>
    <row r="343" spans="10:15" x14ac:dyDescent="0.25">
      <c r="J343" s="4">
        <v>328</v>
      </c>
      <c r="K343" s="34">
        <f t="shared" si="25"/>
        <v>363.94546606588449</v>
      </c>
      <c r="L343" s="34">
        <f t="shared" si="26"/>
        <v>2034.2566345451248</v>
      </c>
      <c r="M343" s="5">
        <f t="shared" si="27"/>
        <v>70754.836578652263</v>
      </c>
      <c r="N343" s="5"/>
      <c r="O343" s="34"/>
    </row>
    <row r="344" spans="10:15" x14ac:dyDescent="0.25">
      <c r="J344" s="4">
        <v>329</v>
      </c>
      <c r="K344" s="34">
        <f t="shared" si="25"/>
        <v>353.77418289315875</v>
      </c>
      <c r="L344" s="34">
        <f t="shared" si="26"/>
        <v>2044.4279177178507</v>
      </c>
      <c r="M344" s="5">
        <f t="shared" si="27"/>
        <v>68710.40866093454</v>
      </c>
      <c r="N344" s="5"/>
      <c r="O344" s="34"/>
    </row>
    <row r="345" spans="10:15" x14ac:dyDescent="0.25">
      <c r="J345" s="4">
        <v>330</v>
      </c>
      <c r="K345" s="34">
        <f t="shared" si="25"/>
        <v>343.55204330456951</v>
      </c>
      <c r="L345" s="34">
        <f t="shared" si="26"/>
        <v>2054.6500573064395</v>
      </c>
      <c r="M345" s="5">
        <f t="shared" si="27"/>
        <v>66655.758603628492</v>
      </c>
      <c r="N345" s="5"/>
      <c r="O345" s="34"/>
    </row>
    <row r="346" spans="10:15" x14ac:dyDescent="0.25">
      <c r="J346" s="4">
        <v>331</v>
      </c>
      <c r="K346" s="34">
        <f t="shared" si="25"/>
        <v>333.27879301803739</v>
      </c>
      <c r="L346" s="34">
        <f t="shared" si="26"/>
        <v>2064.9233075929719</v>
      </c>
      <c r="M346" s="5">
        <f t="shared" si="27"/>
        <v>64590.835296035511</v>
      </c>
      <c r="N346" s="5"/>
      <c r="O346" s="34"/>
    </row>
    <row r="347" spans="10:15" x14ac:dyDescent="0.25">
      <c r="J347" s="4">
        <v>332</v>
      </c>
      <c r="K347" s="34">
        <f t="shared" si="25"/>
        <v>322.95417648007253</v>
      </c>
      <c r="L347" s="34">
        <f t="shared" si="26"/>
        <v>2075.2479241309366</v>
      </c>
      <c r="M347" s="5">
        <f t="shared" si="27"/>
        <v>62515.587371904869</v>
      </c>
      <c r="N347" s="5"/>
      <c r="O347" s="34"/>
    </row>
    <row r="348" spans="10:15" x14ac:dyDescent="0.25">
      <c r="J348" s="4">
        <v>333</v>
      </c>
      <c r="K348" s="34">
        <f t="shared" si="25"/>
        <v>312.57793685941778</v>
      </c>
      <c r="L348" s="34">
        <f t="shared" si="26"/>
        <v>2085.6241637515918</v>
      </c>
      <c r="M348" s="5">
        <f t="shared" si="27"/>
        <v>60429.963208153378</v>
      </c>
      <c r="N348" s="5"/>
      <c r="O348" s="34"/>
    </row>
    <row r="349" spans="10:15" x14ac:dyDescent="0.25">
      <c r="J349" s="4">
        <v>334</v>
      </c>
      <c r="K349" s="34">
        <f t="shared" si="25"/>
        <v>302.14981604065986</v>
      </c>
      <c r="L349" s="34">
        <f t="shared" si="26"/>
        <v>2096.052284570349</v>
      </c>
      <c r="M349" s="5">
        <f t="shared" si="27"/>
        <v>58333.9109235832</v>
      </c>
      <c r="N349" s="5"/>
      <c r="O349" s="34"/>
    </row>
    <row r="350" spans="10:15" x14ac:dyDescent="0.25">
      <c r="J350" s="4">
        <v>335</v>
      </c>
      <c r="K350" s="34">
        <f t="shared" si="25"/>
        <v>291.66955461780805</v>
      </c>
      <c r="L350" s="34">
        <f t="shared" si="26"/>
        <v>2106.532545993201</v>
      </c>
      <c r="M350" s="5">
        <f t="shared" si="27"/>
        <v>56227.378377590096</v>
      </c>
      <c r="N350" s="5"/>
      <c r="O350" s="34"/>
    </row>
    <row r="351" spans="10:15" x14ac:dyDescent="0.25">
      <c r="J351" s="4">
        <v>336</v>
      </c>
      <c r="K351" s="34">
        <f t="shared" si="25"/>
        <v>281.13689188784207</v>
      </c>
      <c r="L351" s="34">
        <f t="shared" si="26"/>
        <v>2117.0652087231674</v>
      </c>
      <c r="M351" s="5">
        <f t="shared" si="27"/>
        <v>54110.313168867258</v>
      </c>
      <c r="N351" s="5"/>
      <c r="O351" s="34"/>
    </row>
    <row r="352" spans="10:15" x14ac:dyDescent="0.25">
      <c r="J352" s="4">
        <v>337</v>
      </c>
      <c r="K352" s="34">
        <f t="shared" si="25"/>
        <v>270.55156584422627</v>
      </c>
      <c r="L352" s="34">
        <f t="shared" si="26"/>
        <v>2127.650534766783</v>
      </c>
      <c r="M352" s="5">
        <f t="shared" si="27"/>
        <v>51982.662634100299</v>
      </c>
      <c r="N352" s="5"/>
      <c r="O352" s="34"/>
    </row>
    <row r="353" spans="10:15" x14ac:dyDescent="0.25">
      <c r="J353" s="4">
        <v>338</v>
      </c>
      <c r="K353" s="34">
        <f t="shared" si="25"/>
        <v>259.91331317039231</v>
      </c>
      <c r="L353" s="34">
        <f t="shared" si="26"/>
        <v>2138.2887874406169</v>
      </c>
      <c r="M353" s="5">
        <f t="shared" si="27"/>
        <v>49844.373846660368</v>
      </c>
      <c r="N353" s="5"/>
      <c r="O353" s="34"/>
    </row>
    <row r="354" spans="10:15" x14ac:dyDescent="0.25">
      <c r="J354" s="4">
        <v>339</v>
      </c>
      <c r="K354" s="34">
        <f t="shared" si="25"/>
        <v>249.22186923318924</v>
      </c>
      <c r="L354" s="34">
        <f t="shared" si="26"/>
        <v>2148.98023137782</v>
      </c>
      <c r="M354" s="5">
        <f t="shared" si="27"/>
        <v>47695.393615282141</v>
      </c>
      <c r="N354" s="5"/>
      <c r="O354" s="34"/>
    </row>
    <row r="355" spans="10:15" x14ac:dyDescent="0.25">
      <c r="J355" s="4">
        <v>340</v>
      </c>
      <c r="K355" s="34">
        <f t="shared" si="25"/>
        <v>238.47696807630018</v>
      </c>
      <c r="L355" s="34">
        <f t="shared" si="26"/>
        <v>2159.7251325347092</v>
      </c>
      <c r="M355" s="5">
        <f t="shared" si="27"/>
        <v>45535.66848274786</v>
      </c>
      <c r="N355" s="5"/>
      <c r="O355" s="34"/>
    </row>
    <row r="356" spans="10:15" x14ac:dyDescent="0.25">
      <c r="J356" s="4">
        <v>341</v>
      </c>
      <c r="K356" s="34">
        <f t="shared" si="25"/>
        <v>227.67834241362661</v>
      </c>
      <c r="L356" s="34">
        <f t="shared" si="26"/>
        <v>2170.5237581973829</v>
      </c>
      <c r="M356" s="5">
        <f t="shared" si="27"/>
        <v>43365.144724550657</v>
      </c>
      <c r="N356" s="5"/>
      <c r="O356" s="34"/>
    </row>
    <row r="357" spans="10:15" x14ac:dyDescent="0.25">
      <c r="J357" s="4">
        <v>342</v>
      </c>
      <c r="K357" s="34">
        <f t="shared" si="25"/>
        <v>216.82572362263969</v>
      </c>
      <c r="L357" s="34">
        <f t="shared" si="26"/>
        <v>2181.3763769883694</v>
      </c>
      <c r="M357" s="5">
        <f t="shared" si="27"/>
        <v>41183.768347562291</v>
      </c>
      <c r="N357" s="5"/>
      <c r="O357" s="34"/>
    </row>
    <row r="358" spans="10:15" x14ac:dyDescent="0.25">
      <c r="J358" s="4">
        <v>343</v>
      </c>
      <c r="K358" s="34">
        <f t="shared" si="25"/>
        <v>205.91884173769785</v>
      </c>
      <c r="L358" s="34">
        <f t="shared" si="26"/>
        <v>2192.2832588733118</v>
      </c>
      <c r="M358" s="5">
        <f t="shared" si="27"/>
        <v>38991.485088689718</v>
      </c>
      <c r="N358" s="5"/>
      <c r="O358" s="34"/>
    </row>
    <row r="359" spans="10:15" x14ac:dyDescent="0.25">
      <c r="J359" s="4">
        <v>344</v>
      </c>
      <c r="K359" s="34">
        <f t="shared" si="25"/>
        <v>194.95742544333123</v>
      </c>
      <c r="L359" s="34">
        <f t="shared" si="26"/>
        <v>2203.244675167678</v>
      </c>
      <c r="M359" s="5">
        <f t="shared" si="27"/>
        <v>36788.240413521882</v>
      </c>
      <c r="N359" s="5"/>
      <c r="O359" s="34"/>
    </row>
    <row r="360" spans="10:15" x14ac:dyDescent="0.25">
      <c r="J360" s="4">
        <v>345</v>
      </c>
      <c r="K360" s="34">
        <f t="shared" si="25"/>
        <v>183.94120206749287</v>
      </c>
      <c r="L360" s="34">
        <f t="shared" si="26"/>
        <v>2214.2608985435168</v>
      </c>
      <c r="M360" s="5">
        <f t="shared" si="27"/>
        <v>34573.97951497836</v>
      </c>
      <c r="N360" s="5"/>
      <c r="O360" s="34"/>
    </row>
    <row r="361" spans="10:15" x14ac:dyDescent="0.25">
      <c r="J361" s="4">
        <v>346</v>
      </c>
      <c r="K361" s="34">
        <f t="shared" si="25"/>
        <v>172.86989757477528</v>
      </c>
      <c r="L361" s="34">
        <f t="shared" si="26"/>
        <v>2225.3322030362338</v>
      </c>
      <c r="M361" s="5">
        <f t="shared" si="27"/>
        <v>32348.647311942652</v>
      </c>
      <c r="N361" s="5"/>
      <c r="O361" s="34"/>
    </row>
    <row r="362" spans="10:15" x14ac:dyDescent="0.25">
      <c r="J362" s="4">
        <v>347</v>
      </c>
      <c r="K362" s="34">
        <f t="shared" si="25"/>
        <v>161.7432365595941</v>
      </c>
      <c r="L362" s="34">
        <f t="shared" si="26"/>
        <v>2236.4588640514153</v>
      </c>
      <c r="M362" s="5">
        <f t="shared" si="27"/>
        <v>30112.188447891269</v>
      </c>
      <c r="N362" s="5"/>
      <c r="O362" s="34"/>
    </row>
    <row r="363" spans="10:15" x14ac:dyDescent="0.25">
      <c r="J363" s="4">
        <v>348</v>
      </c>
      <c r="K363" s="34">
        <f t="shared" si="25"/>
        <v>150.56094223933704</v>
      </c>
      <c r="L363" s="34">
        <f t="shared" si="26"/>
        <v>2247.6411583716722</v>
      </c>
      <c r="M363" s="5">
        <f t="shared" si="27"/>
        <v>27864.547289520036</v>
      </c>
      <c r="N363" s="5"/>
      <c r="O363" s="34"/>
    </row>
    <row r="364" spans="10:15" x14ac:dyDescent="0.25">
      <c r="J364" s="4">
        <v>349</v>
      </c>
      <c r="K364" s="34">
        <f t="shared" si="25"/>
        <v>139.32273644747869</v>
      </c>
      <c r="L364" s="34">
        <f t="shared" si="26"/>
        <v>2258.8793641635307</v>
      </c>
      <c r="M364" s="5">
        <f t="shared" si="27"/>
        <v>25605.667925356422</v>
      </c>
      <c r="N364" s="5"/>
      <c r="O364" s="34"/>
    </row>
    <row r="365" spans="10:15" x14ac:dyDescent="0.25">
      <c r="J365" s="4">
        <v>350</v>
      </c>
      <c r="K365" s="34">
        <f t="shared" si="25"/>
        <v>128.02833962666102</v>
      </c>
      <c r="L365" s="34">
        <f t="shared" si="26"/>
        <v>2270.1737609843481</v>
      </c>
      <c r="M365" s="5">
        <f t="shared" si="27"/>
        <v>23335.494164372329</v>
      </c>
      <c r="N365" s="5"/>
      <c r="O365" s="34"/>
    </row>
    <row r="366" spans="10:15" x14ac:dyDescent="0.25">
      <c r="J366" s="4">
        <v>351</v>
      </c>
      <c r="K366" s="34">
        <f t="shared" si="25"/>
        <v>116.67747082173931</v>
      </c>
      <c r="L366" s="34">
        <f t="shared" si="26"/>
        <v>2281.52462978927</v>
      </c>
      <c r="M366" s="5">
        <f t="shared" si="27"/>
        <v>21053.96953458339</v>
      </c>
      <c r="N366" s="5"/>
      <c r="O366" s="34"/>
    </row>
    <row r="367" spans="10:15" x14ac:dyDescent="0.25">
      <c r="J367" s="4">
        <v>352</v>
      </c>
      <c r="K367" s="34">
        <f t="shared" si="25"/>
        <v>105.26984767279293</v>
      </c>
      <c r="L367" s="34">
        <f t="shared" si="26"/>
        <v>2292.9322529382162</v>
      </c>
      <c r="M367" s="5">
        <f t="shared" si="27"/>
        <v>18761.037281644996</v>
      </c>
      <c r="N367" s="5"/>
      <c r="O367" s="34"/>
    </row>
    <row r="368" spans="10:15" x14ac:dyDescent="0.25">
      <c r="J368" s="4">
        <v>353</v>
      </c>
      <c r="K368" s="34">
        <f t="shared" si="25"/>
        <v>93.805186408101861</v>
      </c>
      <c r="L368" s="34">
        <f t="shared" si="26"/>
        <v>2304.3969142029073</v>
      </c>
      <c r="M368" s="5">
        <f t="shared" si="27"/>
        <v>16456.640367442742</v>
      </c>
      <c r="N368" s="5"/>
      <c r="O368" s="34"/>
    </row>
    <row r="369" spans="10:15" x14ac:dyDescent="0.25">
      <c r="J369" s="4">
        <v>354</v>
      </c>
      <c r="K369" s="34">
        <f t="shared" si="25"/>
        <v>82.28320183708729</v>
      </c>
      <c r="L369" s="34">
        <f t="shared" si="26"/>
        <v>2315.9188987739221</v>
      </c>
      <c r="M369" s="5">
        <f t="shared" si="27"/>
        <v>14140.721468668897</v>
      </c>
      <c r="N369" s="5"/>
      <c r="O369" s="34"/>
    </row>
    <row r="370" spans="10:15" x14ac:dyDescent="0.25">
      <c r="J370" s="4">
        <v>355</v>
      </c>
      <c r="K370" s="34">
        <f t="shared" si="25"/>
        <v>70.703607343217698</v>
      </c>
      <c r="L370" s="34">
        <f t="shared" si="26"/>
        <v>2327.4984932677917</v>
      </c>
      <c r="M370" s="5">
        <f t="shared" si="27"/>
        <v>11813.222975401208</v>
      </c>
      <c r="N370" s="5"/>
      <c r="O370" s="34"/>
    </row>
    <row r="371" spans="10:15" x14ac:dyDescent="0.25">
      <c r="J371" s="4">
        <v>356</v>
      </c>
      <c r="K371" s="34">
        <f t="shared" si="25"/>
        <v>59.066114876878736</v>
      </c>
      <c r="L371" s="34">
        <f t="shared" si="26"/>
        <v>2339.1359857341308</v>
      </c>
      <c r="M371" s="5">
        <f t="shared" si="27"/>
        <v>9474.0869896672666</v>
      </c>
      <c r="N371" s="5"/>
      <c r="O371" s="34"/>
    </row>
    <row r="372" spans="10:15" x14ac:dyDescent="0.25">
      <c r="J372" s="4">
        <v>357</v>
      </c>
      <c r="K372" s="34">
        <f t="shared" si="25"/>
        <v>47.370434948208079</v>
      </c>
      <c r="L372" s="34">
        <f t="shared" si="26"/>
        <v>2350.8316656628008</v>
      </c>
      <c r="M372" s="5">
        <f t="shared" si="27"/>
        <v>7123.2553240046836</v>
      </c>
      <c r="N372" s="5"/>
      <c r="O372" s="34"/>
    </row>
    <row r="373" spans="10:15" x14ac:dyDescent="0.25">
      <c r="J373" s="4">
        <v>358</v>
      </c>
      <c r="K373" s="34">
        <f t="shared" si="25"/>
        <v>35.616276619894073</v>
      </c>
      <c r="L373" s="34">
        <f t="shared" si="26"/>
        <v>2362.5858239911154</v>
      </c>
      <c r="M373" s="5">
        <f t="shared" si="27"/>
        <v>4760.6695000138134</v>
      </c>
      <c r="N373" s="5"/>
      <c r="O373" s="34"/>
    </row>
    <row r="374" spans="10:15" x14ac:dyDescent="0.25">
      <c r="J374" s="4">
        <v>359</v>
      </c>
      <c r="K374" s="34">
        <f t="shared" si="25"/>
        <v>23.803347499938493</v>
      </c>
      <c r="L374" s="34">
        <f t="shared" si="26"/>
        <v>2374.3987531110711</v>
      </c>
      <c r="M374" s="5">
        <f t="shared" si="27"/>
        <v>2386.2707469030283</v>
      </c>
      <c r="N374" s="5"/>
      <c r="O374" s="34"/>
    </row>
    <row r="375" spans="10:15" x14ac:dyDescent="0.25">
      <c r="J375" s="4">
        <v>360</v>
      </c>
      <c r="K375" s="34">
        <f t="shared" si="25"/>
        <v>11.931353734383134</v>
      </c>
      <c r="L375" s="34">
        <f t="shared" si="26"/>
        <v>2386.2707468766262</v>
      </c>
      <c r="M375" s="5">
        <f t="shared" si="27"/>
        <v>2.6077032089233398E-8</v>
      </c>
      <c r="N375" s="5"/>
      <c r="O375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6B71-D5EF-4049-BC98-C3467102DD96}">
  <dimension ref="B1:K17"/>
  <sheetViews>
    <sheetView showGridLines="0" tabSelected="1" zoomScale="160" zoomScaleNormal="160" workbookViewId="0">
      <selection activeCell="I10" sqref="I10"/>
    </sheetView>
  </sheetViews>
  <sheetFormatPr defaultRowHeight="15" x14ac:dyDescent="0.25"/>
  <cols>
    <col min="2" max="2" width="26.7109375" customWidth="1"/>
    <col min="3" max="3" width="10.7109375" bestFit="1" customWidth="1"/>
    <col min="4" max="4" width="11.28515625" bestFit="1" customWidth="1"/>
  </cols>
  <sheetData>
    <row r="1" spans="2:11" ht="21" x14ac:dyDescent="0.35">
      <c r="B1" s="73" t="s">
        <v>60</v>
      </c>
      <c r="C1" s="10"/>
      <c r="D1" s="10"/>
      <c r="E1" s="10"/>
      <c r="F1" s="10"/>
      <c r="G1" s="10"/>
      <c r="H1" s="10"/>
      <c r="I1" s="10"/>
      <c r="J1" s="10"/>
      <c r="K1" s="10"/>
    </row>
    <row r="5" spans="2:11" x14ac:dyDescent="0.25">
      <c r="B5" t="s">
        <v>61</v>
      </c>
      <c r="C5" s="74">
        <v>20000</v>
      </c>
    </row>
    <row r="6" spans="2:11" x14ac:dyDescent="0.25">
      <c r="B6" t="s">
        <v>62</v>
      </c>
      <c r="C6" s="72">
        <v>0.22989999999999999</v>
      </c>
    </row>
    <row r="8" spans="2:11" ht="30" x14ac:dyDescent="0.25">
      <c r="B8" s="75" t="s">
        <v>63</v>
      </c>
      <c r="C8" s="76">
        <v>360</v>
      </c>
      <c r="F8">
        <v>500</v>
      </c>
      <c r="G8">
        <f>NPER(C14/12, 500, -C16)</f>
        <v>79.083251444701673</v>
      </c>
    </row>
    <row r="9" spans="2:11" x14ac:dyDescent="0.25">
      <c r="C9" s="71"/>
      <c r="G9">
        <f>G8/12</f>
        <v>6.5902709537251392</v>
      </c>
    </row>
    <row r="10" spans="2:11" x14ac:dyDescent="0.25">
      <c r="B10" t="s">
        <v>64</v>
      </c>
      <c r="C10" s="54">
        <f>PMT(C6/12, C8, -C5)</f>
        <v>383.58053194042935</v>
      </c>
      <c r="D10" s="6"/>
      <c r="G10" s="77"/>
      <c r="H10" s="78"/>
    </row>
    <row r="11" spans="2:11" x14ac:dyDescent="0.25">
      <c r="B11" t="s">
        <v>65</v>
      </c>
      <c r="C11" s="54">
        <f>C5*(1+C6/12)-C10</f>
        <v>19999.58613472624</v>
      </c>
      <c r="D11" s="7">
        <f>FV(C6/12, 1, C10, -C5)</f>
        <v>19999.586134726236</v>
      </c>
    </row>
    <row r="14" spans="2:11" x14ac:dyDescent="0.25">
      <c r="B14" t="s">
        <v>66</v>
      </c>
      <c r="C14" s="72">
        <v>0.23549999999999999</v>
      </c>
    </row>
    <row r="15" spans="2:11" x14ac:dyDescent="0.25">
      <c r="B15" s="75" t="s">
        <v>67</v>
      </c>
      <c r="C15" s="54">
        <f>PMT(C14/12, C8, -C11)</f>
        <v>392.85134332289778</v>
      </c>
    </row>
    <row r="16" spans="2:11" x14ac:dyDescent="0.25">
      <c r="B16" t="s">
        <v>65</v>
      </c>
      <c r="C16" s="79">
        <f>FV(C14/12, 1, C15, -C11)</f>
        <v>19999.226669297343</v>
      </c>
      <c r="G16" s="78"/>
      <c r="H16" s="34"/>
    </row>
    <row r="17" spans="7:8" x14ac:dyDescent="0.25">
      <c r="G17" s="78"/>
      <c r="H17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F55019BAB0549B2C20BFAAB8A2896" ma:contentTypeVersion="16" ma:contentTypeDescription="Create a new document." ma:contentTypeScope="" ma:versionID="85cef1d12f529d56583853ef5dc33f7c">
  <xsd:schema xmlns:xsd="http://www.w3.org/2001/XMLSchema" xmlns:xs="http://www.w3.org/2001/XMLSchema" xmlns:p="http://schemas.microsoft.com/office/2006/metadata/properties" xmlns:ns2="5e41b080-9453-459c-bb93-b19be7335f42" xmlns:ns3="4e58ebf2-e4df-4cd3-9186-1e42b3ede124" targetNamespace="http://schemas.microsoft.com/office/2006/metadata/properties" ma:root="true" ma:fieldsID="ccccdfc22f8c8f07a3477280a29706aa" ns2:_="" ns3:_="">
    <xsd:import namespace="5e41b080-9453-459c-bb93-b19be7335f42"/>
    <xsd:import namespace="4e58ebf2-e4df-4cd3-9186-1e42b3ede124"/>
    <xsd:element name="properties">
      <xsd:complexType>
        <xsd:sequence>
          <xsd:element name="documentManagement">
            <xsd:complexType>
              <xsd:all>
                <xsd:element ref="ns2:Due_x0020_Date" minOccurs="0"/>
                <xsd:element ref="ns2:Status" minOccurs="0"/>
                <xsd:element ref="ns2:Comment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1b080-9453-459c-bb93-b19be7335f42" elementFormDefault="qualified">
    <xsd:import namespace="http://schemas.microsoft.com/office/2006/documentManagement/types"/>
    <xsd:import namespace="http://schemas.microsoft.com/office/infopath/2007/PartnerControls"/>
    <xsd:element name="Due_x0020_Date" ma:index="8" nillable="true" ma:displayName="Due Date" ma:format="DateOnly" ma:internalName="Due_x0020_Date">
      <xsd:simpleType>
        <xsd:restriction base="dms:DateTime"/>
      </xsd:simpleType>
    </xsd:element>
    <xsd:element name="Status" ma:index="9" nillable="true" ma:displayName="Status" ma:format="Dropdown" ma:internalName="Status">
      <xsd:simpleType>
        <xsd:restriction base="dms:Choice">
          <xsd:enumeration value="For Partner Review"/>
          <xsd:enumeration value="For Collegis Review"/>
          <xsd:enumeration value="Approved by Partner"/>
        </xsd:restriction>
      </xsd:simpleType>
    </xsd:element>
    <xsd:element name="Comments" ma:index="10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040b95-0fdc-46ce-be91-73dc895452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8ebf2-e4df-4cd3-9186-1e42b3ede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f5f3a8b-878a-4d06-a8de-79a1d9f1fffd}" ma:internalName="TaxCatchAll" ma:showField="CatchAllData" ma:web="4e58ebf2-e4df-4cd3-9186-1e42b3ede1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5e41b080-9453-459c-bb93-b19be7335f42" xsi:nil="true"/>
    <Comments xmlns="5e41b080-9453-459c-bb93-b19be7335f42" xsi:nil="true"/>
    <Due_x0020_Date xmlns="5e41b080-9453-459c-bb93-b19be7335f42" xsi:nil="true"/>
    <lcf76f155ced4ddcb4097134ff3c332f xmlns="5e41b080-9453-459c-bb93-b19be7335f42">
      <Terms xmlns="http://schemas.microsoft.com/office/infopath/2007/PartnerControls"/>
    </lcf76f155ced4ddcb4097134ff3c332f>
    <TaxCatchAll xmlns="4e58ebf2-e4df-4cd3-9186-1e42b3ede124" xsi:nil="true"/>
  </documentManagement>
</p:properties>
</file>

<file path=customXml/itemProps1.xml><?xml version="1.0" encoding="utf-8"?>
<ds:datastoreItem xmlns:ds="http://schemas.openxmlformats.org/officeDocument/2006/customXml" ds:itemID="{39C085FA-DF25-4786-817A-524CDED52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1EF8FA-72D5-45ED-B2FA-0B9271E56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1b080-9453-459c-bb93-b19be7335f42"/>
    <ds:schemaRef ds:uri="4e58ebf2-e4df-4cd3-9186-1e42b3ede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3B42CE-D6EC-441A-BA56-FEB9CB7C03AD}">
  <ds:schemaRefs>
    <ds:schemaRef ds:uri="http://schemas.microsoft.com/office/2006/metadata/properties"/>
    <ds:schemaRef ds:uri="http://schemas.microsoft.com/office/infopath/2007/PartnerControls"/>
    <ds:schemaRef ds:uri="5e41b080-9453-459c-bb93-b19be7335f42"/>
    <ds:schemaRef ds:uri="4e58ebf2-e4df-4cd3-9186-1e42b3ede1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Overview of Loans</vt:lpstr>
      <vt:lpstr>Temperance Loan</vt:lpstr>
      <vt:lpstr>Amortization Schedule</vt:lpstr>
      <vt:lpstr>Temperance Amortization Schd.</vt:lpstr>
      <vt:lpstr>Loan Balance</vt:lpstr>
      <vt:lpstr>Cumulative Totals</vt:lpstr>
      <vt:lpstr>Impact of Extra Payment </vt:lpstr>
      <vt:lpstr>Credit Cards</vt:lpstr>
      <vt:lpstr>Additional_Payment</vt:lpstr>
      <vt:lpstr>APR</vt:lpstr>
      <vt:lpstr>'Impact of Extra Payment '!Loan_Amount</vt:lpstr>
      <vt:lpstr>Loan_Term_Years</vt:lpstr>
      <vt:lpstr>'Impact of Extra Payment '!Month</vt:lpstr>
      <vt:lpstr>'Impact of Extra Payment '!Monthly_Payment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MBOGO.A.ALFRED</cp:lastModifiedBy>
  <cp:lastPrinted>2012-01-09T22:43:33Z</cp:lastPrinted>
  <dcterms:created xsi:type="dcterms:W3CDTF">2009-08-25T00:34:21Z</dcterms:created>
  <dcterms:modified xsi:type="dcterms:W3CDTF">2025-01-25T08:34:59Z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0x010100F3EF55019BAB0549B2C20BFAAB8A2896</vt:lpwstr>
  </property>
</Properties>
</file>