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en.muse\Source\Repos\ALMRangers Guidance\src\Planning\"/>
    </mc:Choice>
  </mc:AlternateContent>
  <xr:revisionPtr revIDLastSave="0" documentId="13_ncr:1_{988E16C4-3487-44E7-BFF3-7C4BB7FE4FFC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Server Scenarios" sheetId="1" r:id="rId1"/>
    <sheet name="Constants" sheetId="5" state="hidden" r:id="rId2"/>
    <sheet name="Hardware Configurations" sheetId="7" r:id="rId3"/>
    <sheet name="Additional Servers" sheetId="8" r:id="rId4"/>
  </sheets>
  <definedNames>
    <definedName name="Active_Branches">'Additional Servers'!$F$10</definedName>
    <definedName name="BEEF_FACTOR">'Server Scenarios'!$C$9</definedName>
    <definedName name="C_NO">Constants!$B$22</definedName>
    <definedName name="C_YES">Constants!$B$21</definedName>
    <definedName name="CS_DEMO_CORES">Constants!$C$9</definedName>
    <definedName name="CS_DEMO_RAM">Constants!$D$9</definedName>
    <definedName name="CS_DEMO_USERS">Constants!$B$9</definedName>
    <definedName name="CS_HIGH_CORES">Constants!$C$11</definedName>
    <definedName name="CS_HIGH_RAM">Constants!$D$11</definedName>
    <definedName name="CS_HIGH_USERS">Constants!$B$11</definedName>
    <definedName name="CS_LOW_CORES">Constants!$C$10</definedName>
    <definedName name="CS_LOW_RAM">Constants!$D$10</definedName>
    <definedName name="CS_LOW_USERS">Constants!$B$10</definedName>
    <definedName name="CS_STORAGE_FACTOR">Constants!$B$19</definedName>
    <definedName name="Current_BranchTip">'Additional Servers'!$F$9</definedName>
    <definedName name="Current_Storage">'Additional Servers'!$C$9</definedName>
    <definedName name="Current_Users">'Server Scenarios'!$C$7</definedName>
    <definedName name="DUAL_CURRENT_OK">'Server Scenarios'!$F$13</definedName>
    <definedName name="DUAL_FUTURE_OK">'Server Scenarios'!$F$14</definedName>
    <definedName name="Future_BranchTip">'Additional Servers'!$F$8</definedName>
    <definedName name="Future_Storage">'Additional Servers'!$C$8</definedName>
    <definedName name="Future_Users">'Server Scenarios'!$C$6</definedName>
    <definedName name="GVFS_SCALE_FACTOR">Constants!$B$18</definedName>
    <definedName name="HI_CORE_AT">Constants!$F$5</definedName>
    <definedName name="HI_CORE_DT">Constants!$I$5</definedName>
    <definedName name="HI_DISK_AT">Constants!$H$5</definedName>
    <definedName name="HI_DISK_DT">Constants!$K$5</definedName>
    <definedName name="HI_FACTOR">Constants!$D$5</definedName>
    <definedName name="HI_RAM_AT">Constants!$G$5</definedName>
    <definedName name="HI_RAM_DT">Constants!$J$5</definedName>
    <definedName name="HI_RPS">Constants!$B$5</definedName>
    <definedName name="HI_USERS">Constants!$C$5</definedName>
    <definedName name="HIGH_TPC">Constants!$E$5</definedName>
    <definedName name="LO_CORE_AT">Constants!$F$2</definedName>
    <definedName name="LO_DISK_AT">Constants!$H$2</definedName>
    <definedName name="LO_FACTOR">Constants!$D$2</definedName>
    <definedName name="LO_RAM_AT">Constants!$G$2</definedName>
    <definedName name="LO_RPS">Constants!$B$2</definedName>
    <definedName name="LO_TPC">Constants!$E$2</definedName>
    <definedName name="LO_USERS">Constants!$C$2</definedName>
    <definedName name="MEDIUM_CORE_AT">Constants!$F$4</definedName>
    <definedName name="MEDIUM_CORE_DT">Constants!$I$4</definedName>
    <definedName name="MEDIUM_DISK_AT">Constants!$H$4</definedName>
    <definedName name="MEDIUM_DISK_DT">Constants!$K$4</definedName>
    <definedName name="MEDIUM_RAM_AT">Constants!$G$4</definedName>
    <definedName name="MEDIUM_RAM_DT">Constants!$J$4</definedName>
    <definedName name="MEDIUM_RPS">Constants!$B$4</definedName>
    <definedName name="MEDIUM_TPC">Constants!$E$4</definedName>
    <definedName name="MEDIUM_USERS">Constants!$C$4</definedName>
    <definedName name="PROXY_HIGH_CORES">Constants!$C$16</definedName>
    <definedName name="PROXY_HIGH_RAM">Constants!$D$16</definedName>
    <definedName name="PROXY_HIGH_USERS">Constants!$B$16</definedName>
    <definedName name="PROXY_LOW_CORES">Constants!$C$14</definedName>
    <definedName name="PROXY_LOW_RAM">Constants!$D$14</definedName>
    <definedName name="PROXY_LOW_USERS">Constants!$B$14</definedName>
    <definedName name="PROXY_MEDIUM_CORES">Constants!$C$15</definedName>
    <definedName name="PROXY_MEDIUM_RAM">Constants!$D$15</definedName>
    <definedName name="PROXY_MEDIUM_USERS">Constants!$B$15</definedName>
    <definedName name="SCALE_CORE_AT">Constants!$F$6</definedName>
    <definedName name="SCALE_CORE_DT">Constants!$I$6</definedName>
    <definedName name="SCALE_CURRENT_OK">'Server Scenarios'!$I$13</definedName>
    <definedName name="SCALE_DISK_AT">Constants!$H$6</definedName>
    <definedName name="SCALE_DISK_DT">Constants!$K$6</definedName>
    <definedName name="SCALE_FACTOR">Constants!$D$6</definedName>
    <definedName name="SCALE_FUTURE_OK">'Server Scenarios'!$I$14</definedName>
    <definedName name="SCALE_RAM_AT">Constants!$G$6</definedName>
    <definedName name="SCALE_RAM_DT">Constants!$J$6</definedName>
    <definedName name="SCALE_RPS">Constants!$B$6</definedName>
    <definedName name="SCALE_TPC">Constants!$E$6</definedName>
    <definedName name="SCALE_USERS">Constants!$A$6</definedName>
    <definedName name="SINGLE_CURRENT_OK">'Server Scenarios'!$C$13</definedName>
    <definedName name="SINGLE_FUTURE_OK">'Server Scenarios'!$C$14</definedName>
    <definedName name="SINGLE_PREFERRED">'Server Scenarios'!$C$15</definedName>
    <definedName name="STANDARD_CORE_AT">Constants!$F$3</definedName>
    <definedName name="STANDARD_DISK_AT">Constants!$H$3</definedName>
    <definedName name="STANDARD_FACTOR">Constants!$D$3</definedName>
    <definedName name="STANDARD_RAM_AT">Constants!$G$3</definedName>
    <definedName name="STANDARD_RPD">Constants!$B$3</definedName>
    <definedName name="STANDARD_TPC">Constants!$E$3</definedName>
    <definedName name="STANDARD_USERS">Constants!$C$3</definedName>
    <definedName name="VM_OVERHEAD">Constants!$B$20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4" i="5" l="1"/>
  <c r="I35" i="8" l="1"/>
  <c r="J35" i="8" s="1"/>
  <c r="I29" i="8"/>
  <c r="J29" i="8" s="1"/>
  <c r="I8" i="8"/>
  <c r="I9" i="8"/>
  <c r="G35" i="8" l="1"/>
  <c r="H35" i="8" s="1"/>
  <c r="G29" i="8"/>
  <c r="H29" i="8" s="1"/>
  <c r="I33" i="8"/>
  <c r="J33" i="8" s="1"/>
  <c r="I27" i="8"/>
  <c r="J27" i="8" s="1"/>
  <c r="G34" i="8"/>
  <c r="H34" i="8" s="1"/>
  <c r="G33" i="8"/>
  <c r="H33" i="8" s="1"/>
  <c r="G27" i="8"/>
  <c r="H27" i="8" s="1"/>
  <c r="G28" i="8"/>
  <c r="H28" i="8" s="1"/>
  <c r="G23" i="8"/>
  <c r="H23" i="8" s="1"/>
  <c r="G17" i="8"/>
  <c r="H17" i="8" s="1"/>
  <c r="G22" i="8"/>
  <c r="H22" i="8" s="1"/>
  <c r="G21" i="8"/>
  <c r="H21" i="8" s="1"/>
  <c r="G16" i="8"/>
  <c r="H16" i="8" s="1"/>
  <c r="G15" i="8"/>
  <c r="H15" i="8" s="1"/>
  <c r="B2" i="8"/>
  <c r="I34" i="8" l="1"/>
  <c r="J34" i="8" s="1"/>
  <c r="I28" i="8"/>
  <c r="J28" i="8" s="1"/>
  <c r="B2" i="7"/>
  <c r="I14" i="1" l="1"/>
  <c r="K19" i="1" s="1"/>
  <c r="F14" i="1"/>
  <c r="C14" i="1"/>
  <c r="F13" i="1"/>
  <c r="C13" i="1"/>
  <c r="J18" i="7" l="1"/>
  <c r="K18" i="7"/>
  <c r="M18" i="7" s="1"/>
  <c r="K17" i="7"/>
  <c r="K16" i="7"/>
  <c r="K31" i="7" s="1"/>
  <c r="E16" i="1"/>
  <c r="D16" i="1" s="1"/>
  <c r="D17" i="7"/>
  <c r="D18" i="7"/>
  <c r="E18" i="7" s="1"/>
  <c r="F9" i="7"/>
  <c r="G9" i="7"/>
  <c r="F10" i="7"/>
  <c r="F25" i="7" s="1"/>
  <c r="G10" i="7"/>
  <c r="D16" i="7"/>
  <c r="F11" i="7"/>
  <c r="G11" i="7"/>
  <c r="I11" i="7" s="1"/>
  <c r="G18" i="7"/>
  <c r="I18" i="7" s="1"/>
  <c r="F16" i="7"/>
  <c r="F31" i="7" s="1"/>
  <c r="G16" i="7"/>
  <c r="F17" i="7"/>
  <c r="G17" i="7"/>
  <c r="J16" i="7"/>
  <c r="J31" i="7" s="1"/>
  <c r="J17" i="7"/>
  <c r="F18" i="7"/>
  <c r="D9" i="7"/>
  <c r="D24" i="7" s="1"/>
  <c r="D10" i="7"/>
  <c r="D11" i="7"/>
  <c r="E11" i="7" s="1"/>
  <c r="I13" i="1"/>
  <c r="I19" i="1" s="1"/>
  <c r="F18" i="1"/>
  <c r="I18" i="1"/>
  <c r="C16" i="1"/>
  <c r="F17" i="1"/>
  <c r="F16" i="1"/>
  <c r="C18" i="1"/>
  <c r="C17" i="1"/>
  <c r="C15" i="1"/>
  <c r="F19" i="1"/>
  <c r="C19" i="1"/>
  <c r="F15" i="1"/>
  <c r="J33" i="7" l="1"/>
  <c r="L18" i="7"/>
  <c r="L33" i="7" s="1"/>
  <c r="F33" i="7"/>
  <c r="H18" i="7"/>
  <c r="H33" i="7" s="1"/>
  <c r="F26" i="7"/>
  <c r="H11" i="7"/>
  <c r="H26" i="7" s="1"/>
  <c r="I16" i="1"/>
  <c r="K10" i="7"/>
  <c r="K9" i="7"/>
  <c r="K11" i="7"/>
  <c r="M11" i="7" s="1"/>
  <c r="E26" i="7"/>
  <c r="D26" i="7"/>
  <c r="E10" i="7"/>
  <c r="E25" i="7" s="1"/>
  <c r="D25" i="7"/>
  <c r="I10" i="7"/>
  <c r="I25" i="7" s="1"/>
  <c r="G25" i="7"/>
  <c r="I9" i="7"/>
  <c r="I24" i="7" s="1"/>
  <c r="G24" i="7"/>
  <c r="H9" i="7"/>
  <c r="H24" i="7" s="1"/>
  <c r="F24" i="7"/>
  <c r="I26" i="7"/>
  <c r="G26" i="7"/>
  <c r="H17" i="7"/>
  <c r="H32" i="7" s="1"/>
  <c r="F32" i="7"/>
  <c r="M33" i="7"/>
  <c r="K33" i="7"/>
  <c r="E16" i="7"/>
  <c r="E31" i="7" s="1"/>
  <c r="D31" i="7"/>
  <c r="L17" i="7"/>
  <c r="L32" i="7" s="1"/>
  <c r="J32" i="7"/>
  <c r="I16" i="7"/>
  <c r="I31" i="7" s="1"/>
  <c r="G31" i="7"/>
  <c r="I33" i="7"/>
  <c r="G33" i="7"/>
  <c r="M17" i="7"/>
  <c r="M32" i="7" s="1"/>
  <c r="K32" i="7"/>
  <c r="E33" i="7"/>
  <c r="D33" i="7"/>
  <c r="I17" i="7"/>
  <c r="I32" i="7" s="1"/>
  <c r="G32" i="7"/>
  <c r="E17" i="7"/>
  <c r="E32" i="7" s="1"/>
  <c r="D32" i="7"/>
  <c r="E9" i="7"/>
  <c r="E24" i="7" s="1"/>
  <c r="H16" i="7"/>
  <c r="H31" i="7" s="1"/>
  <c r="J11" i="7"/>
  <c r="J10" i="7"/>
  <c r="J25" i="7" s="1"/>
  <c r="J9" i="7"/>
  <c r="J24" i="7" s="1"/>
  <c r="M16" i="7"/>
  <c r="M31" i="7" s="1"/>
  <c r="L16" i="7"/>
  <c r="L31" i="7" s="1"/>
  <c r="H10" i="7"/>
  <c r="H25" i="7" s="1"/>
  <c r="I17" i="1"/>
  <c r="I15" i="1"/>
  <c r="J26" i="7" l="1"/>
  <c r="L11" i="7"/>
  <c r="L26" i="7" s="1"/>
  <c r="M26" i="7"/>
  <c r="K26" i="7"/>
  <c r="M9" i="7"/>
  <c r="M24" i="7" s="1"/>
  <c r="K24" i="7"/>
  <c r="M10" i="7"/>
  <c r="M25" i="7" s="1"/>
  <c r="K25" i="7"/>
  <c r="L10" i="7"/>
  <c r="L25" i="7" s="1"/>
  <c r="L9" i="7"/>
  <c r="L24" i="7" s="1"/>
  <c r="J19" i="1"/>
</calcChain>
</file>

<file path=xl/sharedStrings.xml><?xml version="1.0" encoding="utf-8"?>
<sst xmlns="http://schemas.openxmlformats.org/spreadsheetml/2006/main" count="219" uniqueCount="88">
  <si>
    <t>F</t>
  </si>
  <si>
    <t>Maximum must be more than current</t>
  </si>
  <si>
    <t>Current users</t>
  </si>
  <si>
    <t>Current must be less than maximum</t>
  </si>
  <si>
    <t>INFRASTRUCTURE ARCHITECTURE</t>
  </si>
  <si>
    <t>Single Server</t>
  </si>
  <si>
    <t>Scale Up</t>
  </si>
  <si>
    <t>Scale Out</t>
  </si>
  <si>
    <t>ATDT</t>
  </si>
  <si>
    <t>AT + DT</t>
  </si>
  <si>
    <t>Feasible recommendation for current?</t>
  </si>
  <si>
    <t>Feasible recommendation for future?</t>
  </si>
  <si>
    <t>Preferred Architecture?</t>
  </si>
  <si>
    <t>Physical</t>
  </si>
  <si>
    <t>Virtual</t>
  </si>
  <si>
    <t>AT</t>
  </si>
  <si>
    <t>DT</t>
  </si>
  <si>
    <t>CORE</t>
  </si>
  <si>
    <t>RAM (GB)</t>
  </si>
  <si>
    <t>DISK (GB)</t>
  </si>
  <si>
    <t>RAM</t>
  </si>
  <si>
    <t>Yes</t>
  </si>
  <si>
    <t>No</t>
  </si>
  <si>
    <r>
      <rPr>
        <b/>
        <sz val="11"/>
        <color rgb="FFC00000"/>
        <rFont val="Calibri"/>
        <family val="2"/>
        <scheme val="minor"/>
      </rPr>
      <t>MINIMUM</t>
    </r>
    <r>
      <rPr>
        <b/>
        <sz val="11"/>
        <color theme="0"/>
        <rFont val="Calibri"/>
        <family val="2"/>
        <scheme val="minor"/>
      </rPr>
      <t xml:space="preserve"> CONFIGURATION FOR CURRENT REQUIREMENTS</t>
    </r>
  </si>
  <si>
    <r>
      <rPr>
        <b/>
        <sz val="11"/>
        <color rgb="FFC00000"/>
        <rFont val="Calibri"/>
        <family val="2"/>
        <scheme val="minor"/>
      </rPr>
      <t xml:space="preserve">MINIMUM </t>
    </r>
    <r>
      <rPr>
        <b/>
        <sz val="11"/>
        <color theme="0"/>
        <rFont val="Calibri"/>
        <family val="2"/>
        <scheme val="minor"/>
      </rPr>
      <t>RECOMMENDED CONFIGURATION FOR FUTURE GROWTH</t>
    </r>
  </si>
  <si>
    <r>
      <rPr>
        <b/>
        <sz val="11"/>
        <color theme="0"/>
        <rFont val="Calibri"/>
        <family val="2"/>
        <scheme val="minor"/>
      </rPr>
      <t>Real-World</t>
    </r>
    <r>
      <rPr>
        <sz val="11"/>
        <color theme="0"/>
        <rFont val="Calibri"/>
        <family val="2"/>
        <scheme val="minor"/>
      </rPr>
      <t xml:space="preserve"> (Beef) </t>
    </r>
    <r>
      <rPr>
        <b/>
        <sz val="11"/>
        <color theme="0"/>
        <rFont val="Calibri"/>
        <family val="2"/>
        <scheme val="minor"/>
      </rPr>
      <t>Factor</t>
    </r>
    <r>
      <rPr>
        <sz val="11"/>
        <color theme="0"/>
        <rFont val="Calibri"/>
        <family val="2"/>
        <scheme val="minor"/>
      </rPr>
      <t xml:space="preserve"> </t>
    </r>
  </si>
  <si>
    <t>NUMBER OF ACTIVE TEAM FOUNDATION SERVER USERS</t>
  </si>
  <si>
    <t>Low-End Configuration</t>
  </si>
  <si>
    <t>Standard Configuration</t>
  </si>
  <si>
    <t>High-End Configuration</t>
  </si>
  <si>
    <t>Scale-Out Configuration</t>
  </si>
  <si>
    <t>RPS</t>
  </si>
  <si>
    <t>User Limit</t>
  </si>
  <si>
    <t>Constants</t>
  </si>
  <si>
    <t>RPS Factor</t>
  </si>
  <si>
    <t>Estimated number of Application Tier (AT) servers</t>
  </si>
  <si>
    <t>TPC</t>
  </si>
  <si>
    <t>Maximum Current Active Collections (per SQL Server instance)</t>
  </si>
  <si>
    <t>Maximum Future Active Collections (per SQL Server instance)</t>
  </si>
  <si>
    <t>Server Configuration Type</t>
  </si>
  <si>
    <t>RAM-DT</t>
  </si>
  <si>
    <t>RAM-AT</t>
  </si>
  <si>
    <t>DISK-AT</t>
  </si>
  <si>
    <t>Core-DT</t>
  </si>
  <si>
    <t>Core-AT</t>
  </si>
  <si>
    <t>DISK-DT</t>
  </si>
  <si>
    <t>Maximum expected users</t>
  </si>
  <si>
    <r>
      <rPr>
        <b/>
        <sz val="20"/>
        <color rgb="FF006100"/>
        <rFont val="Calibri"/>
        <family val="2"/>
        <scheme val="minor"/>
      </rPr>
      <t>BASE</t>
    </r>
    <r>
      <rPr>
        <b/>
        <sz val="11"/>
        <color rgb="FF006100"/>
        <rFont val="Calibri"/>
        <family val="2"/>
        <scheme val="minor"/>
      </rPr>
      <t xml:space="preserve">
RECOMMENDATIONS</t>
    </r>
  </si>
  <si>
    <r>
      <t xml:space="preserve">WITH </t>
    </r>
    <r>
      <rPr>
        <b/>
        <sz val="20"/>
        <color rgb="FF9C6500"/>
        <rFont val="Calibri"/>
        <family val="2"/>
        <scheme val="minor"/>
      </rPr>
      <t>BEEF</t>
    </r>
    <r>
      <rPr>
        <b/>
        <sz val="11"/>
        <color rgb="FF9C6500"/>
        <rFont val="Calibri"/>
        <family val="2"/>
        <scheme val="minor"/>
      </rPr>
      <t xml:space="preserve"> FACTOR</t>
    </r>
  </si>
  <si>
    <r>
      <rPr>
        <b/>
        <sz val="11"/>
        <color rgb="FFFF0000"/>
        <rFont val="Calibri"/>
        <family val="2"/>
        <scheme val="minor"/>
      </rPr>
      <t>NOTE:</t>
    </r>
    <r>
      <rPr>
        <b/>
        <i/>
        <sz val="11"/>
        <color rgb="FFFF0000"/>
        <rFont val="Calibri"/>
        <family val="2"/>
        <scheme val="minor"/>
      </rPr>
      <t xml:space="preserve"> </t>
    </r>
    <r>
      <rPr>
        <i/>
        <sz val="11"/>
        <color theme="1"/>
        <rFont val="Calibri"/>
        <family val="2"/>
        <scheme val="minor"/>
      </rPr>
      <t>This is a simplified model for educational purposes and does not replace expert consulting. Real-world requirements and infrastructure environments can be much more complex.</t>
    </r>
  </si>
  <si>
    <t>Safety growth factor to add to proposed architecture.</t>
  </si>
  <si>
    <r>
      <rPr>
        <b/>
        <sz val="11"/>
        <color rgb="FFFF0000"/>
        <rFont val="Calibri"/>
        <family val="2"/>
        <scheme val="minor"/>
      </rPr>
      <t xml:space="preserve">NOTE: </t>
    </r>
    <r>
      <rPr>
        <sz val="11"/>
        <color theme="1"/>
        <rFont val="Calibri"/>
        <family val="2"/>
        <scheme val="minor"/>
      </rPr>
      <t>This is a simplified model for educational purposes and does not replace expert consulting. Real world requirements and infrastructure environments can be much more complex.</t>
    </r>
  </si>
  <si>
    <t>Medium-End Configuration</t>
  </si>
  <si>
    <t>Code Search Server</t>
  </si>
  <si>
    <t>Standalone Server</t>
  </si>
  <si>
    <t>Code Search Low-End</t>
  </si>
  <si>
    <t>Core</t>
  </si>
  <si>
    <t>Code Search High-End</t>
  </si>
  <si>
    <t>Maximum</t>
  </si>
  <si>
    <t>Current</t>
  </si>
  <si>
    <t>Proxy Server</t>
  </si>
  <si>
    <t>Standalone Server With GVFS</t>
  </si>
  <si>
    <t>Search Server Storage</t>
  </si>
  <si>
    <t>Proxy Low-End</t>
  </si>
  <si>
    <t>Proxy Medium-End</t>
  </si>
  <si>
    <t>Proxy High-End</t>
  </si>
  <si>
    <t>Branch Tip Size (GB)</t>
  </si>
  <si>
    <t>GVFS Storage Scale</t>
  </si>
  <si>
    <t>ALM | DevOps Rangers - On-Premises Capacity Planning Quick Reference Poster Companion Workbook</t>
  </si>
  <si>
    <t>Version 2019.04.21</t>
  </si>
  <si>
    <t>Total Repository Size (GB)</t>
  </si>
  <si>
    <t>Current recommendation is is 1.5x the repository's entire size</t>
  </si>
  <si>
    <t>Current recommendation is 4x the repository's entire size</t>
  </si>
  <si>
    <t>Code Search Demo</t>
  </si>
  <si>
    <t>Configure</t>
  </si>
  <si>
    <t>Co-located</t>
  </si>
  <si>
    <t>Standalone</t>
  </si>
  <si>
    <t>Users (From Server Scenarios)</t>
  </si>
  <si>
    <t>Maximum Expected</t>
  </si>
  <si>
    <t>Active Branches</t>
  </si>
  <si>
    <t>Virtualization Overhead</t>
  </si>
  <si>
    <t>Overhead for a system running on a virtual machine</t>
  </si>
  <si>
    <t xml:space="preserve"> </t>
  </si>
  <si>
    <t>Maximum size must be less than current size</t>
  </si>
  <si>
    <t>Maximum tip size must be greater than current tip size</t>
  </si>
  <si>
    <r>
      <t xml:space="preserve">Read </t>
    </r>
    <r>
      <rPr>
        <b/>
        <sz val="11"/>
        <color theme="1"/>
        <rFont val="Calibri"/>
        <family val="2"/>
        <scheme val="minor"/>
      </rPr>
      <t>https://docs.microsoft.com/en-us/azure/devops/server/requirements</t>
    </r>
    <r>
      <rPr>
        <sz val="11"/>
        <color theme="1"/>
        <rFont val="Calibri"/>
        <family val="2"/>
        <scheme val="minor"/>
      </rPr>
      <t xml:space="preserve"> for up-to-date operating system, hardware, virtualization, and other requirements.</t>
    </r>
  </si>
  <si>
    <r>
      <t xml:space="preserve">Read </t>
    </r>
    <r>
      <rPr>
        <b/>
        <sz val="11"/>
        <color theme="1"/>
        <rFont val="Calibri"/>
        <family val="2"/>
        <scheme val="minor"/>
      </rPr>
      <t>https://docs.microsoft.com/en-us/azure/devops/server/requirements</t>
    </r>
    <r>
      <rPr>
        <sz val="11"/>
        <color theme="1"/>
        <rFont val="Calibri"/>
        <family val="2"/>
        <scheme val="minor"/>
      </rPr>
      <t xml:space="preserve"> for up-to-date operating system, hardware, virtualization, and other requirements</t>
    </r>
  </si>
  <si>
    <r>
      <t xml:space="preserve">Hardware requirements for Code Search can be found at </t>
    </r>
    <r>
      <rPr>
        <b/>
        <sz val="11"/>
        <color theme="1"/>
        <rFont val="Calibri"/>
        <family val="2"/>
        <scheme val="minor"/>
      </rPr>
      <t>https://docs.microsoft.com/en-us/azure/devops/project/search/administration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</si>
</sst>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36"/>
      <color theme="1"/>
      <name val="Wingdings"/>
      <charset val="2"/>
    </font>
    <font>
      <b/>
      <sz val="3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9C65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sz val="72"/>
      <color rgb="FFC00000"/>
      <name val="Calibri"/>
      <family val="2"/>
      <scheme val="minor"/>
    </font>
    <font>
      <b/>
      <sz val="20"/>
      <color rgb="FF006100"/>
      <name val="Calibri"/>
      <family val="2"/>
      <scheme val="minor"/>
    </font>
    <font>
      <b/>
      <sz val="20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9" fontId="20" fillId="0" borderId="0" applyFont="0" applyFill="0" applyBorder="0" applyAlignment="0" applyProtection="0"/>
  </cellStyleXfs>
  <cellXfs count="119">
    <xf numFmtId="0" fontId="0" fillId="0" borderId="0" xfId="0"/>
    <xf numFmtId="0" fontId="4" fillId="0" borderId="0" xfId="0" applyFont="1"/>
    <xf numFmtId="0" fontId="1" fillId="2" borderId="7" xfId="0" applyFont="1" applyFill="1" applyBorder="1"/>
    <xf numFmtId="0" fontId="0" fillId="3" borderId="9" xfId="0" applyFill="1" applyBorder="1"/>
    <xf numFmtId="0" fontId="3" fillId="3" borderId="9" xfId="0" applyFont="1" applyFill="1" applyBorder="1"/>
    <xf numFmtId="0" fontId="3" fillId="3" borderId="10" xfId="0" applyFont="1" applyFill="1" applyBorder="1"/>
    <xf numFmtId="0" fontId="3" fillId="3" borderId="15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Alignment="1">
      <alignment horizontal="center"/>
    </xf>
    <xf numFmtId="0" fontId="0" fillId="3" borderId="4" xfId="0" applyFill="1" applyBorder="1"/>
    <xf numFmtId="0" fontId="3" fillId="3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0" borderId="0" xfId="0" applyAlignment="1">
      <alignment horizontal="center"/>
    </xf>
    <xf numFmtId="9" fontId="3" fillId="0" borderId="18" xfId="0" applyNumberFormat="1" applyFont="1" applyBorder="1" applyProtection="1">
      <protection locked="0"/>
    </xf>
    <xf numFmtId="1" fontId="0" fillId="7" borderId="0" xfId="0" applyNumberFormat="1" applyFill="1" applyAlignment="1">
      <alignment horizontal="center"/>
    </xf>
    <xf numFmtId="1" fontId="0" fillId="7" borderId="11" xfId="0" applyNumberFormat="1" applyFill="1" applyBorder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 vertical="center"/>
    </xf>
    <xf numFmtId="0" fontId="10" fillId="6" borderId="17" xfId="0" applyFont="1" applyFill="1" applyBorder="1"/>
    <xf numFmtId="0" fontId="10" fillId="0" borderId="0" xfId="0" applyFont="1"/>
    <xf numFmtId="0" fontId="0" fillId="3" borderId="3" xfId="0" applyFill="1" applyBorder="1" applyAlignment="1">
      <alignment horizontal="left" vertical="center"/>
    </xf>
    <xf numFmtId="0" fontId="0" fillId="3" borderId="23" xfId="0" applyFill="1" applyBorder="1" applyAlignment="1">
      <alignment horizontal="left" vertical="center"/>
    </xf>
    <xf numFmtId="0" fontId="0" fillId="7" borderId="24" xfId="0" applyFill="1" applyBorder="1" applyAlignment="1">
      <alignment horizontal="right"/>
    </xf>
    <xf numFmtId="0" fontId="0" fillId="7" borderId="24" xfId="0" applyFill="1" applyBorder="1" applyAlignment="1">
      <alignment horizontal="center"/>
    </xf>
    <xf numFmtId="0" fontId="0" fillId="7" borderId="24" xfId="0" applyFill="1" applyBorder="1" applyAlignment="1">
      <alignment horizontal="left"/>
    </xf>
    <xf numFmtId="0" fontId="0" fillId="3" borderId="22" xfId="0" applyFill="1" applyBorder="1" applyAlignment="1">
      <alignment horizontal="left" vertical="center"/>
    </xf>
    <xf numFmtId="0" fontId="0" fillId="3" borderId="21" xfId="0" applyFill="1" applyBorder="1" applyAlignment="1">
      <alignment horizontal="left" vertical="center"/>
    </xf>
    <xf numFmtId="9" fontId="0" fillId="0" borderId="0" xfId="0" applyNumberFormat="1" applyAlignment="1">
      <alignment horizontal="center"/>
    </xf>
    <xf numFmtId="0" fontId="1" fillId="2" borderId="2" xfId="0" applyFont="1" applyFill="1" applyBorder="1"/>
    <xf numFmtId="0" fontId="3" fillId="3" borderId="4" xfId="0" applyFont="1" applyFill="1" applyBorder="1"/>
    <xf numFmtId="0" fontId="3" fillId="3" borderId="6" xfId="0" applyFont="1" applyFill="1" applyBorder="1"/>
    <xf numFmtId="1" fontId="0" fillId="7" borderId="3" xfId="0" applyNumberFormat="1" applyFill="1" applyBorder="1" applyAlignment="1">
      <alignment horizontal="center"/>
    </xf>
    <xf numFmtId="1" fontId="0" fillId="7" borderId="5" xfId="0" applyNumberFormat="1" applyFill="1" applyBorder="1" applyAlignment="1">
      <alignment horizontal="center"/>
    </xf>
    <xf numFmtId="1" fontId="0" fillId="7" borderId="15" xfId="0" applyNumberFormat="1" applyFill="1" applyBorder="1" applyAlignment="1">
      <alignment horizontal="center"/>
    </xf>
    <xf numFmtId="1" fontId="0" fillId="7" borderId="13" xfId="0" applyNumberFormat="1" applyFill="1" applyBorder="1" applyAlignment="1">
      <alignment horizontal="center"/>
    </xf>
    <xf numFmtId="1" fontId="0" fillId="7" borderId="12" xfId="0" applyNumberFormat="1" applyFill="1" applyBorder="1" applyAlignment="1">
      <alignment horizontal="center"/>
    </xf>
    <xf numFmtId="1" fontId="0" fillId="7" borderId="4" xfId="0" applyNumberFormat="1" applyFill="1" applyBorder="1" applyAlignment="1">
      <alignment horizontal="center"/>
    </xf>
    <xf numFmtId="1" fontId="0" fillId="7" borderId="26" xfId="0" applyNumberFormat="1" applyFill="1" applyBorder="1" applyAlignment="1">
      <alignment horizontal="center"/>
    </xf>
    <xf numFmtId="1" fontId="0" fillId="7" borderId="6" xfId="0" applyNumberForma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15" xfId="0" applyNumberFormat="1" applyFont="1" applyFill="1" applyBorder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1" fontId="0" fillId="0" borderId="0" xfId="0" applyNumberFormat="1"/>
    <xf numFmtId="1" fontId="0" fillId="7" borderId="16" xfId="0" applyNumberFormat="1" applyFill="1" applyBorder="1" applyAlignment="1">
      <alignment horizontal="center"/>
    </xf>
    <xf numFmtId="1" fontId="0" fillId="7" borderId="14" xfId="0" applyNumberFormat="1" applyFill="1" applyBorder="1" applyAlignment="1">
      <alignment horizontal="center"/>
    </xf>
    <xf numFmtId="0" fontId="17" fillId="0" borderId="0" xfId="0" applyFont="1"/>
    <xf numFmtId="0" fontId="0" fillId="3" borderId="3" xfId="0" applyFill="1" applyBorder="1" applyAlignment="1">
      <alignment vertical="center"/>
    </xf>
    <xf numFmtId="0" fontId="3" fillId="8" borderId="4" xfId="0" applyFont="1" applyFill="1" applyBorder="1" applyAlignment="1" applyProtection="1">
      <alignment vertical="center"/>
      <protection locked="0"/>
    </xf>
    <xf numFmtId="0" fontId="0" fillId="3" borderId="5" xfId="0" applyFill="1" applyBorder="1" applyAlignment="1">
      <alignment vertical="center"/>
    </xf>
    <xf numFmtId="0" fontId="3" fillId="8" borderId="6" xfId="0" applyFont="1" applyFill="1" applyBorder="1" applyAlignment="1" applyProtection="1">
      <alignment vertical="center"/>
      <protection locked="0"/>
    </xf>
    <xf numFmtId="0" fontId="0" fillId="0" borderId="0" xfId="0" applyAlignment="1">
      <alignment horizontal="center"/>
    </xf>
    <xf numFmtId="0" fontId="21" fillId="0" borderId="0" xfId="0" applyFont="1"/>
    <xf numFmtId="9" fontId="0" fillId="0" borderId="0" xfId="3" applyFont="1" applyAlignment="1">
      <alignment horizontal="center"/>
    </xf>
    <xf numFmtId="0" fontId="0" fillId="3" borderId="27" xfId="0" applyFill="1" applyBorder="1" applyAlignment="1">
      <alignment horizontal="left" vertical="center"/>
    </xf>
    <xf numFmtId="0" fontId="0" fillId="7" borderId="28" xfId="0" applyFill="1" applyBorder="1" applyAlignment="1">
      <alignment horizontal="right"/>
    </xf>
    <xf numFmtId="0" fontId="0" fillId="7" borderId="28" xfId="0" applyFill="1" applyBorder="1" applyAlignment="1">
      <alignment horizontal="center"/>
    </xf>
    <xf numFmtId="0" fontId="0" fillId="7" borderId="29" xfId="0" applyFill="1" applyBorder="1" applyAlignment="1">
      <alignment horizontal="left"/>
    </xf>
    <xf numFmtId="0" fontId="0" fillId="7" borderId="28" xfId="0" applyFill="1" applyBorder="1" applyAlignment="1">
      <alignment horizontal="center"/>
    </xf>
    <xf numFmtId="0" fontId="12" fillId="0" borderId="0" xfId="0" applyFont="1" applyAlignment="1">
      <alignment horizontal="center"/>
    </xf>
    <xf numFmtId="0" fontId="0" fillId="7" borderId="24" xfId="0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20" xfId="0" applyFill="1" applyBorder="1" applyAlignment="1">
      <alignment horizontal="center"/>
    </xf>
    <xf numFmtId="0" fontId="0" fillId="7" borderId="19" xfId="0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0" xfId="0" applyFont="1" applyFill="1" applyAlignment="1">
      <alignment horizontal="center"/>
    </xf>
    <xf numFmtId="0" fontId="1" fillId="6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" fillId="6" borderId="1" xfId="0" applyFont="1" applyFill="1" applyBorder="1" applyAlignment="1">
      <alignment horizontal="left" vertical="center"/>
    </xf>
    <xf numFmtId="0" fontId="1" fillId="6" borderId="3" xfId="0" applyFont="1" applyFill="1" applyBorder="1" applyAlignment="1">
      <alignment horizontal="left" vertical="center"/>
    </xf>
    <xf numFmtId="0" fontId="1" fillId="6" borderId="1" xfId="0" applyFont="1" applyFill="1" applyBorder="1" applyAlignment="1">
      <alignment horizontal="left"/>
    </xf>
    <xf numFmtId="0" fontId="1" fillId="6" borderId="2" xfId="0" applyFont="1" applyFill="1" applyBorder="1" applyAlignment="1">
      <alignment horizontal="left"/>
    </xf>
    <xf numFmtId="0" fontId="16" fillId="4" borderId="7" xfId="1" applyFont="1" applyBorder="1" applyAlignment="1">
      <alignment horizontal="center" vertical="center" wrapText="1"/>
    </xf>
    <xf numFmtId="0" fontId="16" fillId="4" borderId="9" xfId="1" applyFont="1" applyBorder="1" applyAlignment="1">
      <alignment horizontal="center" vertical="center"/>
    </xf>
    <xf numFmtId="0" fontId="16" fillId="4" borderId="10" xfId="1" applyFont="1" applyBorder="1" applyAlignment="1">
      <alignment horizontal="center" vertical="center"/>
    </xf>
    <xf numFmtId="0" fontId="15" fillId="5" borderId="7" xfId="2" applyFont="1" applyBorder="1" applyAlignment="1">
      <alignment horizontal="center" vertical="center" wrapText="1"/>
    </xf>
    <xf numFmtId="0" fontId="15" fillId="5" borderId="9" xfId="2" applyFont="1" applyBorder="1" applyAlignment="1">
      <alignment horizontal="center" vertical="center" wrapText="1"/>
    </xf>
    <xf numFmtId="0" fontId="15" fillId="5" borderId="10" xfId="2" applyFont="1" applyBorder="1" applyAlignment="1">
      <alignment horizontal="center" vertical="center" wrapText="1"/>
    </xf>
    <xf numFmtId="1" fontId="3" fillId="3" borderId="1" xfId="0" applyNumberFormat="1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8" xfId="0" applyNumberFormat="1" applyFont="1" applyFill="1" applyBorder="1" applyAlignment="1">
      <alignment horizontal="center"/>
    </xf>
    <xf numFmtId="1" fontId="3" fillId="3" borderId="3" xfId="0" applyNumberFormat="1" applyFont="1" applyFill="1" applyBorder="1" applyAlignment="1">
      <alignment horizontal="center"/>
    </xf>
    <xf numFmtId="1" fontId="3" fillId="3" borderId="0" xfId="0" applyNumberFormat="1" applyFont="1" applyFill="1" applyAlignment="1">
      <alignment horizontal="center"/>
    </xf>
    <xf numFmtId="1" fontId="3" fillId="3" borderId="12" xfId="0" applyNumberFormat="1" applyFont="1" applyFill="1" applyBorder="1" applyAlignment="1">
      <alignment horizontal="center"/>
    </xf>
    <xf numFmtId="1" fontId="3" fillId="3" borderId="4" xfId="0" applyNumberFormat="1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0" fillId="3" borderId="3" xfId="0" applyFill="1" applyBorder="1"/>
    <xf numFmtId="0" fontId="0" fillId="3" borderId="0" xfId="0" applyFill="1" applyBorder="1"/>
    <xf numFmtId="0" fontId="0" fillId="3" borderId="4" xfId="0" applyFill="1" applyBorder="1"/>
    <xf numFmtId="0" fontId="18" fillId="4" borderId="7" xfId="1" applyFont="1" applyBorder="1" applyAlignment="1">
      <alignment horizontal="center" vertical="center" wrapText="1"/>
    </xf>
    <xf numFmtId="0" fontId="1" fillId="6" borderId="3" xfId="0" applyFont="1" applyFill="1" applyBorder="1" applyAlignment="1"/>
    <xf numFmtId="0" fontId="1" fillId="6" borderId="0" xfId="0" applyFont="1" applyFill="1" applyBorder="1" applyAlignment="1"/>
    <xf numFmtId="0" fontId="3" fillId="3" borderId="3" xfId="0" applyFont="1" applyFill="1" applyBorder="1"/>
    <xf numFmtId="0" fontId="3" fillId="3" borderId="0" xfId="0" applyFont="1" applyFill="1" applyBorder="1"/>
    <xf numFmtId="0" fontId="3" fillId="3" borderId="4" xfId="0" applyFont="1" applyFill="1" applyBorder="1"/>
    <xf numFmtId="0" fontId="3" fillId="3" borderId="5" xfId="0" applyFont="1" applyFill="1" applyBorder="1"/>
    <xf numFmtId="0" fontId="3" fillId="3" borderId="11" xfId="0" applyFont="1" applyFill="1" applyBorder="1"/>
    <xf numFmtId="0" fontId="3" fillId="3" borderId="6" xfId="0" applyFont="1" applyFill="1" applyBorder="1"/>
    <xf numFmtId="0" fontId="1" fillId="2" borderId="1" xfId="0" applyFont="1" applyFill="1" applyBorder="1"/>
    <xf numFmtId="0" fontId="1" fillId="2" borderId="8" xfId="0" applyFont="1" applyFill="1" applyBorder="1"/>
    <xf numFmtId="0" fontId="1" fillId="2" borderId="2" xfId="0" applyFont="1" applyFill="1" applyBorder="1"/>
    <xf numFmtId="0" fontId="6" fillId="0" borderId="4" xfId="0" applyFont="1" applyBorder="1" applyAlignment="1">
      <alignment horizontal="center" vertical="center"/>
    </xf>
    <xf numFmtId="0" fontId="3" fillId="3" borderId="6" xfId="0" applyFont="1" applyFill="1" applyBorder="1" applyAlignment="1" applyProtection="1">
      <alignment vertical="center"/>
    </xf>
    <xf numFmtId="0" fontId="3" fillId="3" borderId="4" xfId="0" applyFont="1" applyFill="1" applyBorder="1" applyAlignment="1" applyProtection="1">
      <alignment vertical="center"/>
    </xf>
  </cellXfs>
  <cellStyles count="4">
    <cellStyle name="Good" xfId="1" builtinId="26"/>
    <cellStyle name="Neutral" xfId="2" builtinId="28"/>
    <cellStyle name="Normal" xfId="0" builtinId="0"/>
    <cellStyle name="Percent" xfId="3" builtinId="5"/>
  </cellStyles>
  <dxfs count="20">
    <dxf>
      <font>
        <color theme="0"/>
      </font>
    </dxf>
    <dxf>
      <font>
        <color theme="0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ont>
        <color theme="4" tint="0.79998168889431442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rgb="FFC00000"/>
      </font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2"/>
  <sheetViews>
    <sheetView showGridLines="0" tabSelected="1" zoomScaleNormal="100" workbookViewId="0">
      <selection activeCell="C6" sqref="C6"/>
    </sheetView>
  </sheetViews>
  <sheetFormatPr defaultColWidth="9.109375" defaultRowHeight="14.4" x14ac:dyDescent="0.3"/>
  <cols>
    <col min="2" max="2" width="64.6640625" customWidth="1"/>
    <col min="3" max="3" width="9" customWidth="1"/>
    <col min="4" max="4" width="3.33203125" customWidth="1"/>
    <col min="5" max="5" width="8.6640625" customWidth="1"/>
    <col min="6" max="6" width="8.33203125" customWidth="1"/>
    <col min="7" max="7" width="1.5546875" customWidth="1"/>
    <col min="8" max="8" width="9.44140625" customWidth="1"/>
    <col min="9" max="9" width="9" customWidth="1"/>
    <col min="10" max="10" width="2.33203125" customWidth="1"/>
    <col min="11" max="11" width="8.77734375" customWidth="1"/>
  </cols>
  <sheetData>
    <row r="1" spans="1:11" ht="18" x14ac:dyDescent="0.35">
      <c r="B1" s="1" t="s">
        <v>68</v>
      </c>
    </row>
    <row r="2" spans="1:11" x14ac:dyDescent="0.3">
      <c r="B2" s="62" t="s">
        <v>69</v>
      </c>
      <c r="C2" s="62"/>
      <c r="D2" s="62"/>
      <c r="E2" s="62"/>
      <c r="F2" s="62"/>
      <c r="G2" s="62"/>
      <c r="H2" s="62"/>
      <c r="I2" s="62"/>
      <c r="J2" s="62"/>
      <c r="K2" s="62"/>
    </row>
    <row r="3" spans="1:11" x14ac:dyDescent="0.3">
      <c r="B3" t="s">
        <v>49</v>
      </c>
    </row>
    <row r="4" spans="1:11" ht="15" thickBot="1" x14ac:dyDescent="0.35"/>
    <row r="5" spans="1:11" ht="15" customHeight="1" x14ac:dyDescent="0.3">
      <c r="A5" s="75" t="s">
        <v>0</v>
      </c>
      <c r="B5" s="79" t="s">
        <v>26</v>
      </c>
      <c r="C5" s="80"/>
    </row>
    <row r="6" spans="1:11" ht="15" customHeight="1" x14ac:dyDescent="0.3">
      <c r="A6" s="75"/>
      <c r="B6" s="50" t="s">
        <v>46</v>
      </c>
      <c r="C6" s="51">
        <v>0</v>
      </c>
      <c r="D6" s="18" t="s">
        <v>1</v>
      </c>
    </row>
    <row r="7" spans="1:11" ht="15.75" customHeight="1" thickBot="1" x14ac:dyDescent="0.35">
      <c r="A7" s="76"/>
      <c r="B7" s="52" t="s">
        <v>2</v>
      </c>
      <c r="C7" s="53">
        <v>0</v>
      </c>
      <c r="D7" s="18" t="s">
        <v>3</v>
      </c>
    </row>
    <row r="8" spans="1:11" ht="16.5" customHeight="1" thickBot="1" x14ac:dyDescent="0.35">
      <c r="A8" s="19"/>
      <c r="C8" s="7"/>
      <c r="D8" s="18"/>
    </row>
    <row r="9" spans="1:11" ht="16.5" customHeight="1" thickBot="1" x14ac:dyDescent="0.35">
      <c r="A9" s="19"/>
      <c r="B9" s="20" t="s">
        <v>25</v>
      </c>
      <c r="C9" s="15">
        <v>0.25</v>
      </c>
      <c r="E9" s="21" t="s">
        <v>50</v>
      </c>
    </row>
    <row r="10" spans="1:11" ht="16.5" customHeight="1" thickBot="1" x14ac:dyDescent="0.35">
      <c r="A10" s="19"/>
      <c r="C10" s="7"/>
      <c r="D10" s="18"/>
    </row>
    <row r="11" spans="1:11" x14ac:dyDescent="0.3">
      <c r="B11" s="77" t="s">
        <v>4</v>
      </c>
      <c r="C11" s="69" t="s">
        <v>5</v>
      </c>
      <c r="D11" s="69"/>
      <c r="E11" s="69"/>
      <c r="F11" s="69" t="s">
        <v>6</v>
      </c>
      <c r="G11" s="69"/>
      <c r="H11" s="69"/>
      <c r="I11" s="69" t="s">
        <v>7</v>
      </c>
      <c r="J11" s="69"/>
      <c r="K11" s="70"/>
    </row>
    <row r="12" spans="1:11" x14ac:dyDescent="0.3">
      <c r="B12" s="78"/>
      <c r="C12" s="71" t="s">
        <v>8</v>
      </c>
      <c r="D12" s="71"/>
      <c r="E12" s="71"/>
      <c r="F12" s="71" t="s">
        <v>9</v>
      </c>
      <c r="G12" s="71"/>
      <c r="H12" s="71"/>
      <c r="I12" s="71" t="s">
        <v>9</v>
      </c>
      <c r="J12" s="71"/>
      <c r="K12" s="72"/>
    </row>
    <row r="13" spans="1:11" x14ac:dyDescent="0.3">
      <c r="B13" s="22" t="s">
        <v>10</v>
      </c>
      <c r="C13" s="73" t="str">
        <f>IF(Current_Users&gt;STANDARD_USERS,C_NO,C_YES)</f>
        <v>Yes</v>
      </c>
      <c r="D13" s="73"/>
      <c r="E13" s="73"/>
      <c r="F13" s="73" t="str">
        <f>IF(Current_Users&gt;HI_USERS,C_NO,C_YES)</f>
        <v>Yes</v>
      </c>
      <c r="G13" s="73"/>
      <c r="H13" s="73"/>
      <c r="I13" s="73" t="str">
        <f>I14</f>
        <v>No</v>
      </c>
      <c r="J13" s="73"/>
      <c r="K13" s="74"/>
    </row>
    <row r="14" spans="1:11" x14ac:dyDescent="0.3">
      <c r="B14" s="22" t="s">
        <v>11</v>
      </c>
      <c r="C14" s="73" t="str">
        <f>IF(Future_Users&gt;STANDARD_USERS,C_NO,C_YES)</f>
        <v>Yes</v>
      </c>
      <c r="D14" s="73"/>
      <c r="E14" s="73"/>
      <c r="F14" s="73" t="str">
        <f>IF(Future_Users&gt;HI_USERS,C_NO,C_YES)</f>
        <v>Yes</v>
      </c>
      <c r="G14" s="73"/>
      <c r="H14" s="73"/>
      <c r="I14" s="73" t="str">
        <f>IF(Future_Users&gt;STANDARD_USERS,C_YES,C_NO)</f>
        <v>No</v>
      </c>
      <c r="J14" s="73"/>
      <c r="K14" s="74"/>
    </row>
    <row r="15" spans="1:11" x14ac:dyDescent="0.3">
      <c r="B15" s="22" t="s">
        <v>12</v>
      </c>
      <c r="C15" s="73" t="str">
        <f>IF((COUNTIF(C13:C14,C_YES)&gt;1),C_YES,C_NO)</f>
        <v>Yes</v>
      </c>
      <c r="D15" s="73"/>
      <c r="E15" s="73"/>
      <c r="F15" s="73" t="str">
        <f>IF((COUNTIF(F13:F14,C_YES)&gt;1),C_YES,C_NO)</f>
        <v>Yes</v>
      </c>
      <c r="G15" s="73"/>
      <c r="H15" s="73"/>
      <c r="I15" s="73" t="str">
        <f>IF((COUNTIF(I13:I14,C_YES)&gt;0),C_YES,C_NO)</f>
        <v>No</v>
      </c>
      <c r="J15" s="73"/>
      <c r="K15" s="74"/>
    </row>
    <row r="16" spans="1:11" x14ac:dyDescent="0.3">
      <c r="B16" s="23" t="s">
        <v>39</v>
      </c>
      <c r="C16" s="24" t="str">
        <f>IF(C13=C_YES,(IF(Current_Users&gt;LO_USERS,"Standard","Low-End")),"")</f>
        <v>Low-End</v>
      </c>
      <c r="D16" s="25" t="str">
        <f>IF(E16="","","-")</f>
        <v>-</v>
      </c>
      <c r="E16" s="26" t="str">
        <f>IF(C14=C_YES,(IF(Future_Users&gt;LO_USERS,"Standard","Low-End")),"")</f>
        <v>Low-End</v>
      </c>
      <c r="F16" s="63" t="str">
        <f>IF((COUNTIF(F13:F14,C_YES)&gt;0),"High-End","")</f>
        <v>High-End</v>
      </c>
      <c r="G16" s="63"/>
      <c r="H16" s="63"/>
      <c r="I16" s="63" t="str">
        <f>IF((COUNTIF(I13:I14,C_YES)&gt;0),"Scale Unit","")</f>
        <v/>
      </c>
      <c r="J16" s="63"/>
      <c r="K16" s="64"/>
    </row>
    <row r="17" spans="2:11" x14ac:dyDescent="0.3">
      <c r="B17" s="27" t="s">
        <v>37</v>
      </c>
      <c r="C17" s="65">
        <f>IF(C13=C_YES,(IF(Current_Users&gt;LO_USERS,STANDARD_TPC,LO_TPC)),"")</f>
        <v>5</v>
      </c>
      <c r="D17" s="65"/>
      <c r="E17" s="65"/>
      <c r="F17" s="65">
        <f>IF(F13=C_YES,HIGH_TPC,"")</f>
        <v>75</v>
      </c>
      <c r="G17" s="65"/>
      <c r="H17" s="65"/>
      <c r="I17" s="65" t="str">
        <f>IF(I13=C_YES,SCALE_TPC,"")</f>
        <v/>
      </c>
      <c r="J17" s="65"/>
      <c r="K17" s="66"/>
    </row>
    <row r="18" spans="2:11" x14ac:dyDescent="0.3">
      <c r="B18" s="28" t="s">
        <v>38</v>
      </c>
      <c r="C18" s="67">
        <f>IF(C13=C_YES,(IF(Future_Users&gt;LO_USERS,STANDARD_TPC,LO_TPC)),"")</f>
        <v>5</v>
      </c>
      <c r="D18" s="67"/>
      <c r="E18" s="67"/>
      <c r="F18" s="65">
        <f>IF(F14=C_YES,HIGH_TPC,"")</f>
        <v>75</v>
      </c>
      <c r="G18" s="65"/>
      <c r="H18" s="65"/>
      <c r="I18" s="67" t="str">
        <f>IF(I14=C_YES,SCALE_TPC,"")</f>
        <v/>
      </c>
      <c r="J18" s="67"/>
      <c r="K18" s="68"/>
    </row>
    <row r="19" spans="2:11" ht="15" thickBot="1" x14ac:dyDescent="0.35">
      <c r="B19" s="57" t="s">
        <v>35</v>
      </c>
      <c r="C19" s="61">
        <f>IF((COUNTIF(C13:C14,C_YES)&gt;0),1,"")</f>
        <v>1</v>
      </c>
      <c r="D19" s="61"/>
      <c r="E19" s="61"/>
      <c r="F19" s="61">
        <f>IF((COUNTIF(F13:F14,C_YES)&gt;0),1,"")</f>
        <v>1</v>
      </c>
      <c r="G19" s="61"/>
      <c r="H19" s="61"/>
      <c r="I19" s="58" t="str">
        <f>IF(I13=C_YES,ROUNDUP((Current_Users*SCALE_FACTOR)/SCALE_RPS,0),"")</f>
        <v/>
      </c>
      <c r="J19" s="59" t="str">
        <f>IF(K19&lt;&gt;"","-","")</f>
        <v/>
      </c>
      <c r="K19" s="60" t="str">
        <f>IF(I14=C_YES,ROUNDUP((Future_Users*HI_FACTOR)/SCALE_RPS,0),"")</f>
        <v/>
      </c>
    </row>
    <row r="22" spans="2:11" ht="91.8" x14ac:dyDescent="1.65">
      <c r="B22" s="49"/>
    </row>
  </sheetData>
  <mergeCells count="29">
    <mergeCell ref="A5:A7"/>
    <mergeCell ref="B11:B12"/>
    <mergeCell ref="B5:C5"/>
    <mergeCell ref="C11:E11"/>
    <mergeCell ref="C12:E12"/>
    <mergeCell ref="C18:E18"/>
    <mergeCell ref="F11:H11"/>
    <mergeCell ref="F12:H12"/>
    <mergeCell ref="F13:H13"/>
    <mergeCell ref="F14:H14"/>
    <mergeCell ref="F15:H15"/>
    <mergeCell ref="F16:H16"/>
    <mergeCell ref="C13:E13"/>
    <mergeCell ref="F19:H19"/>
    <mergeCell ref="C19:E19"/>
    <mergeCell ref="B2:K2"/>
    <mergeCell ref="I16:K16"/>
    <mergeCell ref="F17:H17"/>
    <mergeCell ref="F18:H18"/>
    <mergeCell ref="I17:K17"/>
    <mergeCell ref="I18:K18"/>
    <mergeCell ref="I11:K11"/>
    <mergeCell ref="I12:K12"/>
    <mergeCell ref="I13:K13"/>
    <mergeCell ref="I14:K14"/>
    <mergeCell ref="I15:K15"/>
    <mergeCell ref="C14:E14"/>
    <mergeCell ref="C15:E15"/>
    <mergeCell ref="C17:E17"/>
  </mergeCells>
  <conditionalFormatting sqref="D6">
    <cfRule type="expression" dxfId="19" priority="13">
      <formula>$C$6&gt;=$C$7</formula>
    </cfRule>
  </conditionalFormatting>
  <conditionalFormatting sqref="D7:D8 D10">
    <cfRule type="expression" dxfId="18" priority="12">
      <formula>$C$7&lt;=$C$6</formula>
    </cfRule>
  </conditionalFormatting>
  <conditionalFormatting sqref="C13:C15 F13:F16 I13:I16">
    <cfRule type="cellIs" dxfId="17" priority="2" operator="equal">
      <formula>"No"</formula>
    </cfRule>
    <cfRule type="cellIs" dxfId="16" priority="3" operator="equal">
      <formula>"Yes"</formula>
    </cfRule>
  </conditionalFormatting>
  <conditionalFormatting sqref="E9">
    <cfRule type="expression" dxfId="15" priority="1">
      <formula>$C$9&gt;0</formula>
    </cfRule>
  </conditionalFormatting>
  <pageMargins left="0.7" right="0.7" top="0.75" bottom="0.75" header="0.3" footer="0.3"/>
  <pageSetup scale="60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4" operator="equal" id="{F75BAADF-8223-46E4-87B6-F7E6751E90F5}">
            <xm:f>Constants!#REF!</xm:f>
            <x14:dxf>
              <fill>
                <patternFill>
                  <bgColor theme="5" tint="0.39994506668294322"/>
                </patternFill>
              </fill>
            </x14:dxf>
          </x14:cfRule>
          <x14:cfRule type="cellIs" priority="5" operator="equal" id="{845F576B-1C92-40E3-9704-C9B159C119F7}">
            <xm:f>Constants!#REF!</xm:f>
            <x14:dxf>
              <fill>
                <patternFill>
                  <bgColor theme="6" tint="0.39994506668294322"/>
                </patternFill>
              </fill>
            </x14:dxf>
          </x14:cfRule>
          <xm:sqref>C13:C15 F13:F16 I13:I16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2"/>
  <sheetViews>
    <sheetView workbookViewId="0">
      <selection activeCell="D5" sqref="D5"/>
    </sheetView>
  </sheetViews>
  <sheetFormatPr defaultRowHeight="14.4" x14ac:dyDescent="0.3"/>
  <cols>
    <col min="1" max="1" width="27.21875" customWidth="1"/>
    <col min="2" max="2" width="8.88671875" style="14" customWidth="1"/>
    <col min="3" max="3" width="11" style="14" customWidth="1"/>
    <col min="4" max="4" width="10.5546875" customWidth="1"/>
    <col min="5" max="5" width="9.109375" style="14"/>
  </cols>
  <sheetData>
    <row r="1" spans="1:11" x14ac:dyDescent="0.3">
      <c r="B1" s="8" t="s">
        <v>31</v>
      </c>
      <c r="C1" s="8" t="s">
        <v>32</v>
      </c>
      <c r="D1" s="7" t="s">
        <v>34</v>
      </c>
      <c r="E1" s="8" t="s">
        <v>36</v>
      </c>
      <c r="F1" s="8" t="s">
        <v>44</v>
      </c>
      <c r="G1" s="8" t="s">
        <v>41</v>
      </c>
      <c r="H1" s="8" t="s">
        <v>42</v>
      </c>
      <c r="I1" s="8" t="s">
        <v>43</v>
      </c>
      <c r="J1" s="8" t="s">
        <v>40</v>
      </c>
      <c r="K1" s="8" t="s">
        <v>45</v>
      </c>
    </row>
    <row r="2" spans="1:11" x14ac:dyDescent="0.3">
      <c r="A2" s="7" t="s">
        <v>27</v>
      </c>
      <c r="B2" s="14">
        <v>92</v>
      </c>
      <c r="C2" s="14">
        <v>250</v>
      </c>
      <c r="D2">
        <v>0.17499999999999999</v>
      </c>
      <c r="E2" s="14">
        <v>5</v>
      </c>
      <c r="F2" s="14">
        <v>2</v>
      </c>
      <c r="G2" s="14">
        <v>4</v>
      </c>
      <c r="H2" s="14">
        <v>125</v>
      </c>
    </row>
    <row r="3" spans="1:11" x14ac:dyDescent="0.3">
      <c r="A3" s="7" t="s">
        <v>28</v>
      </c>
      <c r="B3" s="14">
        <v>180</v>
      </c>
      <c r="C3" s="14">
        <v>500</v>
      </c>
      <c r="D3">
        <v>0.17499999999999999</v>
      </c>
      <c r="E3" s="14">
        <v>10</v>
      </c>
      <c r="F3" s="14">
        <v>2</v>
      </c>
      <c r="G3" s="14">
        <v>8</v>
      </c>
      <c r="H3" s="14">
        <v>300</v>
      </c>
    </row>
    <row r="4" spans="1:11" x14ac:dyDescent="0.3">
      <c r="A4" s="7" t="s">
        <v>52</v>
      </c>
      <c r="B4" s="14">
        <v>476</v>
      </c>
      <c r="C4" s="14">
        <v>2000</v>
      </c>
      <c r="D4">
        <v>0.21249999999999999</v>
      </c>
      <c r="E4" s="14">
        <f>SCALE_TPC</f>
        <v>75</v>
      </c>
      <c r="F4" s="14">
        <v>2</v>
      </c>
      <c r="G4" s="14">
        <v>8</v>
      </c>
      <c r="H4" s="14">
        <v>500</v>
      </c>
      <c r="I4" s="14">
        <v>4</v>
      </c>
      <c r="J4" s="14">
        <v>8</v>
      </c>
      <c r="K4" s="14">
        <v>2000</v>
      </c>
    </row>
    <row r="5" spans="1:11" x14ac:dyDescent="0.3">
      <c r="A5" s="7" t="s">
        <v>29</v>
      </c>
      <c r="B5" s="14">
        <v>730</v>
      </c>
      <c r="C5" s="14">
        <v>3600</v>
      </c>
      <c r="D5">
        <v>0.22500000000000001</v>
      </c>
      <c r="E5" s="14">
        <v>75</v>
      </c>
      <c r="F5" s="14">
        <v>4</v>
      </c>
      <c r="G5" s="14">
        <v>16</v>
      </c>
      <c r="H5" s="14">
        <v>500</v>
      </c>
      <c r="I5" s="14">
        <v>8</v>
      </c>
      <c r="J5" s="14">
        <v>16</v>
      </c>
      <c r="K5" s="14">
        <v>3000</v>
      </c>
    </row>
    <row r="6" spans="1:11" x14ac:dyDescent="0.3">
      <c r="A6" s="7" t="s">
        <v>30</v>
      </c>
      <c r="B6" s="14">
        <v>476</v>
      </c>
      <c r="C6" s="14">
        <v>2200</v>
      </c>
      <c r="D6">
        <v>0.26250000000000001</v>
      </c>
      <c r="E6" s="14">
        <v>75</v>
      </c>
      <c r="F6" s="14">
        <v>2</v>
      </c>
      <c r="G6" s="14">
        <v>8</v>
      </c>
      <c r="H6" s="14">
        <v>500</v>
      </c>
      <c r="I6" s="14">
        <v>8</v>
      </c>
      <c r="J6" s="14">
        <v>16</v>
      </c>
      <c r="K6" s="14">
        <v>3000</v>
      </c>
    </row>
    <row r="8" spans="1:11" x14ac:dyDescent="0.3">
      <c r="A8" s="55" t="s">
        <v>53</v>
      </c>
      <c r="B8" s="8" t="s">
        <v>32</v>
      </c>
      <c r="C8" s="8" t="s">
        <v>56</v>
      </c>
      <c r="D8" s="7" t="s">
        <v>20</v>
      </c>
      <c r="E8" s="8" t="s">
        <v>74</v>
      </c>
    </row>
    <row r="9" spans="1:11" x14ac:dyDescent="0.3">
      <c r="A9" s="7" t="s">
        <v>73</v>
      </c>
      <c r="B9" s="54">
        <v>250</v>
      </c>
      <c r="C9" s="54">
        <v>4</v>
      </c>
      <c r="D9">
        <v>2</v>
      </c>
      <c r="E9" t="s">
        <v>75</v>
      </c>
    </row>
    <row r="10" spans="1:11" x14ac:dyDescent="0.3">
      <c r="A10" s="7" t="s">
        <v>55</v>
      </c>
      <c r="B10" s="14">
        <v>500</v>
      </c>
      <c r="C10" s="14">
        <v>2</v>
      </c>
      <c r="D10">
        <v>8</v>
      </c>
      <c r="E10" t="s">
        <v>76</v>
      </c>
    </row>
    <row r="11" spans="1:11" x14ac:dyDescent="0.3">
      <c r="A11" s="7" t="s">
        <v>57</v>
      </c>
      <c r="B11" s="14">
        <v>1000</v>
      </c>
      <c r="C11" s="14">
        <v>4</v>
      </c>
      <c r="D11">
        <v>16</v>
      </c>
      <c r="E11" t="s">
        <v>76</v>
      </c>
    </row>
    <row r="13" spans="1:11" x14ac:dyDescent="0.3">
      <c r="A13" s="55" t="s">
        <v>60</v>
      </c>
      <c r="B13" s="8" t="s">
        <v>32</v>
      </c>
      <c r="C13" s="8" t="s">
        <v>56</v>
      </c>
      <c r="D13" s="7" t="s">
        <v>20</v>
      </c>
    </row>
    <row r="14" spans="1:11" x14ac:dyDescent="0.3">
      <c r="A14" s="7" t="s">
        <v>63</v>
      </c>
      <c r="B14" s="14">
        <v>450</v>
      </c>
      <c r="C14" s="14">
        <v>1</v>
      </c>
      <c r="D14">
        <v>2</v>
      </c>
    </row>
    <row r="15" spans="1:11" x14ac:dyDescent="0.3">
      <c r="A15" s="7" t="s">
        <v>64</v>
      </c>
      <c r="B15" s="14">
        <v>2200</v>
      </c>
      <c r="C15" s="14">
        <v>2</v>
      </c>
      <c r="D15">
        <v>2</v>
      </c>
    </row>
    <row r="16" spans="1:11" x14ac:dyDescent="0.3">
      <c r="A16" s="7" t="s">
        <v>65</v>
      </c>
      <c r="B16" s="14">
        <v>3600</v>
      </c>
      <c r="C16" s="14">
        <v>4</v>
      </c>
      <c r="D16">
        <v>2</v>
      </c>
    </row>
    <row r="17" spans="1:4" x14ac:dyDescent="0.3">
      <c r="A17" s="7"/>
    </row>
    <row r="18" spans="1:4" x14ac:dyDescent="0.3">
      <c r="A18" s="7" t="s">
        <v>67</v>
      </c>
      <c r="B18" s="29">
        <v>4</v>
      </c>
      <c r="D18" t="s">
        <v>72</v>
      </c>
    </row>
    <row r="19" spans="1:4" x14ac:dyDescent="0.3">
      <c r="A19" s="7" t="s">
        <v>62</v>
      </c>
      <c r="B19" s="56">
        <v>1.5</v>
      </c>
      <c r="D19" t="s">
        <v>71</v>
      </c>
    </row>
    <row r="20" spans="1:4" x14ac:dyDescent="0.3">
      <c r="A20" s="7" t="s">
        <v>80</v>
      </c>
      <c r="B20" s="29">
        <v>0.2</v>
      </c>
      <c r="D20" t="s">
        <v>81</v>
      </c>
    </row>
    <row r="21" spans="1:4" x14ac:dyDescent="0.3">
      <c r="A21" s="7" t="s">
        <v>33</v>
      </c>
      <c r="B21" s="14" t="s">
        <v>21</v>
      </c>
    </row>
    <row r="22" spans="1:4" x14ac:dyDescent="0.3">
      <c r="B22" s="14" t="s">
        <v>22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M33"/>
  <sheetViews>
    <sheetView zoomScaleNormal="100" workbookViewId="0">
      <selection activeCell="K18" sqref="K18"/>
    </sheetView>
  </sheetViews>
  <sheetFormatPr defaultRowHeight="14.4" x14ac:dyDescent="0.3"/>
  <cols>
    <col min="2" max="2" width="20.33203125" customWidth="1"/>
    <col min="3" max="3" width="67.6640625" customWidth="1"/>
    <col min="4" max="4" width="14.88671875" customWidth="1"/>
    <col min="5" max="5" width="17.44140625" customWidth="1"/>
  </cols>
  <sheetData>
    <row r="1" spans="2:13" ht="18" x14ac:dyDescent="0.35">
      <c r="B1" s="1" t="s">
        <v>68</v>
      </c>
    </row>
    <row r="2" spans="2:13" x14ac:dyDescent="0.3">
      <c r="B2" s="73" t="str">
        <f>'Server Scenarios'!B2:K2</f>
        <v>Version 2019.04.21</v>
      </c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</row>
    <row r="3" spans="2:13" x14ac:dyDescent="0.3">
      <c r="B3" t="s">
        <v>51</v>
      </c>
    </row>
    <row r="4" spans="2:13" x14ac:dyDescent="0.3">
      <c r="B4" t="s">
        <v>85</v>
      </c>
    </row>
    <row r="5" spans="2:13" ht="15" thickBot="1" x14ac:dyDescent="0.35"/>
    <row r="6" spans="2:13" x14ac:dyDescent="0.3">
      <c r="B6" s="81" t="s">
        <v>47</v>
      </c>
      <c r="C6" s="2" t="s">
        <v>23</v>
      </c>
      <c r="D6" s="94" t="s">
        <v>5</v>
      </c>
      <c r="E6" s="95"/>
      <c r="F6" s="94" t="s">
        <v>6</v>
      </c>
      <c r="G6" s="96"/>
      <c r="H6" s="96"/>
      <c r="I6" s="96"/>
      <c r="J6" s="94" t="s">
        <v>7</v>
      </c>
      <c r="K6" s="96"/>
      <c r="L6" s="96"/>
      <c r="M6" s="95"/>
    </row>
    <row r="7" spans="2:13" x14ac:dyDescent="0.3">
      <c r="B7" s="82"/>
      <c r="C7" s="3"/>
      <c r="D7" s="13" t="s">
        <v>13</v>
      </c>
      <c r="E7" s="6" t="s">
        <v>14</v>
      </c>
      <c r="F7" s="97" t="s">
        <v>13</v>
      </c>
      <c r="G7" s="98"/>
      <c r="H7" s="99" t="s">
        <v>14</v>
      </c>
      <c r="I7" s="98"/>
      <c r="J7" s="97" t="s">
        <v>13</v>
      </c>
      <c r="K7" s="98"/>
      <c r="L7" s="99" t="s">
        <v>14</v>
      </c>
      <c r="M7" s="100"/>
    </row>
    <row r="8" spans="2:13" x14ac:dyDescent="0.3">
      <c r="B8" s="82"/>
      <c r="C8" s="3"/>
      <c r="D8" s="13" t="s">
        <v>8</v>
      </c>
      <c r="E8" s="6" t="s">
        <v>8</v>
      </c>
      <c r="F8" s="13" t="s">
        <v>15</v>
      </c>
      <c r="G8" s="10" t="s">
        <v>16</v>
      </c>
      <c r="H8" s="11" t="s">
        <v>15</v>
      </c>
      <c r="I8" s="10" t="s">
        <v>16</v>
      </c>
      <c r="J8" s="13" t="s">
        <v>15</v>
      </c>
      <c r="K8" s="10" t="s">
        <v>16</v>
      </c>
      <c r="L8" s="11" t="s">
        <v>15</v>
      </c>
      <c r="M8" s="12" t="s">
        <v>16</v>
      </c>
    </row>
    <row r="9" spans="2:13" x14ac:dyDescent="0.3">
      <c r="B9" s="82"/>
      <c r="C9" s="4" t="s">
        <v>17</v>
      </c>
      <c r="D9" s="33">
        <f>IF(SINGLE_CURRENT_OK=C_YES,(IF(Current_Users&gt;LO_USERS,STANDARD_CORE_AT,LO_CORE_AT)),0)</f>
        <v>2</v>
      </c>
      <c r="E9" s="35">
        <f>IFD9+D9*VM_OVERHEAD</f>
        <v>0.4</v>
      </c>
      <c r="F9" s="33">
        <f>IF(DUAL_CURRENT_OK=C_YES,(IF(Current_Users&gt;MEDIUM_USERS,HI_CORE_AT,MEDIUM_CORE_AT)),0)</f>
        <v>2</v>
      </c>
      <c r="G9" s="36">
        <f>IF(DUAL_CURRENT_OK=C_YES,(IF(Current_Users&gt;MEDIUM_USERS,HI_CORE_DT,MEDIUM_CORE_DT)),0)</f>
        <v>4</v>
      </c>
      <c r="H9" s="37">
        <f>F9+F9*VM_OVERHEAD</f>
        <v>2.4</v>
      </c>
      <c r="I9" s="16">
        <f>IF(G9&lt;&gt;"",ROUNDUP(G9+G9*VM_OVERHEAD,0),0)</f>
        <v>5</v>
      </c>
      <c r="J9" s="33">
        <f>IF(SCALE_CURRENT_OK=C_YES,SCALE_CORE_AT,0)</f>
        <v>0</v>
      </c>
      <c r="K9" s="36">
        <f>IF(SCALE_CURRENT_OK=C_YES,(IF(Current_Users&gt;SCALE_USERS,SCALE_CORE_DT,SCALE_CORE_DT)),0)</f>
        <v>0</v>
      </c>
      <c r="L9" s="37">
        <f>J9+J9*VM_OVERHEAD</f>
        <v>0</v>
      </c>
      <c r="M9" s="38">
        <f>IF(K9&lt;&gt;"",ROUNDUP(K9+K9*VM_OVERHEAD,0),0)</f>
        <v>0</v>
      </c>
    </row>
    <row r="10" spans="2:13" x14ac:dyDescent="0.3">
      <c r="B10" s="82"/>
      <c r="C10" s="4" t="s">
        <v>18</v>
      </c>
      <c r="D10" s="33">
        <f>IF(SINGLE_CURRENT_OK=C_YES,(IF(Current_Users&gt;LO_USERS,STANDARD_RAM_AT,LO_RAM_AT)),0)</f>
        <v>4</v>
      </c>
      <c r="E10" s="35">
        <f>D10+D10*VM_OVERHEAD</f>
        <v>4.8</v>
      </c>
      <c r="F10" s="33">
        <f>IF(DUAL_CURRENT_OK=C_YES,(IF(Current_Users&gt;MEDIUM_USERS,HI_RAM_AT,MEDIUM_RAM_AT)),0)</f>
        <v>8</v>
      </c>
      <c r="G10" s="36">
        <f>IF(DUAL_CURRENT_OK=C_YES,(IF(Current_Users&gt;MEDIUM_USERS,HI_RAM_DT,MEDIUM_RAM_DT)),0)</f>
        <v>8</v>
      </c>
      <c r="H10" s="37">
        <f>F10+F10*VM_OVERHEAD</f>
        <v>9.6</v>
      </c>
      <c r="I10" s="16">
        <f>IF(G10&lt;&gt;"",ROUNDUP(G10+G10*VM_OVERHEAD,0),0)</f>
        <v>10</v>
      </c>
      <c r="J10" s="33">
        <f>IF(SCALE_CURRENT_OK=C_YES,SCALE_RAM_AT,0)</f>
        <v>0</v>
      </c>
      <c r="K10" s="36">
        <f>IF(SCALE_CURRENT_OK=C_YES,(IF(Current_Users&gt;SCALE_USERS,SCALE_RAM_DT,SCALE_RAM_DT)),0)</f>
        <v>0</v>
      </c>
      <c r="L10" s="37">
        <f>J10+J10*VM_OVERHEAD</f>
        <v>0</v>
      </c>
      <c r="M10" s="38">
        <f>IF(K10&lt;&gt;"",ROUNDUP(K10+K10*VM_OVERHEAD,0),0)</f>
        <v>0</v>
      </c>
    </row>
    <row r="11" spans="2:13" ht="15" thickBot="1" x14ac:dyDescent="0.35">
      <c r="B11" s="82"/>
      <c r="C11" s="5" t="s">
        <v>19</v>
      </c>
      <c r="D11" s="34">
        <f>IF(SINGLE_CURRENT_OK=C_YES,(IF(Current_Users&gt;LO_USERS,STANDARD_DISK_AT,LO_DISK_AT)),0)</f>
        <v>125</v>
      </c>
      <c r="E11" s="47">
        <f>D11</f>
        <v>125</v>
      </c>
      <c r="F11" s="34">
        <f>IF(DUAL_CURRENT_OK=C_YES,(IF(Current_Users&gt;MEDIUM_USERS,HI_DISK_AT,MEDIUM_DISK_AT)),0)</f>
        <v>500</v>
      </c>
      <c r="G11" s="39">
        <f>IF(DUAL_CURRENT_OK=C_YES,(IF(Current_Users&gt;MEDIUM_USERS,HI_DISK_DT,MEDIUM_DISK_DT)),0)</f>
        <v>2000</v>
      </c>
      <c r="H11" s="48">
        <f>F11</f>
        <v>500</v>
      </c>
      <c r="I11" s="17">
        <f>IF(G11&lt;&gt;"",G11,0)</f>
        <v>2000</v>
      </c>
      <c r="J11" s="34">
        <f>IF(SCALE_CURRENT_OK=C_YES,SCALE_DISK_AT,0)</f>
        <v>0</v>
      </c>
      <c r="K11" s="39">
        <f>IF(SCALE_CURRENT_OK=C_YES,(IF(Current_Users&gt;SCALE_USERS,SCALE_DISK_DT,SCALE_DISK_DT)),0)</f>
        <v>0</v>
      </c>
      <c r="L11" s="48">
        <f>J11</f>
        <v>0</v>
      </c>
      <c r="M11" s="40">
        <f>IF(K11&lt;&gt;"",K11,0)</f>
        <v>0</v>
      </c>
    </row>
    <row r="12" spans="2:13" ht="15" thickBot="1" x14ac:dyDescent="0.35">
      <c r="B12" s="82"/>
    </row>
    <row r="13" spans="2:13" x14ac:dyDescent="0.3">
      <c r="B13" s="82"/>
      <c r="C13" s="30" t="s">
        <v>24</v>
      </c>
      <c r="D13" s="87" t="s">
        <v>5</v>
      </c>
      <c r="E13" s="88"/>
      <c r="F13" s="87" t="s">
        <v>6</v>
      </c>
      <c r="G13" s="89"/>
      <c r="H13" s="89"/>
      <c r="I13" s="89"/>
      <c r="J13" s="87" t="s">
        <v>7</v>
      </c>
      <c r="K13" s="89"/>
      <c r="L13" s="89"/>
      <c r="M13" s="88"/>
    </row>
    <row r="14" spans="2:13" x14ac:dyDescent="0.3">
      <c r="B14" s="82"/>
      <c r="C14" s="9"/>
      <c r="D14" s="41" t="s">
        <v>13</v>
      </c>
      <c r="E14" s="42" t="s">
        <v>14</v>
      </c>
      <c r="F14" s="90" t="s">
        <v>13</v>
      </c>
      <c r="G14" s="91"/>
      <c r="H14" s="92" t="s">
        <v>14</v>
      </c>
      <c r="I14" s="91"/>
      <c r="J14" s="90" t="s">
        <v>13</v>
      </c>
      <c r="K14" s="91"/>
      <c r="L14" s="92" t="s">
        <v>14</v>
      </c>
      <c r="M14" s="93"/>
    </row>
    <row r="15" spans="2:13" x14ac:dyDescent="0.3">
      <c r="B15" s="82"/>
      <c r="C15" s="9"/>
      <c r="D15" s="41" t="s">
        <v>8</v>
      </c>
      <c r="E15" s="42" t="s">
        <v>8</v>
      </c>
      <c r="F15" s="41" t="s">
        <v>15</v>
      </c>
      <c r="G15" s="43" t="s">
        <v>16</v>
      </c>
      <c r="H15" s="44" t="s">
        <v>15</v>
      </c>
      <c r="I15" s="43" t="s">
        <v>16</v>
      </c>
      <c r="J15" s="41" t="s">
        <v>15</v>
      </c>
      <c r="K15" s="43" t="s">
        <v>16</v>
      </c>
      <c r="L15" s="44" t="s">
        <v>15</v>
      </c>
      <c r="M15" s="45" t="s">
        <v>16</v>
      </c>
    </row>
    <row r="16" spans="2:13" x14ac:dyDescent="0.3">
      <c r="B16" s="82"/>
      <c r="C16" s="31" t="s">
        <v>17</v>
      </c>
      <c r="D16" s="33">
        <f>IF(SINGLE_FUTURE_OK=C_YES,(IF(Future_Users&gt;LO_USERS,STANDARD_CORE_AT,LO_CORE_AT)),0)</f>
        <v>2</v>
      </c>
      <c r="E16" s="35">
        <f>D16+D16*VM_OVERHEAD</f>
        <v>2.4</v>
      </c>
      <c r="F16" s="33">
        <f>IF(DUAL_FUTURE_OK=C_YES,(IF(Future_Users&gt;MEDIUM_USERS,HI_CORE_AT,MEDIUM_CORE_AT)),0)</f>
        <v>2</v>
      </c>
      <c r="G16" s="36">
        <f>IF(DUAL_FUTURE_OK=C_YES,(IF(Future_Users&gt;MEDIUM_USERS,HI_CORE_DT,MEDIUM_CORE_DT)),0)</f>
        <v>4</v>
      </c>
      <c r="H16" s="37">
        <f>F16+F16*VM_OVERHEAD</f>
        <v>2.4</v>
      </c>
      <c r="I16" s="16">
        <f>IF(G16&lt;&gt;"",ROUNDUP(G16+G16*VM_OVERHEAD,0),0)</f>
        <v>5</v>
      </c>
      <c r="J16" s="33">
        <f>IF(SCALE_FUTURE_OK=C_YES,SCALE_CORE_AT,0)</f>
        <v>0</v>
      </c>
      <c r="K16" s="36">
        <f>IF(SCALE_FUTURE_OK=C_YES,(IF(Future_Users&gt;SCALE_USERS,SCALE_CORE_DT,SCALE_CORE_DT)),0)</f>
        <v>0</v>
      </c>
      <c r="L16" s="37">
        <f>J16+J16*VM_OVERHEAD</f>
        <v>0</v>
      </c>
      <c r="M16" s="38">
        <f>IF(K16&lt;&gt;"",ROUNDUP(K16+K16*VM_OVERHEAD,0),0)</f>
        <v>0</v>
      </c>
    </row>
    <row r="17" spans="2:13" x14ac:dyDescent="0.3">
      <c r="B17" s="82"/>
      <c r="C17" s="31" t="s">
        <v>20</v>
      </c>
      <c r="D17" s="33">
        <f>IF(SINGLE_FUTURE_OK=C_YES,(IF(Future_Users&gt;LO_USERS,STANDARD_RAM_AT,LO_RAM_AT)),0)</f>
        <v>4</v>
      </c>
      <c r="E17" s="35">
        <f>D17+D17*VM_OVERHEAD</f>
        <v>4.8</v>
      </c>
      <c r="F17" s="33">
        <f>IF(DUAL_FUTURE_OK=C_YES,(IF(Future_Users&gt;MEDIUM_USERS,HI_RAM_AT,MEDIUM_RAM_AT)),0)</f>
        <v>8</v>
      </c>
      <c r="G17" s="36">
        <f>IF(DUAL_FUTURE_OK=C_YES,(IF(Future_Users&gt;MEDIUM_USERS,HI_RAM_DT,MEDIUM_RAM_DT)),0)</f>
        <v>8</v>
      </c>
      <c r="H17" s="37">
        <f>F17+F17*VM_OVERHEAD</f>
        <v>9.6</v>
      </c>
      <c r="I17" s="16">
        <f>IF(G17&lt;&gt;"",ROUNDUP(G17+G17*VM_OVERHEAD,0),0)</f>
        <v>10</v>
      </c>
      <c r="J17" s="33">
        <f>IF(SCALE_FUTURE_OK=C_YES,SCALE_RAM_AT,0)</f>
        <v>0</v>
      </c>
      <c r="K17" s="36">
        <f>IF(SCALE_FUTURE_OK=C_YES,(IF(Future_Users&gt;SCALE_USERS,SCALE_RAM_DT,SCALE_RAM_DT)),0)</f>
        <v>0</v>
      </c>
      <c r="L17" s="37">
        <f>J17+J17*VM_OVERHEAD</f>
        <v>0</v>
      </c>
      <c r="M17" s="38">
        <f>IF(K17&lt;&gt;"",ROUNDUP(K17+K17*VM_OVERHEAD,0),0)</f>
        <v>0</v>
      </c>
    </row>
    <row r="18" spans="2:13" ht="15" thickBot="1" x14ac:dyDescent="0.35">
      <c r="B18" s="83"/>
      <c r="C18" s="32" t="s">
        <v>19</v>
      </c>
      <c r="D18" s="34">
        <f>IF(SINGLE_FUTURE_OK=C_YES,(IF(Future_Users&gt;LO_USERS,STANDARD_DISK_AT,LO_DISK_AT)),0)</f>
        <v>125</v>
      </c>
      <c r="E18" s="47">
        <f>D18</f>
        <v>125</v>
      </c>
      <c r="F18" s="34">
        <f>IF(DUAL_FUTURE_OK=C_YES,(IF(Future_Users&gt;MEDIUM_USERS,MEDIUM_DISK_AT,HI_DISK_AT)),0)</f>
        <v>500</v>
      </c>
      <c r="G18" s="39">
        <f>IF(DUAL_FUTURE_OK=C_YES,(IF(Future_Users&gt;MEDIUM_USERS,HI_DISK_DT,MEDIUM_DISK_DT)),0)</f>
        <v>2000</v>
      </c>
      <c r="H18" s="48">
        <f>F18</f>
        <v>500</v>
      </c>
      <c r="I18" s="17">
        <f>IF(G18&lt;&gt;"",G18,0)</f>
        <v>2000</v>
      </c>
      <c r="J18" s="34">
        <f>IF(SCALE_FUTURE_OK=C_YES,SCALE_DISK_AT,0)</f>
        <v>0</v>
      </c>
      <c r="K18" s="39">
        <f>IF(SCALE_FUTURE_OK=C_YES,(IF(Future_Users&gt;SCALE_USERS,SCALE_DISK_DT,SCALE_DISK_DT)),0)</f>
        <v>0</v>
      </c>
      <c r="L18" s="48">
        <f>J18</f>
        <v>0</v>
      </c>
      <c r="M18" s="40">
        <f>IF(K18&lt;&gt;"",K18,0)</f>
        <v>0</v>
      </c>
    </row>
    <row r="20" spans="2:13" ht="15" thickBot="1" x14ac:dyDescent="0.35"/>
    <row r="21" spans="2:13" x14ac:dyDescent="0.3">
      <c r="B21" s="84" t="s">
        <v>48</v>
      </c>
      <c r="C21" s="2" t="s">
        <v>23</v>
      </c>
      <c r="D21" s="87" t="s">
        <v>5</v>
      </c>
      <c r="E21" s="88"/>
      <c r="F21" s="87" t="s">
        <v>6</v>
      </c>
      <c r="G21" s="89"/>
      <c r="H21" s="89"/>
      <c r="I21" s="88"/>
      <c r="J21" s="87" t="s">
        <v>7</v>
      </c>
      <c r="K21" s="89"/>
      <c r="L21" s="89"/>
      <c r="M21" s="88"/>
    </row>
    <row r="22" spans="2:13" x14ac:dyDescent="0.3">
      <c r="B22" s="85"/>
      <c r="C22" s="3"/>
      <c r="D22" s="41" t="s">
        <v>13</v>
      </c>
      <c r="E22" s="42" t="s">
        <v>14</v>
      </c>
      <c r="F22" s="90" t="s">
        <v>13</v>
      </c>
      <c r="G22" s="91"/>
      <c r="H22" s="92" t="s">
        <v>14</v>
      </c>
      <c r="I22" s="93"/>
      <c r="J22" s="90" t="s">
        <v>13</v>
      </c>
      <c r="K22" s="91"/>
      <c r="L22" s="92" t="s">
        <v>14</v>
      </c>
      <c r="M22" s="93"/>
    </row>
    <row r="23" spans="2:13" x14ac:dyDescent="0.3">
      <c r="B23" s="85"/>
      <c r="C23" s="3"/>
      <c r="D23" s="41" t="s">
        <v>8</v>
      </c>
      <c r="E23" s="42" t="s">
        <v>8</v>
      </c>
      <c r="F23" s="41" t="s">
        <v>15</v>
      </c>
      <c r="G23" s="43" t="s">
        <v>16</v>
      </c>
      <c r="H23" s="44" t="s">
        <v>15</v>
      </c>
      <c r="I23" s="45" t="s">
        <v>16</v>
      </c>
      <c r="J23" s="41" t="s">
        <v>15</v>
      </c>
      <c r="K23" s="43" t="s">
        <v>16</v>
      </c>
      <c r="L23" s="44" t="s">
        <v>15</v>
      </c>
      <c r="M23" s="45" t="s">
        <v>16</v>
      </c>
    </row>
    <row r="24" spans="2:13" x14ac:dyDescent="0.3">
      <c r="B24" s="85"/>
      <c r="C24" s="4" t="s">
        <v>17</v>
      </c>
      <c r="D24" s="33">
        <f t="shared" ref="D24:M24" si="0">ROUNDUP(D9+D9*BEEF_FACTOR,0)</f>
        <v>3</v>
      </c>
      <c r="E24" s="35">
        <f t="shared" si="0"/>
        <v>1</v>
      </c>
      <c r="F24" s="33">
        <f t="shared" si="0"/>
        <v>3</v>
      </c>
      <c r="G24" s="16">
        <f t="shared" si="0"/>
        <v>5</v>
      </c>
      <c r="H24" s="37">
        <f t="shared" si="0"/>
        <v>3</v>
      </c>
      <c r="I24" s="38">
        <f t="shared" si="0"/>
        <v>7</v>
      </c>
      <c r="J24" s="33">
        <f t="shared" si="0"/>
        <v>0</v>
      </c>
      <c r="K24" s="16">
        <f t="shared" si="0"/>
        <v>0</v>
      </c>
      <c r="L24" s="37">
        <f t="shared" si="0"/>
        <v>0</v>
      </c>
      <c r="M24" s="38">
        <f t="shared" si="0"/>
        <v>0</v>
      </c>
    </row>
    <row r="25" spans="2:13" x14ac:dyDescent="0.3">
      <c r="B25" s="85"/>
      <c r="C25" s="4" t="s">
        <v>18</v>
      </c>
      <c r="D25" s="33">
        <f t="shared" ref="D25:M25" si="1">ROUNDUP(D10+D10*BEEF_FACTOR,0)</f>
        <v>5</v>
      </c>
      <c r="E25" s="35">
        <f t="shared" si="1"/>
        <v>6</v>
      </c>
      <c r="F25" s="33">
        <f t="shared" si="1"/>
        <v>10</v>
      </c>
      <c r="G25" s="16">
        <f t="shared" si="1"/>
        <v>10</v>
      </c>
      <c r="H25" s="37">
        <f t="shared" si="1"/>
        <v>12</v>
      </c>
      <c r="I25" s="38">
        <f t="shared" si="1"/>
        <v>13</v>
      </c>
      <c r="J25" s="33">
        <f t="shared" si="1"/>
        <v>0</v>
      </c>
      <c r="K25" s="16">
        <f t="shared" si="1"/>
        <v>0</v>
      </c>
      <c r="L25" s="37">
        <f t="shared" si="1"/>
        <v>0</v>
      </c>
      <c r="M25" s="38">
        <f t="shared" si="1"/>
        <v>0</v>
      </c>
    </row>
    <row r="26" spans="2:13" ht="15" thickBot="1" x14ac:dyDescent="0.35">
      <c r="B26" s="85"/>
      <c r="C26" s="5" t="s">
        <v>19</v>
      </c>
      <c r="D26" s="34">
        <f t="shared" ref="D26:M26" si="2">ROUNDUP(D11+D11*BEEF_FACTOR,0)</f>
        <v>157</v>
      </c>
      <c r="E26" s="47">
        <f t="shared" si="2"/>
        <v>157</v>
      </c>
      <c r="F26" s="34">
        <f t="shared" si="2"/>
        <v>625</v>
      </c>
      <c r="G26" s="17">
        <f t="shared" si="2"/>
        <v>2500</v>
      </c>
      <c r="H26" s="48">
        <f t="shared" si="2"/>
        <v>625</v>
      </c>
      <c r="I26" s="40">
        <f t="shared" si="2"/>
        <v>2500</v>
      </c>
      <c r="J26" s="34">
        <f t="shared" si="2"/>
        <v>0</v>
      </c>
      <c r="K26" s="17">
        <f t="shared" si="2"/>
        <v>0</v>
      </c>
      <c r="L26" s="48">
        <f t="shared" si="2"/>
        <v>0</v>
      </c>
      <c r="M26" s="40">
        <f t="shared" si="2"/>
        <v>0</v>
      </c>
    </row>
    <row r="27" spans="2:13" ht="15" thickBot="1" x14ac:dyDescent="0.35">
      <c r="B27" s="85"/>
      <c r="D27" s="46"/>
      <c r="E27" s="46"/>
      <c r="F27" s="46"/>
      <c r="G27" s="46"/>
      <c r="H27" s="46"/>
      <c r="I27" s="46"/>
      <c r="J27" s="46"/>
      <c r="K27" s="46"/>
      <c r="L27" s="46"/>
      <c r="M27" s="46"/>
    </row>
    <row r="28" spans="2:13" x14ac:dyDescent="0.3">
      <c r="B28" s="85"/>
      <c r="C28" s="2" t="s">
        <v>24</v>
      </c>
      <c r="D28" s="87" t="s">
        <v>5</v>
      </c>
      <c r="E28" s="88"/>
      <c r="F28" s="87" t="s">
        <v>6</v>
      </c>
      <c r="G28" s="89"/>
      <c r="H28" s="89"/>
      <c r="I28" s="88"/>
      <c r="J28" s="87" t="s">
        <v>7</v>
      </c>
      <c r="K28" s="89"/>
      <c r="L28" s="89"/>
      <c r="M28" s="88"/>
    </row>
    <row r="29" spans="2:13" x14ac:dyDescent="0.3">
      <c r="B29" s="85"/>
      <c r="C29" s="3"/>
      <c r="D29" s="41" t="s">
        <v>13</v>
      </c>
      <c r="E29" s="42" t="s">
        <v>14</v>
      </c>
      <c r="F29" s="90" t="s">
        <v>13</v>
      </c>
      <c r="G29" s="91"/>
      <c r="H29" s="92" t="s">
        <v>14</v>
      </c>
      <c r="I29" s="93"/>
      <c r="J29" s="90" t="s">
        <v>13</v>
      </c>
      <c r="K29" s="91"/>
      <c r="L29" s="92" t="s">
        <v>14</v>
      </c>
      <c r="M29" s="93"/>
    </row>
    <row r="30" spans="2:13" x14ac:dyDescent="0.3">
      <c r="B30" s="85"/>
      <c r="C30" s="3"/>
      <c r="D30" s="41" t="s">
        <v>8</v>
      </c>
      <c r="E30" s="42" t="s">
        <v>8</v>
      </c>
      <c r="F30" s="41" t="s">
        <v>15</v>
      </c>
      <c r="G30" s="43" t="s">
        <v>16</v>
      </c>
      <c r="H30" s="44" t="s">
        <v>15</v>
      </c>
      <c r="I30" s="45" t="s">
        <v>16</v>
      </c>
      <c r="J30" s="41" t="s">
        <v>15</v>
      </c>
      <c r="K30" s="43" t="s">
        <v>16</v>
      </c>
      <c r="L30" s="44" t="s">
        <v>15</v>
      </c>
      <c r="M30" s="45" t="s">
        <v>16</v>
      </c>
    </row>
    <row r="31" spans="2:13" x14ac:dyDescent="0.3">
      <c r="B31" s="85"/>
      <c r="C31" s="4" t="s">
        <v>17</v>
      </c>
      <c r="D31" s="33">
        <f t="shared" ref="D31:M31" si="3">ROUNDUP(D16+D16*BEEF_FACTOR,0)</f>
        <v>3</v>
      </c>
      <c r="E31" s="35">
        <f t="shared" si="3"/>
        <v>3</v>
      </c>
      <c r="F31" s="33">
        <f t="shared" si="3"/>
        <v>3</v>
      </c>
      <c r="G31" s="16">
        <f t="shared" si="3"/>
        <v>5</v>
      </c>
      <c r="H31" s="37">
        <f t="shared" si="3"/>
        <v>3</v>
      </c>
      <c r="I31" s="38">
        <f t="shared" si="3"/>
        <v>7</v>
      </c>
      <c r="J31" s="33">
        <f t="shared" si="3"/>
        <v>0</v>
      </c>
      <c r="K31" s="16">
        <f t="shared" si="3"/>
        <v>0</v>
      </c>
      <c r="L31" s="37">
        <f t="shared" si="3"/>
        <v>0</v>
      </c>
      <c r="M31" s="38">
        <f t="shared" si="3"/>
        <v>0</v>
      </c>
    </row>
    <row r="32" spans="2:13" x14ac:dyDescent="0.3">
      <c r="B32" s="85"/>
      <c r="C32" s="4" t="s">
        <v>20</v>
      </c>
      <c r="D32" s="33">
        <f t="shared" ref="D32:M32" si="4">ROUNDUP(D17+D17*BEEF_FACTOR,0)</f>
        <v>5</v>
      </c>
      <c r="E32" s="35">
        <f t="shared" si="4"/>
        <v>6</v>
      </c>
      <c r="F32" s="33">
        <f t="shared" si="4"/>
        <v>10</v>
      </c>
      <c r="G32" s="16">
        <f t="shared" si="4"/>
        <v>10</v>
      </c>
      <c r="H32" s="37">
        <f t="shared" si="4"/>
        <v>12</v>
      </c>
      <c r="I32" s="38">
        <f t="shared" si="4"/>
        <v>13</v>
      </c>
      <c r="J32" s="33">
        <f t="shared" si="4"/>
        <v>0</v>
      </c>
      <c r="K32" s="16">
        <f t="shared" si="4"/>
        <v>0</v>
      </c>
      <c r="L32" s="37">
        <f t="shared" si="4"/>
        <v>0</v>
      </c>
      <c r="M32" s="38">
        <f t="shared" si="4"/>
        <v>0</v>
      </c>
    </row>
    <row r="33" spans="2:13" ht="15" thickBot="1" x14ac:dyDescent="0.35">
      <c r="B33" s="86"/>
      <c r="C33" s="5" t="s">
        <v>19</v>
      </c>
      <c r="D33" s="34">
        <f t="shared" ref="D33:M33" si="5">ROUNDUP(D18+D18*BEEF_FACTOR,0)</f>
        <v>157</v>
      </c>
      <c r="E33" s="47">
        <f t="shared" si="5"/>
        <v>157</v>
      </c>
      <c r="F33" s="34">
        <f t="shared" si="5"/>
        <v>625</v>
      </c>
      <c r="G33" s="17">
        <f t="shared" si="5"/>
        <v>2500</v>
      </c>
      <c r="H33" s="48">
        <f t="shared" si="5"/>
        <v>625</v>
      </c>
      <c r="I33" s="40">
        <f t="shared" si="5"/>
        <v>2500</v>
      </c>
      <c r="J33" s="34">
        <f t="shared" si="5"/>
        <v>0</v>
      </c>
      <c r="K33" s="17">
        <f t="shared" si="5"/>
        <v>0</v>
      </c>
      <c r="L33" s="48">
        <f t="shared" si="5"/>
        <v>0</v>
      </c>
      <c r="M33" s="40">
        <f t="shared" si="5"/>
        <v>0</v>
      </c>
    </row>
  </sheetData>
  <sheetProtection sheet="1" objects="1" scenarios="1"/>
  <mergeCells count="31">
    <mergeCell ref="D6:E6"/>
    <mergeCell ref="F6:I6"/>
    <mergeCell ref="J6:M6"/>
    <mergeCell ref="F7:G7"/>
    <mergeCell ref="H7:I7"/>
    <mergeCell ref="J7:K7"/>
    <mergeCell ref="L7:M7"/>
    <mergeCell ref="L22:M22"/>
    <mergeCell ref="D13:E13"/>
    <mergeCell ref="F13:I13"/>
    <mergeCell ref="J13:M13"/>
    <mergeCell ref="F14:G14"/>
    <mergeCell ref="H14:I14"/>
    <mergeCell ref="J14:K14"/>
    <mergeCell ref="L14:M14"/>
    <mergeCell ref="B6:B18"/>
    <mergeCell ref="B21:B33"/>
    <mergeCell ref="B2:M2"/>
    <mergeCell ref="D28:E28"/>
    <mergeCell ref="F28:I28"/>
    <mergeCell ref="J28:M28"/>
    <mergeCell ref="F29:G29"/>
    <mergeCell ref="H29:I29"/>
    <mergeCell ref="J29:K29"/>
    <mergeCell ref="L29:M29"/>
    <mergeCell ref="D21:E21"/>
    <mergeCell ref="F21:I21"/>
    <mergeCell ref="J21:M21"/>
    <mergeCell ref="F22:G22"/>
    <mergeCell ref="H22:I22"/>
    <mergeCell ref="J22:K22"/>
  </mergeCells>
  <conditionalFormatting sqref="D6:M33">
    <cfRule type="cellIs" dxfId="12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24151-BCDB-4D54-B778-984CD476EECE}">
  <dimension ref="A1:J35"/>
  <sheetViews>
    <sheetView zoomScaleNormal="100" workbookViewId="0">
      <selection activeCell="C8" sqref="C8"/>
    </sheetView>
  </sheetViews>
  <sheetFormatPr defaultRowHeight="14.4" x14ac:dyDescent="0.3"/>
  <cols>
    <col min="2" max="2" width="20.33203125" customWidth="1"/>
    <col min="3" max="3" width="14.33203125" customWidth="1"/>
    <col min="4" max="4" width="12.21875" customWidth="1"/>
    <col min="5" max="5" width="18.21875" customWidth="1"/>
    <col min="6" max="6" width="14.33203125" customWidth="1"/>
    <col min="7" max="7" width="15.21875" customWidth="1"/>
    <col min="8" max="8" width="17.5546875" customWidth="1"/>
    <col min="9" max="10" width="14" customWidth="1"/>
  </cols>
  <sheetData>
    <row r="1" spans="1:10" ht="18" x14ac:dyDescent="0.35">
      <c r="B1" s="1" t="s">
        <v>68</v>
      </c>
      <c r="J1" t="s">
        <v>82</v>
      </c>
    </row>
    <row r="2" spans="1:10" x14ac:dyDescent="0.3">
      <c r="B2" s="73" t="str">
        <f>'Server Scenarios'!B2:K2</f>
        <v>Version 2019.04.21</v>
      </c>
      <c r="C2" s="73"/>
      <c r="D2" s="73"/>
      <c r="E2" s="73"/>
      <c r="F2" s="73"/>
      <c r="G2" s="73"/>
      <c r="H2" s="73"/>
      <c r="I2" s="73"/>
      <c r="J2" s="73"/>
    </row>
    <row r="3" spans="1:10" x14ac:dyDescent="0.3">
      <c r="B3" t="s">
        <v>51</v>
      </c>
    </row>
    <row r="4" spans="1:10" x14ac:dyDescent="0.3">
      <c r="B4" t="s">
        <v>86</v>
      </c>
    </row>
    <row r="5" spans="1:10" x14ac:dyDescent="0.3">
      <c r="B5" t="s">
        <v>87</v>
      </c>
    </row>
    <row r="7" spans="1:10" ht="14.4" customHeight="1" x14ac:dyDescent="0.3">
      <c r="A7" s="75" t="s">
        <v>0</v>
      </c>
      <c r="B7" s="105" t="s">
        <v>70</v>
      </c>
      <c r="C7" s="106"/>
      <c r="D7" s="116" t="s">
        <v>0</v>
      </c>
      <c r="E7" s="105" t="s">
        <v>66</v>
      </c>
      <c r="F7" s="106"/>
      <c r="H7" s="105" t="s">
        <v>77</v>
      </c>
      <c r="I7" s="106"/>
    </row>
    <row r="8" spans="1:10" ht="14.4" customHeight="1" x14ac:dyDescent="0.3">
      <c r="A8" s="75"/>
      <c r="B8" s="50" t="s">
        <v>58</v>
      </c>
      <c r="C8" s="51">
        <v>0</v>
      </c>
      <c r="D8" s="116"/>
      <c r="E8" s="50" t="s">
        <v>58</v>
      </c>
      <c r="F8" s="51">
        <v>0</v>
      </c>
      <c r="H8" s="50" t="s">
        <v>78</v>
      </c>
      <c r="I8" s="118">
        <f>Future_Users</f>
        <v>0</v>
      </c>
    </row>
    <row r="9" spans="1:10" ht="15" customHeight="1" thickBot="1" x14ac:dyDescent="0.35">
      <c r="A9" s="76"/>
      <c r="B9" s="52" t="s">
        <v>59</v>
      </c>
      <c r="C9" s="53">
        <v>0</v>
      </c>
      <c r="D9" s="116"/>
      <c r="E9" s="50" t="s">
        <v>59</v>
      </c>
      <c r="F9" s="51">
        <v>0</v>
      </c>
      <c r="H9" s="52" t="s">
        <v>59</v>
      </c>
      <c r="I9" s="117">
        <f>Current_Users</f>
        <v>0</v>
      </c>
    </row>
    <row r="10" spans="1:10" ht="15" customHeight="1" thickBot="1" x14ac:dyDescent="0.35">
      <c r="E10" s="52" t="s">
        <v>79</v>
      </c>
      <c r="F10" s="53">
        <v>1</v>
      </c>
    </row>
    <row r="11" spans="1:10" x14ac:dyDescent="0.3">
      <c r="B11" s="18" t="s">
        <v>83</v>
      </c>
      <c r="E11" s="18" t="s">
        <v>84</v>
      </c>
    </row>
    <row r="12" spans="1:10" ht="15" thickBot="1" x14ac:dyDescent="0.35"/>
    <row r="13" spans="1:10" x14ac:dyDescent="0.3">
      <c r="B13" s="104" t="s">
        <v>53</v>
      </c>
      <c r="C13" s="113" t="s">
        <v>23</v>
      </c>
      <c r="D13" s="114"/>
      <c r="E13" s="114"/>
      <c r="F13" s="115"/>
      <c r="G13" s="94" t="s">
        <v>54</v>
      </c>
      <c r="H13" s="95"/>
    </row>
    <row r="14" spans="1:10" x14ac:dyDescent="0.3">
      <c r="B14" s="82"/>
      <c r="C14" s="101"/>
      <c r="D14" s="102"/>
      <c r="E14" s="102"/>
      <c r="F14" s="103"/>
      <c r="G14" s="13" t="s">
        <v>13</v>
      </c>
      <c r="H14" s="6" t="s">
        <v>14</v>
      </c>
    </row>
    <row r="15" spans="1:10" x14ac:dyDescent="0.3">
      <c r="B15" s="82"/>
      <c r="C15" s="107" t="s">
        <v>17</v>
      </c>
      <c r="D15" s="108"/>
      <c r="E15" s="108"/>
      <c r="F15" s="109"/>
      <c r="G15" s="33">
        <f>IF(Current_Users&gt;CS_LOW_USERS,CS_HIGH_CORES,CS_LOW_CORES)</f>
        <v>2</v>
      </c>
      <c r="H15" s="35">
        <f>G15*(1+VM_OVERHEAD)</f>
        <v>2.4</v>
      </c>
    </row>
    <row r="16" spans="1:10" x14ac:dyDescent="0.3">
      <c r="B16" s="82"/>
      <c r="C16" s="107" t="s">
        <v>18</v>
      </c>
      <c r="D16" s="108"/>
      <c r="E16" s="108"/>
      <c r="F16" s="109"/>
      <c r="G16" s="33">
        <f>IF(Current_Users&gt;CS_LOW_USERS,CS_HIGH_RAM,CS_LOW_RAM)</f>
        <v>8</v>
      </c>
      <c r="H16" s="35">
        <f>G16*(1+VM_OVERHEAD)</f>
        <v>9.6</v>
      </c>
    </row>
    <row r="17" spans="2:10" ht="15" thickBot="1" x14ac:dyDescent="0.35">
      <c r="B17" s="82"/>
      <c r="C17" s="110" t="s">
        <v>19</v>
      </c>
      <c r="D17" s="111"/>
      <c r="E17" s="111"/>
      <c r="F17" s="112"/>
      <c r="G17" s="34">
        <f>Current_Storage*CS_STORAGE_FACTOR</f>
        <v>0</v>
      </c>
      <c r="H17" s="47">
        <f>G17</f>
        <v>0</v>
      </c>
    </row>
    <row r="18" spans="2:10" ht="15" thickBot="1" x14ac:dyDescent="0.35">
      <c r="B18" s="82"/>
    </row>
    <row r="19" spans="2:10" x14ac:dyDescent="0.3">
      <c r="B19" s="82"/>
      <c r="C19" s="113" t="s">
        <v>24</v>
      </c>
      <c r="D19" s="114"/>
      <c r="E19" s="114"/>
      <c r="F19" s="115"/>
      <c r="G19" s="94" t="s">
        <v>54</v>
      </c>
      <c r="H19" s="95"/>
    </row>
    <row r="20" spans="2:10" x14ac:dyDescent="0.3">
      <c r="B20" s="82"/>
      <c r="C20" s="101"/>
      <c r="D20" s="102"/>
      <c r="E20" s="102"/>
      <c r="F20" s="103"/>
      <c r="G20" s="41" t="s">
        <v>13</v>
      </c>
      <c r="H20" s="42" t="s">
        <v>14</v>
      </c>
    </row>
    <row r="21" spans="2:10" x14ac:dyDescent="0.3">
      <c r="B21" s="82"/>
      <c r="C21" s="107" t="s">
        <v>17</v>
      </c>
      <c r="D21" s="108"/>
      <c r="E21" s="108"/>
      <c r="F21" s="109"/>
      <c r="G21" s="33">
        <f>IF(Future_Users&gt;CS_LOW_USERS,CS_HIGH_CORES,CS_LOW_CORES)</f>
        <v>2</v>
      </c>
      <c r="H21" s="35">
        <f>G21*(1+VM_OVERHEAD)</f>
        <v>2.4</v>
      </c>
    </row>
    <row r="22" spans="2:10" x14ac:dyDescent="0.3">
      <c r="B22" s="82"/>
      <c r="C22" s="107" t="s">
        <v>18</v>
      </c>
      <c r="D22" s="108"/>
      <c r="E22" s="108"/>
      <c r="F22" s="109"/>
      <c r="G22" s="33">
        <f>IF(Future_Users&gt;CS_LOW_USERS,CS_HIGH_RAM,CS_LOW_RAM)</f>
        <v>8</v>
      </c>
      <c r="H22" s="35">
        <f>G22*(1+VM_OVERHEAD)</f>
        <v>9.6</v>
      </c>
    </row>
    <row r="23" spans="2:10" ht="15" thickBot="1" x14ac:dyDescent="0.35">
      <c r="B23" s="83"/>
      <c r="C23" s="110" t="s">
        <v>19</v>
      </c>
      <c r="D23" s="111"/>
      <c r="E23" s="111"/>
      <c r="F23" s="112"/>
      <c r="G23" s="34">
        <f>Future_Storage*CS_STORAGE_FACTOR</f>
        <v>0</v>
      </c>
      <c r="H23" s="47">
        <f>G23</f>
        <v>0</v>
      </c>
    </row>
    <row r="24" spans="2:10" ht="15" thickBot="1" x14ac:dyDescent="0.35"/>
    <row r="25" spans="2:10" x14ac:dyDescent="0.3">
      <c r="B25" s="104" t="s">
        <v>60</v>
      </c>
      <c r="C25" s="113" t="s">
        <v>23</v>
      </c>
      <c r="D25" s="114"/>
      <c r="E25" s="114"/>
      <c r="F25" s="115"/>
      <c r="G25" s="94" t="s">
        <v>54</v>
      </c>
      <c r="H25" s="95"/>
      <c r="I25" s="94" t="s">
        <v>61</v>
      </c>
      <c r="J25" s="95"/>
    </row>
    <row r="26" spans="2:10" x14ac:dyDescent="0.3">
      <c r="B26" s="82"/>
      <c r="C26" s="101"/>
      <c r="D26" s="102"/>
      <c r="E26" s="102"/>
      <c r="F26" s="103"/>
      <c r="G26" s="13" t="s">
        <v>13</v>
      </c>
      <c r="H26" s="6" t="s">
        <v>14</v>
      </c>
      <c r="I26" s="41" t="s">
        <v>13</v>
      </c>
      <c r="J26" s="42" t="s">
        <v>14</v>
      </c>
    </row>
    <row r="27" spans="2:10" x14ac:dyDescent="0.3">
      <c r="B27" s="82"/>
      <c r="C27" s="107" t="s">
        <v>17</v>
      </c>
      <c r="D27" s="108"/>
      <c r="E27" s="108"/>
      <c r="F27" s="109"/>
      <c r="G27" s="33">
        <f>IF(Current_Users&lt;=PROXY_LOW_USERS,PROXY_LOW_CORES, IF(Current_Users&gt;PROXY_MEDIUM_USERS,PROXY_HIGH_CORES,PROXY_MEDIUM_CORES))</f>
        <v>1</v>
      </c>
      <c r="H27" s="35">
        <f>G27*(1+VM_OVERHEAD)</f>
        <v>1.2</v>
      </c>
      <c r="I27" s="33">
        <f>IF(Current_Users&lt;=PROXY_LOW_USERS,PROXY_LOW_CORES, IF(Current_Users&gt;PROXY_MEDIUM_USERS,PROXY_HIGH_CORES,PROXY_MEDIUM_CORES))</f>
        <v>1</v>
      </c>
      <c r="J27" s="35">
        <f>I27*(1+VM_OVERHEAD)</f>
        <v>1.2</v>
      </c>
    </row>
    <row r="28" spans="2:10" x14ac:dyDescent="0.3">
      <c r="B28" s="82"/>
      <c r="C28" s="107" t="s">
        <v>18</v>
      </c>
      <c r="D28" s="108"/>
      <c r="E28" s="108"/>
      <c r="F28" s="109"/>
      <c r="G28" s="33">
        <f>IF(Current_Users&lt;=PROXY_LOW_USERS,PROXY_LOW_RAM, IF(Current_Users&gt;PROXY_MEDIUM_USERS,PROXY_HIGH_RAM,PROXY_MEDIUM_RAM))</f>
        <v>2</v>
      </c>
      <c r="H28" s="35">
        <f>G28*(1+VM_OVERHEAD)</f>
        <v>2.4</v>
      </c>
      <c r="I28" s="33">
        <f>G28+(Current_BranchTip)</f>
        <v>2</v>
      </c>
      <c r="J28" s="35">
        <f>I28*(1+VM_OVERHEAD)</f>
        <v>2.4</v>
      </c>
    </row>
    <row r="29" spans="2:10" ht="15" thickBot="1" x14ac:dyDescent="0.35">
      <c r="B29" s="82"/>
      <c r="C29" s="110" t="s">
        <v>19</v>
      </c>
      <c r="D29" s="111"/>
      <c r="E29" s="111"/>
      <c r="F29" s="112"/>
      <c r="G29" s="34">
        <f>Current_BranchTip*Active_Branches</f>
        <v>0</v>
      </c>
      <c r="H29" s="47">
        <f>G29</f>
        <v>0</v>
      </c>
      <c r="I29" s="34">
        <f>Current_Storage*GVFS_SCALE_FACTOR</f>
        <v>0</v>
      </c>
      <c r="J29" s="47">
        <f>I29</f>
        <v>0</v>
      </c>
    </row>
    <row r="30" spans="2:10" ht="15" thickBot="1" x14ac:dyDescent="0.35">
      <c r="B30" s="82"/>
    </row>
    <row r="31" spans="2:10" x14ac:dyDescent="0.3">
      <c r="B31" s="82"/>
      <c r="C31" s="113" t="s">
        <v>24</v>
      </c>
      <c r="D31" s="114"/>
      <c r="E31" s="114"/>
      <c r="F31" s="115"/>
      <c r="G31" s="94" t="s">
        <v>54</v>
      </c>
      <c r="H31" s="95"/>
      <c r="I31" s="94" t="s">
        <v>61</v>
      </c>
      <c r="J31" s="95"/>
    </row>
    <row r="32" spans="2:10" x14ac:dyDescent="0.3">
      <c r="B32" s="82"/>
      <c r="C32" s="101"/>
      <c r="D32" s="102"/>
      <c r="E32" s="102"/>
      <c r="F32" s="103"/>
      <c r="G32" s="41" t="s">
        <v>13</v>
      </c>
      <c r="H32" s="42" t="s">
        <v>14</v>
      </c>
      <c r="I32" s="41" t="s">
        <v>13</v>
      </c>
      <c r="J32" s="42" t="s">
        <v>14</v>
      </c>
    </row>
    <row r="33" spans="2:10" x14ac:dyDescent="0.3">
      <c r="B33" s="82"/>
      <c r="C33" s="107" t="s">
        <v>17</v>
      </c>
      <c r="D33" s="108"/>
      <c r="E33" s="108"/>
      <c r="F33" s="109"/>
      <c r="G33" s="33">
        <f>IF(Future_Users&lt;=PROXY_LOW_USERS,PROXY_LOW_CORES, IF(Future_Users&gt;PROXY_MEDIUM_USERS,PROXY_HIGH_CORES,PROXY_MEDIUM_CORES))</f>
        <v>1</v>
      </c>
      <c r="H33" s="35">
        <f>G33*(1+VM_OVERHEAD)</f>
        <v>1.2</v>
      </c>
      <c r="I33" s="33">
        <f>IF(Future_Users&lt;=PROXY_LOW_USERS,PROXY_LOW_CORES, IF(Future_Users&gt;PROXY_MEDIUM_USERS,PROXY_HIGH_CORES,PROXY_MEDIUM_CORES))</f>
        <v>1</v>
      </c>
      <c r="J33" s="35">
        <f>I33*(1+VM_OVERHEAD)</f>
        <v>1.2</v>
      </c>
    </row>
    <row r="34" spans="2:10" x14ac:dyDescent="0.3">
      <c r="B34" s="82"/>
      <c r="C34" s="107" t="s">
        <v>18</v>
      </c>
      <c r="D34" s="108"/>
      <c r="E34" s="108"/>
      <c r="F34" s="109"/>
      <c r="G34" s="33">
        <f>IF(Future_Users&lt;=PROXY_LOW_USERS,PROXY_LOW_RAM, IF(Future_Users&gt;PROXY_MEDIUM_USERS,PROXY_HIGH_RAM,PROXY_MEDIUM_RAM))</f>
        <v>2</v>
      </c>
      <c r="H34" s="35">
        <f>G34*(1+VM_OVERHEAD)</f>
        <v>2.4</v>
      </c>
      <c r="I34" s="33">
        <f>G34+Future_BranchTip</f>
        <v>2</v>
      </c>
      <c r="J34" s="35">
        <f>I34*(1+VM_OVERHEAD)</f>
        <v>2.4</v>
      </c>
    </row>
    <row r="35" spans="2:10" ht="15" thickBot="1" x14ac:dyDescent="0.35">
      <c r="B35" s="83"/>
      <c r="C35" s="110" t="s">
        <v>19</v>
      </c>
      <c r="D35" s="111"/>
      <c r="E35" s="111"/>
      <c r="F35" s="112"/>
      <c r="G35" s="34">
        <f>Future_BranchTip*Active_Branches</f>
        <v>0</v>
      </c>
      <c r="H35" s="47">
        <f>G35</f>
        <v>0</v>
      </c>
      <c r="I35" s="34">
        <f>Future_Storage*GVFS_SCALE_FACTOR</f>
        <v>0</v>
      </c>
      <c r="J35" s="47">
        <f>I35</f>
        <v>0</v>
      </c>
    </row>
  </sheetData>
  <sheetProtection sheet="1" objects="1" scenarios="1"/>
  <mergeCells count="34">
    <mergeCell ref="C26:F26"/>
    <mergeCell ref="D7:D9"/>
    <mergeCell ref="C31:F31"/>
    <mergeCell ref="C33:F33"/>
    <mergeCell ref="C34:F34"/>
    <mergeCell ref="C35:F35"/>
    <mergeCell ref="H7:I7"/>
    <mergeCell ref="C13:F13"/>
    <mergeCell ref="C14:F14"/>
    <mergeCell ref="C15:F15"/>
    <mergeCell ref="C16:F16"/>
    <mergeCell ref="C17:F17"/>
    <mergeCell ref="C19:F19"/>
    <mergeCell ref="C20:F20"/>
    <mergeCell ref="C21:F21"/>
    <mergeCell ref="C22:F22"/>
    <mergeCell ref="C23:F23"/>
    <mergeCell ref="C25:F25"/>
    <mergeCell ref="A7:A9"/>
    <mergeCell ref="C32:F32"/>
    <mergeCell ref="B2:J2"/>
    <mergeCell ref="B25:B35"/>
    <mergeCell ref="G25:H25"/>
    <mergeCell ref="G31:H31"/>
    <mergeCell ref="I25:J25"/>
    <mergeCell ref="I31:J31"/>
    <mergeCell ref="B13:B23"/>
    <mergeCell ref="G13:H13"/>
    <mergeCell ref="G19:H19"/>
    <mergeCell ref="E7:F7"/>
    <mergeCell ref="C27:F27"/>
    <mergeCell ref="B7:C7"/>
    <mergeCell ref="C28:F28"/>
    <mergeCell ref="C29:F29"/>
  </mergeCells>
  <conditionalFormatting sqref="G13:H24">
    <cfRule type="cellIs" dxfId="11" priority="13" operator="equal">
      <formula>0</formula>
    </cfRule>
  </conditionalFormatting>
  <conditionalFormatting sqref="G32:H35 G26:H30">
    <cfRule type="cellIs" dxfId="10" priority="12" operator="equal">
      <formula>0</formula>
    </cfRule>
  </conditionalFormatting>
  <conditionalFormatting sqref="G25:H25">
    <cfRule type="cellIs" dxfId="9" priority="11" operator="equal">
      <formula>0</formula>
    </cfRule>
  </conditionalFormatting>
  <conditionalFormatting sqref="G31:H31">
    <cfRule type="cellIs" dxfId="8" priority="10" operator="equal">
      <formula>0</formula>
    </cfRule>
  </conditionalFormatting>
  <conditionalFormatting sqref="I26:J26 J27:J29">
    <cfRule type="cellIs" dxfId="7" priority="9" operator="equal">
      <formula>0</formula>
    </cfRule>
  </conditionalFormatting>
  <conditionalFormatting sqref="I25:J25">
    <cfRule type="cellIs" dxfId="6" priority="8" operator="equal">
      <formula>0</formula>
    </cfRule>
  </conditionalFormatting>
  <conditionalFormatting sqref="I32:J32 J33:J35">
    <cfRule type="cellIs" dxfId="5" priority="7" operator="equal">
      <formula>0</formula>
    </cfRule>
  </conditionalFormatting>
  <conditionalFormatting sqref="I33:I35">
    <cfRule type="cellIs" dxfId="4" priority="3" operator="equal">
      <formula>0</formula>
    </cfRule>
  </conditionalFormatting>
  <conditionalFormatting sqref="I31:J31">
    <cfRule type="cellIs" dxfId="3" priority="5" operator="equal">
      <formula>0</formula>
    </cfRule>
  </conditionalFormatting>
  <conditionalFormatting sqref="I27:I29">
    <cfRule type="cellIs" dxfId="2" priority="4" operator="equal">
      <formula>0</formula>
    </cfRule>
  </conditionalFormatting>
  <conditionalFormatting sqref="B11">
    <cfRule type="expression" dxfId="1" priority="2">
      <formula>Current_Storage&lt;=Future_Storage</formula>
    </cfRule>
  </conditionalFormatting>
  <conditionalFormatting sqref="E11">
    <cfRule type="expression" dxfId="0" priority="1">
      <formula>Current_BranchTip &lt;= Future_BranchTip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roject xmlns="d4f1fd26-cd3f-48df-8559-6269d85163e3">45</Project>
    <Priority xmlns="d4f1fd26-cd3f-48df-8559-6269d85163e3">2 - Cheat sheet / posters (high)</Priority>
    <Notes0 xmlns="d4f1fd26-cd3f-48df-8559-6269d85163e3" xsi:nil="true"/>
    <Review_x0020_Status xmlns="d4f1fd26-cd3f-48df-8559-6269d85163e3">Review Completed</Review_x0020_Statu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8AB984F9AFA14087035BD77D90A626" ma:contentTypeVersion="5" ma:contentTypeDescription="Create a new document." ma:contentTypeScope="" ma:versionID="587f6fb58f55cab20468d5767da9b76d">
  <xsd:schema xmlns:xsd="http://www.w3.org/2001/XMLSchema" xmlns:p="http://schemas.microsoft.com/office/2006/metadata/properties" xmlns:ns1="d4f1fd26-cd3f-48df-8559-6269d85163e3" targetNamespace="http://schemas.microsoft.com/office/2006/metadata/properties" ma:root="true" ma:fieldsID="2d45bfae41b7a5cd5eac582b346e06dc" ns1:_="">
    <xsd:import namespace="d4f1fd26-cd3f-48df-8559-6269d85163e3"/>
    <xsd:element name="properties">
      <xsd:complexType>
        <xsd:sequence>
          <xsd:element name="documentManagement">
            <xsd:complexType>
              <xsd:all>
                <xsd:element ref="ns1:Project"/>
                <xsd:element ref="ns1:Review_x0020_Status" minOccurs="0"/>
                <xsd:element ref="ns1:Notes0" minOccurs="0"/>
                <xsd:element ref="ns1:Priority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4f1fd26-cd3f-48df-8559-6269d85163e3" elementFormDefault="qualified">
    <xsd:import namespace="http://schemas.microsoft.com/office/2006/documentManagement/types"/>
    <xsd:element name="Project" ma:index="0" ma:displayName="Project" ma:list="{531e57d1-1a88-499e-a615-7e0bd53470b9}" ma:internalName="Project" ma:showField="Title">
      <xsd:simpleType>
        <xsd:restriction base="dms:Lookup"/>
      </xsd:simpleType>
    </xsd:element>
    <xsd:element name="Review_x0020_Status" ma:index="3" nillable="true" ma:displayName="Review Status" ma:default="Queued" ma:format="Dropdown" ma:internalName="Review_x0020_Status">
      <xsd:simpleType>
        <xsd:restriction base="dms:Choice">
          <xsd:enumeration value="Queued"/>
          <xsd:enumeration value="Rejected"/>
          <xsd:enumeration value="Review Completed"/>
        </xsd:restriction>
      </xsd:simpleType>
    </xsd:element>
    <xsd:element name="Notes0" ma:index="4" nillable="true" ma:displayName="Notes" ma:description="Brief notes to or from reviewer" ma:internalName="Notes0">
      <xsd:simpleType>
        <xsd:restriction base="dms:Text">
          <xsd:maxLength value="255"/>
        </xsd:restriction>
      </xsd:simpleType>
    </xsd:element>
    <xsd:element name="Priority" ma:index="11" nillable="true" ma:displayName="Priority" ma:default="4 - Other (low)" ma:format="Dropdown" ma:internalName="Priority">
      <xsd:simpleType>
        <xsd:restriction base="dms:Choice">
          <xsd:enumeration value="1 - Guide (critical)"/>
          <xsd:enumeration value="2 - Cheat sheet / posters (high)"/>
          <xsd:enumeration value="3 - HOL (normal)"/>
          <xsd:enumeration value="4 - Other (low)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7" ma:displayName="Content Type" ma:readOnly="true"/>
        <xsd:element ref="dc:title" minOccurs="0" maxOccurs="1" ma:index="1" ma:displayName="Document Nam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12B28CD-EB51-4560-8E58-B9E03DAFD80D}">
  <ds:schemaRefs>
    <ds:schemaRef ds:uri="http://purl.org/dc/terms/"/>
    <ds:schemaRef ds:uri="d4f1fd26-cd3f-48df-8559-6269d85163e3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13C0D350-2871-401C-8D5C-791C478D9E1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E2C743B-52BB-4B93-BC7B-301A591373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4f1fd26-cd3f-48df-8559-6269d85163e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81</vt:i4>
      </vt:variant>
    </vt:vector>
  </HeadingPairs>
  <TitlesOfParts>
    <vt:vector size="85" baseType="lpstr">
      <vt:lpstr>Server Scenarios</vt:lpstr>
      <vt:lpstr>Constants</vt:lpstr>
      <vt:lpstr>Hardware Configurations</vt:lpstr>
      <vt:lpstr>Additional Servers</vt:lpstr>
      <vt:lpstr>Active_Branches</vt:lpstr>
      <vt:lpstr>BEEF_FACTOR</vt:lpstr>
      <vt:lpstr>C_NO</vt:lpstr>
      <vt:lpstr>C_YES</vt:lpstr>
      <vt:lpstr>CS_DEMO_CORES</vt:lpstr>
      <vt:lpstr>CS_DEMO_RAM</vt:lpstr>
      <vt:lpstr>CS_DEMO_USERS</vt:lpstr>
      <vt:lpstr>CS_HIGH_CORES</vt:lpstr>
      <vt:lpstr>CS_HIGH_RAM</vt:lpstr>
      <vt:lpstr>CS_HIGH_USERS</vt:lpstr>
      <vt:lpstr>CS_LOW_CORES</vt:lpstr>
      <vt:lpstr>CS_LOW_RAM</vt:lpstr>
      <vt:lpstr>CS_LOW_USERS</vt:lpstr>
      <vt:lpstr>CS_STORAGE_FACTOR</vt:lpstr>
      <vt:lpstr>Current_BranchTip</vt:lpstr>
      <vt:lpstr>Current_Storage</vt:lpstr>
      <vt:lpstr>Current_Users</vt:lpstr>
      <vt:lpstr>DUAL_CURRENT_OK</vt:lpstr>
      <vt:lpstr>DUAL_FUTURE_OK</vt:lpstr>
      <vt:lpstr>Future_BranchTip</vt:lpstr>
      <vt:lpstr>Future_Storage</vt:lpstr>
      <vt:lpstr>Future_Users</vt:lpstr>
      <vt:lpstr>GVFS_SCALE_FACTOR</vt:lpstr>
      <vt:lpstr>HI_CORE_AT</vt:lpstr>
      <vt:lpstr>HI_CORE_DT</vt:lpstr>
      <vt:lpstr>HI_DISK_AT</vt:lpstr>
      <vt:lpstr>HI_DISK_DT</vt:lpstr>
      <vt:lpstr>HI_FACTOR</vt:lpstr>
      <vt:lpstr>HI_RAM_AT</vt:lpstr>
      <vt:lpstr>HI_RAM_DT</vt:lpstr>
      <vt:lpstr>HI_RPS</vt:lpstr>
      <vt:lpstr>HI_USERS</vt:lpstr>
      <vt:lpstr>HIGH_TPC</vt:lpstr>
      <vt:lpstr>LO_CORE_AT</vt:lpstr>
      <vt:lpstr>LO_DISK_AT</vt:lpstr>
      <vt:lpstr>LO_FACTOR</vt:lpstr>
      <vt:lpstr>LO_RAM_AT</vt:lpstr>
      <vt:lpstr>LO_RPS</vt:lpstr>
      <vt:lpstr>LO_TPC</vt:lpstr>
      <vt:lpstr>LO_USERS</vt:lpstr>
      <vt:lpstr>MEDIUM_CORE_AT</vt:lpstr>
      <vt:lpstr>MEDIUM_CORE_DT</vt:lpstr>
      <vt:lpstr>MEDIUM_DISK_AT</vt:lpstr>
      <vt:lpstr>MEDIUM_DISK_DT</vt:lpstr>
      <vt:lpstr>MEDIUM_RAM_AT</vt:lpstr>
      <vt:lpstr>MEDIUM_RAM_DT</vt:lpstr>
      <vt:lpstr>MEDIUM_RPS</vt:lpstr>
      <vt:lpstr>MEDIUM_TPC</vt:lpstr>
      <vt:lpstr>MEDIUM_USERS</vt:lpstr>
      <vt:lpstr>PROXY_HIGH_CORES</vt:lpstr>
      <vt:lpstr>PROXY_HIGH_RAM</vt:lpstr>
      <vt:lpstr>PROXY_HIGH_USERS</vt:lpstr>
      <vt:lpstr>PROXY_LOW_CORES</vt:lpstr>
      <vt:lpstr>PROXY_LOW_RAM</vt:lpstr>
      <vt:lpstr>PROXY_LOW_USERS</vt:lpstr>
      <vt:lpstr>PROXY_MEDIUM_CORES</vt:lpstr>
      <vt:lpstr>PROXY_MEDIUM_RAM</vt:lpstr>
      <vt:lpstr>PROXY_MEDIUM_USERS</vt:lpstr>
      <vt:lpstr>SCALE_CORE_AT</vt:lpstr>
      <vt:lpstr>SCALE_CORE_DT</vt:lpstr>
      <vt:lpstr>SCALE_CURRENT_OK</vt:lpstr>
      <vt:lpstr>SCALE_DISK_AT</vt:lpstr>
      <vt:lpstr>SCALE_DISK_DT</vt:lpstr>
      <vt:lpstr>SCALE_FACTOR</vt:lpstr>
      <vt:lpstr>SCALE_FUTURE_OK</vt:lpstr>
      <vt:lpstr>SCALE_RAM_AT</vt:lpstr>
      <vt:lpstr>SCALE_RAM_DT</vt:lpstr>
      <vt:lpstr>SCALE_RPS</vt:lpstr>
      <vt:lpstr>SCALE_TPC</vt:lpstr>
      <vt:lpstr>SCALE_USERS</vt:lpstr>
      <vt:lpstr>SINGLE_CURRENT_OK</vt:lpstr>
      <vt:lpstr>SINGLE_FUTURE_OK</vt:lpstr>
      <vt:lpstr>SINGLE_PREFERRED</vt:lpstr>
      <vt:lpstr>STANDARD_CORE_AT</vt:lpstr>
      <vt:lpstr>STANDARD_DISK_AT</vt:lpstr>
      <vt:lpstr>STANDARD_FACTOR</vt:lpstr>
      <vt:lpstr>STANDARD_RAM_AT</vt:lpstr>
      <vt:lpstr>STANDARD_RPD</vt:lpstr>
      <vt:lpstr>STANDARD_TPC</vt:lpstr>
      <vt:lpstr>STANDARD_USERS</vt:lpstr>
      <vt:lpstr>VM_OVERHEAD</vt:lpstr>
    </vt:vector>
  </TitlesOfParts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Willy-Peter Schaub</dc:creator>
  <cp:lastModifiedBy>Ken Muse</cp:lastModifiedBy>
  <cp:lastPrinted>2010-09-10T16:11:02Z</cp:lastPrinted>
  <dcterms:created xsi:type="dcterms:W3CDTF">2010-09-10T16:03:03Z</dcterms:created>
  <dcterms:modified xsi:type="dcterms:W3CDTF">2019-04-21T22:50:23Z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0x010100CC8AB984F9AFA14087035BD77D90A626</vt:lpwstr>
  </property>
  <property fmtid="{D5CDD505-2E9C-101B-9397-08002B2CF9AE}" pid="3" name="Order">
    <vt:r8>2400</vt:r8>
  </property>
</Properties>
</file>