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y\OneDrive\_sandbox\planning guide\"/>
    </mc:Choice>
  </mc:AlternateContent>
  <xr:revisionPtr revIDLastSave="3" documentId="11_481838BC9F82B1C870C8F03207606A56245E0862" xr6:coauthVersionLast="34" xr6:coauthVersionMax="34" xr10:uidLastSave="{B660518E-83CE-48D7-B6B4-7AF39787574A}"/>
  <bookViews>
    <workbookView xWindow="-12" yWindow="7812" windowWidth="21840" windowHeight="7272" activeTab="1" xr2:uid="{00000000-000D-0000-FFFF-FFFF00000000}"/>
  </bookViews>
  <sheets>
    <sheet name="Server Scenarios" sheetId="1" r:id="rId1"/>
    <sheet name="Hardware Configurations" sheetId="7" r:id="rId2"/>
    <sheet name="Constants" sheetId="5" state="hidden" r:id="rId3"/>
  </sheets>
  <definedNames>
    <definedName name="BEEF_FACTOR">'Server Scenarios'!$C$9</definedName>
    <definedName name="C_NO">Constants!$B$21</definedName>
    <definedName name="C_YES">Constants!$B$20</definedName>
    <definedName name="Current_Users">'Server Scenarios'!$C$7</definedName>
    <definedName name="DUAL_CURRENT_OK">'Server Scenarios'!$F$13</definedName>
    <definedName name="DUAL_FUTURE_OK">'Server Scenarios'!$F$14</definedName>
    <definedName name="Future_Users">'Server Scenarios'!$C$6</definedName>
    <definedName name="HI_CORE_AT">Constants!$F$5</definedName>
    <definedName name="HI_CORE_DT">Constants!$I$5</definedName>
    <definedName name="HI_DISK_AT">Constants!$H$5</definedName>
    <definedName name="HI_DISK_DT">Constants!$K$5</definedName>
    <definedName name="HI_FACTOR">Constants!$D$5</definedName>
    <definedName name="HI_RAM_AT">Constants!$G$5</definedName>
    <definedName name="HI_RAM_DT">Constants!$J$5</definedName>
    <definedName name="HI_RPS">Constants!$B$5</definedName>
    <definedName name="HI_USERS">Constants!$C$5</definedName>
    <definedName name="HIGH_TPC">Constants!$E$5</definedName>
    <definedName name="LO_CORE_AT">Constants!$F$2</definedName>
    <definedName name="LO_DISK_AT">Constants!$H$2</definedName>
    <definedName name="LO_FACTOR">Constants!$D$2</definedName>
    <definedName name="LO_RAM_AT">Constants!$G$2</definedName>
    <definedName name="LO_RPS">Constants!$B$2</definedName>
    <definedName name="LO_TPC">Constants!$E$2</definedName>
    <definedName name="LO_USERS">Constants!$C$2</definedName>
    <definedName name="MEDIUM_CORE_AT">Constants!$F$4</definedName>
    <definedName name="MEDIUM_CORE_DT">Constants!$I$4</definedName>
    <definedName name="MEDIUM_DISK_AT">Constants!$H$4</definedName>
    <definedName name="MEDIUM_DISK_DT">Constants!$K$4</definedName>
    <definedName name="MEDIUM_RAM_AT">Constants!$G$4</definedName>
    <definedName name="MEDIUM_RAM_DT">Constants!$J$4</definedName>
    <definedName name="MEDIUM_USERS">Constants!$C$4</definedName>
    <definedName name="SCALE_CORE_AT">Constants!$F$6</definedName>
    <definedName name="SCALE_CORE_DT">Constants!$I$6</definedName>
    <definedName name="SCALE_CURRENT_OK">'Server Scenarios'!$I$13</definedName>
    <definedName name="SCALE_DISK_AT">Constants!$H$6</definedName>
    <definedName name="SCALE_DISK_DT">Constants!$K$6</definedName>
    <definedName name="SCALE_FACTOR">Constants!$D$6</definedName>
    <definedName name="SCALE_FUTURE_OK">'Server Scenarios'!$I$14</definedName>
    <definedName name="SCALE_RAM_AT">Constants!$G$6</definedName>
    <definedName name="SCALE_RAM_DT">Constants!$J$6</definedName>
    <definedName name="SCALE_RPS">Constants!$B$6</definedName>
    <definedName name="SCALE_TPC">Constants!$E$6</definedName>
    <definedName name="SCALE_USERS">Constants!$A$6</definedName>
    <definedName name="SINGLE_CURRENT_OK">'Server Scenarios'!$C$13</definedName>
    <definedName name="SINGLE_FUTURE_OK">'Server Scenarios'!$C$14</definedName>
    <definedName name="SINGLE_PREFERRED">'Server Scenarios'!$C$15</definedName>
    <definedName name="STANDARD_CORE_AT">Constants!$F$3</definedName>
    <definedName name="STANDARD_DISK_AT">Constants!$H$3</definedName>
    <definedName name="STANDARD_FACTOR">Constants!$D$3</definedName>
    <definedName name="STANDARD_RAM_AT">Constants!$G$3</definedName>
    <definedName name="STANDARD_RPD">Constants!$B$3</definedName>
    <definedName name="STANDARD_TPC">Constants!$E$3</definedName>
    <definedName name="STANDARD_USERS">Constants!$C$3</definedName>
    <definedName name="VIRTUAL_PERCENTAGE">Constants!$B$19</definedName>
  </definedNames>
  <calcPr calcId="179017"/>
</workbook>
</file>

<file path=xl/calcChain.xml><?xml version="1.0" encoding="utf-8"?>
<calcChain xmlns="http://schemas.openxmlformats.org/spreadsheetml/2006/main">
  <c r="B2" i="7" l="1"/>
  <c r="E4" i="5"/>
  <c r="I14" i="1"/>
  <c r="J17" i="7" s="1"/>
  <c r="J32" i="7" s="1"/>
  <c r="F14" i="1"/>
  <c r="H20" i="1" s="1"/>
  <c r="G20" i="1" s="1"/>
  <c r="C14" i="1"/>
  <c r="F13" i="1"/>
  <c r="F20" i="1" s="1"/>
  <c r="C13" i="1"/>
  <c r="E16" i="1" l="1"/>
  <c r="D16" i="1" s="1"/>
  <c r="E20" i="1"/>
  <c r="D20" i="1" s="1"/>
  <c r="D16" i="7"/>
  <c r="D17" i="7"/>
  <c r="F8" i="7"/>
  <c r="G8" i="7"/>
  <c r="F9" i="7"/>
  <c r="F24" i="7" s="1"/>
  <c r="G9" i="7"/>
  <c r="D15" i="7"/>
  <c r="K17" i="7"/>
  <c r="F10" i="7"/>
  <c r="F25" i="7" s="1"/>
  <c r="G10" i="7"/>
  <c r="L17" i="7"/>
  <c r="L32" i="7" s="1"/>
  <c r="G17" i="7"/>
  <c r="F15" i="7"/>
  <c r="F30" i="7" s="1"/>
  <c r="G15" i="7"/>
  <c r="K15" i="7"/>
  <c r="K30" i="7" s="1"/>
  <c r="F16" i="7"/>
  <c r="G16" i="7"/>
  <c r="J15" i="7"/>
  <c r="J30" i="7" s="1"/>
  <c r="K16" i="7"/>
  <c r="J16" i="7"/>
  <c r="F17" i="7"/>
  <c r="F32" i="7" s="1"/>
  <c r="D8" i="7"/>
  <c r="D23" i="7" s="1"/>
  <c r="D9" i="7"/>
  <c r="D10" i="7"/>
  <c r="I13" i="1"/>
  <c r="C20" i="1"/>
  <c r="I16" i="1"/>
  <c r="F18" i="1"/>
  <c r="I18" i="1"/>
  <c r="C16" i="1"/>
  <c r="F17" i="1"/>
  <c r="F16" i="1"/>
  <c r="C18" i="1"/>
  <c r="C17" i="1"/>
  <c r="C15" i="1"/>
  <c r="F19" i="1"/>
  <c r="C19" i="1"/>
  <c r="F15" i="1"/>
  <c r="E10" i="7" l="1"/>
  <c r="E25" i="7" s="1"/>
  <c r="D25" i="7"/>
  <c r="E9" i="7"/>
  <c r="E24" i="7" s="1"/>
  <c r="D24" i="7"/>
  <c r="I9" i="7"/>
  <c r="I24" i="7" s="1"/>
  <c r="G24" i="7"/>
  <c r="I8" i="7"/>
  <c r="I23" i="7" s="1"/>
  <c r="G23" i="7"/>
  <c r="H8" i="7"/>
  <c r="H23" i="7" s="1"/>
  <c r="F23" i="7"/>
  <c r="I10" i="7"/>
  <c r="I25" i="7" s="1"/>
  <c r="G25" i="7"/>
  <c r="H16" i="7"/>
  <c r="H31" i="7" s="1"/>
  <c r="F31" i="7"/>
  <c r="M17" i="7"/>
  <c r="M32" i="7" s="1"/>
  <c r="K32" i="7"/>
  <c r="E15" i="7"/>
  <c r="E30" i="7" s="1"/>
  <c r="D30" i="7"/>
  <c r="L16" i="7"/>
  <c r="L31" i="7" s="1"/>
  <c r="J31" i="7"/>
  <c r="I15" i="7"/>
  <c r="I30" i="7" s="1"/>
  <c r="G30" i="7"/>
  <c r="I17" i="7"/>
  <c r="I32" i="7" s="1"/>
  <c r="G32" i="7"/>
  <c r="M16" i="7"/>
  <c r="M31" i="7" s="1"/>
  <c r="K31" i="7"/>
  <c r="E17" i="7"/>
  <c r="E32" i="7" s="1"/>
  <c r="D32" i="7"/>
  <c r="I16" i="7"/>
  <c r="I31" i="7" s="1"/>
  <c r="G31" i="7"/>
  <c r="E16" i="7"/>
  <c r="E31" i="7" s="1"/>
  <c r="D31" i="7"/>
  <c r="E8" i="7"/>
  <c r="E23" i="7" s="1"/>
  <c r="H15" i="7"/>
  <c r="H30" i="7" s="1"/>
  <c r="J10" i="7"/>
  <c r="J25" i="7" s="1"/>
  <c r="K8" i="7"/>
  <c r="K9" i="7"/>
  <c r="J9" i="7"/>
  <c r="J24" i="7" s="1"/>
  <c r="J8" i="7"/>
  <c r="J23" i="7" s="1"/>
  <c r="K10" i="7"/>
  <c r="M15" i="7"/>
  <c r="M30" i="7" s="1"/>
  <c r="L15" i="7"/>
  <c r="L30" i="7" s="1"/>
  <c r="H10" i="7"/>
  <c r="H25" i="7" s="1"/>
  <c r="H9" i="7"/>
  <c r="H24" i="7" s="1"/>
  <c r="H17" i="7"/>
  <c r="H32" i="7" s="1"/>
  <c r="I20" i="1"/>
  <c r="I19" i="1" s="1"/>
  <c r="I21" i="1" s="1"/>
  <c r="K20" i="1"/>
  <c r="I17" i="1"/>
  <c r="I15" i="1"/>
  <c r="M10" i="7" l="1"/>
  <c r="M25" i="7" s="1"/>
  <c r="K25" i="7"/>
  <c r="M8" i="7"/>
  <c r="M23" i="7" s="1"/>
  <c r="K23" i="7"/>
  <c r="M9" i="7"/>
  <c r="M24" i="7" s="1"/>
  <c r="K24" i="7"/>
  <c r="L9" i="7"/>
  <c r="L24" i="7" s="1"/>
  <c r="L10" i="7"/>
  <c r="L25" i="7" s="1"/>
  <c r="L8" i="7"/>
  <c r="L23" i="7" s="1"/>
  <c r="J20" i="1"/>
  <c r="K19" i="1"/>
  <c r="J19" i="1" s="1"/>
  <c r="K21" i="1" l="1"/>
  <c r="J21" i="1" s="1"/>
</calcChain>
</file>

<file path=xl/sharedStrings.xml><?xml version="1.0" encoding="utf-8"?>
<sst xmlns="http://schemas.openxmlformats.org/spreadsheetml/2006/main" count="143" uniqueCount="59">
  <si>
    <t>F</t>
  </si>
  <si>
    <t>Maximum must be more than current</t>
  </si>
  <si>
    <t>Current users</t>
  </si>
  <si>
    <t>Current must be less than maximum</t>
  </si>
  <si>
    <t>INFRASTRUCTURE ARCHITECTURE</t>
  </si>
  <si>
    <t>Single Server</t>
  </si>
  <si>
    <t>Scale Up</t>
  </si>
  <si>
    <t>Scale Out</t>
  </si>
  <si>
    <t>ATDT</t>
  </si>
  <si>
    <t>AT + DT</t>
  </si>
  <si>
    <t>Feasible recommendation for current?</t>
  </si>
  <si>
    <t>Feasible recommendation for future?</t>
  </si>
  <si>
    <t>Preferred Architecture?</t>
  </si>
  <si>
    <t>Physical</t>
  </si>
  <si>
    <t>Virtual</t>
  </si>
  <si>
    <t>AT</t>
  </si>
  <si>
    <t>DT</t>
  </si>
  <si>
    <t>CORE</t>
  </si>
  <si>
    <t>RAM (GB)</t>
  </si>
  <si>
    <t>DISK (GB)</t>
  </si>
  <si>
    <t>RAM</t>
  </si>
  <si>
    <t>Yes</t>
  </si>
  <si>
    <t>No</t>
  </si>
  <si>
    <r>
      <rPr>
        <b/>
        <sz val="11"/>
        <color rgb="FFFF0000"/>
        <rFont val="Calibri"/>
        <family val="2"/>
        <scheme val="minor"/>
      </rPr>
      <t>NOTE:</t>
    </r>
    <r>
      <rPr>
        <b/>
        <i/>
        <sz val="11"/>
        <color rgb="FFFF0000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This is a simplified model for educational purposes and does not replace expert consulting. Real world requirements and infrastructure environments can be much more complex.</t>
    </r>
  </si>
  <si>
    <r>
      <rPr>
        <b/>
        <sz val="11"/>
        <color rgb="FFC00000"/>
        <rFont val="Calibri"/>
        <family val="2"/>
        <scheme val="minor"/>
      </rPr>
      <t>MINIMUM</t>
    </r>
    <r>
      <rPr>
        <b/>
        <sz val="11"/>
        <color theme="0"/>
        <rFont val="Calibri"/>
        <family val="2"/>
        <scheme val="minor"/>
      </rPr>
      <t xml:space="preserve"> CONFIGURATION FOR CURRENT REQUIREMENTS</t>
    </r>
  </si>
  <si>
    <r>
      <rPr>
        <b/>
        <sz val="11"/>
        <color rgb="FFC00000"/>
        <rFont val="Calibri"/>
        <family val="2"/>
        <scheme val="minor"/>
      </rPr>
      <t xml:space="preserve">MINIMUM </t>
    </r>
    <r>
      <rPr>
        <b/>
        <sz val="11"/>
        <color theme="0"/>
        <rFont val="Calibri"/>
        <family val="2"/>
        <scheme val="minor"/>
      </rPr>
      <t>RECOMMENDED CONFIGURATION FOR FUTURE GROWTH</t>
    </r>
  </si>
  <si>
    <r>
      <rPr>
        <b/>
        <sz val="11"/>
        <color theme="0"/>
        <rFont val="Calibri"/>
        <family val="2"/>
        <scheme val="minor"/>
      </rPr>
      <t>Real-World</t>
    </r>
    <r>
      <rPr>
        <sz val="11"/>
        <color theme="0"/>
        <rFont val="Calibri"/>
        <family val="2"/>
        <scheme val="minor"/>
      </rPr>
      <t xml:space="preserve"> (Beef) </t>
    </r>
    <r>
      <rPr>
        <b/>
        <sz val="11"/>
        <color theme="0"/>
        <rFont val="Calibri"/>
        <family val="2"/>
        <scheme val="minor"/>
      </rPr>
      <t>Factor</t>
    </r>
    <r>
      <rPr>
        <sz val="11"/>
        <color theme="0"/>
        <rFont val="Calibri"/>
        <family val="2"/>
        <scheme val="minor"/>
      </rPr>
      <t xml:space="preserve"> </t>
    </r>
  </si>
  <si>
    <t>Visual Studio ALM Rangers - On-Premises Capacity Planning Quick Reference Poster Companion Workbook</t>
  </si>
  <si>
    <t>NUMBER OF ACTIVE TEAM FOUNDATION SERVER USERS</t>
  </si>
  <si>
    <t>Low-End Configuration</t>
  </si>
  <si>
    <t>Standard Configuration</t>
  </si>
  <si>
    <t>High-End Configuration</t>
  </si>
  <si>
    <t>Scale-Out Configuration</t>
  </si>
  <si>
    <t>RPS</t>
  </si>
  <si>
    <t>User Limit</t>
  </si>
  <si>
    <t>Constants</t>
  </si>
  <si>
    <t>RPS Factor</t>
  </si>
  <si>
    <t>Estimated requests per second (rps) on AT server</t>
  </si>
  <si>
    <t>Estimated number of Application Tier (AT) servers</t>
  </si>
  <si>
    <t>TPC</t>
  </si>
  <si>
    <t>Maximum Current Active Collections (per SQL Server instance)</t>
  </si>
  <si>
    <t>Maximum Future Active Collections (per SQL Server instance)</t>
  </si>
  <si>
    <t>Server Configuration Type</t>
  </si>
  <si>
    <t>Estimated requests per second (rps) in total</t>
  </si>
  <si>
    <t>Virtual Percentage</t>
  </si>
  <si>
    <t>Medium-End Configurtion</t>
  </si>
  <si>
    <t>RAM-DT</t>
  </si>
  <si>
    <t>RAM-AT</t>
  </si>
  <si>
    <t>DISK-AT</t>
  </si>
  <si>
    <t>Core-DT</t>
  </si>
  <si>
    <t>Core-AT</t>
  </si>
  <si>
    <t>DISK-DT</t>
  </si>
  <si>
    <t>Review the Real-World “Beef” Factor section in the TFS Project Guidance document.</t>
  </si>
  <si>
    <t>BETA</t>
  </si>
  <si>
    <t>Maximum expected users</t>
  </si>
  <si>
    <r>
      <rPr>
        <b/>
        <sz val="20"/>
        <color rgb="FF006100"/>
        <rFont val="Calibri"/>
        <family val="2"/>
        <scheme val="minor"/>
      </rPr>
      <t>BASE</t>
    </r>
    <r>
      <rPr>
        <b/>
        <sz val="11"/>
        <color rgb="FF006100"/>
        <rFont val="Calibri"/>
        <family val="2"/>
        <scheme val="minor"/>
      </rPr>
      <t xml:space="preserve">
RECOMMENDATIONS</t>
    </r>
  </si>
  <si>
    <r>
      <t xml:space="preserve">WITH </t>
    </r>
    <r>
      <rPr>
        <b/>
        <sz val="20"/>
        <color rgb="FF9C6500"/>
        <rFont val="Calibri"/>
        <family val="2"/>
        <scheme val="minor"/>
      </rPr>
      <t>BEEF</t>
    </r>
    <r>
      <rPr>
        <b/>
        <sz val="11"/>
        <color rgb="FF9C6500"/>
        <rFont val="Calibri"/>
        <family val="2"/>
        <scheme val="minor"/>
      </rPr>
      <t xml:space="preserve"> FACTOR</t>
    </r>
  </si>
  <si>
    <t>Version 2012.02.24</t>
  </si>
  <si>
    <r>
      <rPr>
        <b/>
        <sz val="11"/>
        <color rgb="FFFF0000"/>
        <rFont val="Calibri"/>
        <family val="2"/>
        <scheme val="minor"/>
      </rPr>
      <t>NOTE:</t>
    </r>
    <r>
      <rPr>
        <b/>
        <i/>
        <sz val="11"/>
        <color rgb="FFFF0000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This is a simplified model for educational purposes and does not replace expert consulting. Real-world requirements and infrastructure environments can be much more complex.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</si>
</sst>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36"/>
      <color theme="1"/>
      <name val="Wingdings"/>
      <charset val="2"/>
    </font>
    <font>
      <b/>
      <sz val="3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72"/>
      <color theme="1"/>
      <name val="Calibri"/>
      <family val="2"/>
      <scheme val="minor"/>
    </font>
    <font>
      <sz val="72"/>
      <color rgb="FFC00000"/>
      <name val="Calibri"/>
      <family val="2"/>
      <scheme val="minor"/>
    </font>
    <font>
      <b/>
      <sz val="20"/>
      <color rgb="FF006100"/>
      <name val="Calibri"/>
      <family val="2"/>
      <scheme val="minor"/>
    </font>
    <font>
      <b/>
      <sz val="20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117">
    <xf numFmtId="0" fontId="0" fillId="0" borderId="0" xfId="0"/>
    <xf numFmtId="0" fontId="4" fillId="0" borderId="0" xfId="0" applyFont="1"/>
    <xf numFmtId="0" fontId="1" fillId="2" borderId="7" xfId="0" applyFont="1" applyFill="1" applyBorder="1"/>
    <xf numFmtId="0" fontId="0" fillId="3" borderId="9" xfId="0" applyFill="1" applyBorder="1"/>
    <xf numFmtId="0" fontId="3" fillId="3" borderId="9" xfId="0" applyFont="1" applyFill="1" applyBorder="1"/>
    <xf numFmtId="0" fontId="3" fillId="3" borderId="11" xfId="0" applyFont="1" applyFill="1" applyBorder="1"/>
    <xf numFmtId="0" fontId="0" fillId="0" borderId="0" xfId="0" applyBorder="1"/>
    <xf numFmtId="0" fontId="3" fillId="3" borderId="16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4" xfId="0" applyFill="1" applyBorder="1"/>
    <xf numFmtId="0" fontId="3" fillId="3" borderId="0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9" fontId="3" fillId="0" borderId="19" xfId="0" applyNumberFormat="1" applyFont="1" applyBorder="1" applyProtection="1">
      <protection locked="0"/>
    </xf>
    <xf numFmtId="1" fontId="0" fillId="7" borderId="0" xfId="0" applyNumberFormat="1" applyFill="1" applyBorder="1" applyAlignment="1">
      <alignment horizontal="center"/>
    </xf>
    <xf numFmtId="1" fontId="0" fillId="7" borderId="12" xfId="0" applyNumberFormat="1" applyFill="1" applyBorder="1" applyAlignment="1">
      <alignment horizontal="center"/>
    </xf>
    <xf numFmtId="0" fontId="0" fillId="0" borderId="0" xfId="0" applyProtection="1"/>
    <xf numFmtId="0" fontId="4" fillId="0" borderId="0" xfId="0" applyFont="1" applyProtection="1"/>
    <xf numFmtId="0" fontId="2" fillId="0" borderId="0" xfId="0" applyFont="1" applyProtection="1"/>
    <xf numFmtId="0" fontId="7" fillId="0" borderId="0" xfId="0" applyFont="1" applyBorder="1" applyAlignment="1" applyProtection="1">
      <alignment horizontal="center" vertical="center"/>
    </xf>
    <xf numFmtId="0" fontId="0" fillId="0" borderId="0" xfId="0" applyFill="1" applyBorder="1" applyProtection="1"/>
    <xf numFmtId="0" fontId="3" fillId="0" borderId="0" xfId="0" applyFont="1" applyBorder="1" applyProtection="1"/>
    <xf numFmtId="0" fontId="10" fillId="6" borderId="18" xfId="0" applyFont="1" applyFill="1" applyBorder="1" applyProtection="1"/>
    <xf numFmtId="0" fontId="10" fillId="0" borderId="0" xfId="0" applyFont="1" applyProtection="1"/>
    <xf numFmtId="0" fontId="0" fillId="3" borderId="3" xfId="0" applyFont="1" applyFill="1" applyBorder="1" applyAlignment="1" applyProtection="1">
      <alignment horizontal="left" vertical="center"/>
    </xf>
    <xf numFmtId="0" fontId="0" fillId="3" borderId="24" xfId="0" applyFont="1" applyFill="1" applyBorder="1" applyAlignment="1" applyProtection="1">
      <alignment horizontal="left" vertical="center"/>
    </xf>
    <xf numFmtId="0" fontId="0" fillId="7" borderId="25" xfId="0" applyFill="1" applyBorder="1" applyAlignment="1" applyProtection="1">
      <alignment horizontal="right"/>
    </xf>
    <xf numFmtId="0" fontId="0" fillId="7" borderId="25" xfId="0" applyFill="1" applyBorder="1" applyAlignment="1" applyProtection="1">
      <alignment horizontal="center"/>
    </xf>
    <xf numFmtId="0" fontId="0" fillId="7" borderId="25" xfId="0" applyFill="1" applyBorder="1" applyAlignment="1" applyProtection="1">
      <alignment horizontal="left"/>
    </xf>
    <xf numFmtId="0" fontId="0" fillId="3" borderId="23" xfId="0" applyFont="1" applyFill="1" applyBorder="1" applyAlignment="1" applyProtection="1">
      <alignment horizontal="left" vertical="center"/>
    </xf>
    <xf numFmtId="0" fontId="0" fillId="3" borderId="22" xfId="0" applyFont="1" applyFill="1" applyBorder="1" applyAlignment="1" applyProtection="1">
      <alignment horizontal="left" vertical="center"/>
    </xf>
    <xf numFmtId="0" fontId="0" fillId="7" borderId="0" xfId="0" applyFont="1" applyFill="1" applyBorder="1" applyAlignment="1" applyProtection="1">
      <alignment horizontal="right"/>
    </xf>
    <xf numFmtId="0" fontId="0" fillId="7" borderId="10" xfId="0" applyFill="1" applyBorder="1" applyAlignment="1" applyProtection="1">
      <alignment horizontal="center"/>
    </xf>
    <xf numFmtId="0" fontId="0" fillId="7" borderId="4" xfId="0" applyFont="1" applyFill="1" applyBorder="1" applyAlignment="1" applyProtection="1">
      <alignment horizontal="left"/>
    </xf>
    <xf numFmtId="1" fontId="0" fillId="7" borderId="0" xfId="0" applyNumberFormat="1" applyFont="1" applyFill="1" applyBorder="1" applyAlignment="1" applyProtection="1">
      <alignment horizontal="right"/>
    </xf>
    <xf numFmtId="1" fontId="0" fillId="7" borderId="0" xfId="0" applyNumberFormat="1" applyFill="1" applyBorder="1" applyAlignment="1" applyProtection="1">
      <alignment horizontal="center"/>
    </xf>
    <xf numFmtId="1" fontId="0" fillId="7" borderId="4" xfId="0" applyNumberFormat="1" applyFont="1" applyFill="1" applyBorder="1" applyAlignment="1" applyProtection="1">
      <alignment horizontal="left"/>
    </xf>
    <xf numFmtId="0" fontId="0" fillId="3" borderId="5" xfId="0" applyFont="1" applyFill="1" applyBorder="1" applyAlignment="1" applyProtection="1">
      <alignment horizontal="left"/>
    </xf>
    <xf numFmtId="1" fontId="0" fillId="7" borderId="12" xfId="0" applyNumberFormat="1" applyFill="1" applyBorder="1" applyAlignment="1" applyProtection="1">
      <alignment horizontal="right"/>
    </xf>
    <xf numFmtId="1" fontId="0" fillId="7" borderId="12" xfId="0" applyNumberFormat="1" applyFill="1" applyBorder="1" applyAlignment="1" applyProtection="1">
      <alignment horizontal="center"/>
    </xf>
    <xf numFmtId="1" fontId="0" fillId="7" borderId="6" xfId="0" applyNumberFormat="1" applyFill="1" applyBorder="1" applyAlignment="1" applyProtection="1">
      <alignment horizontal="left"/>
    </xf>
    <xf numFmtId="9" fontId="0" fillId="0" borderId="0" xfId="0" applyNumberFormat="1" applyAlignment="1">
      <alignment horizontal="center"/>
    </xf>
    <xf numFmtId="0" fontId="1" fillId="2" borderId="2" xfId="0" applyFont="1" applyFill="1" applyBorder="1"/>
    <xf numFmtId="0" fontId="3" fillId="3" borderId="4" xfId="0" applyFont="1" applyFill="1" applyBorder="1"/>
    <xf numFmtId="0" fontId="3" fillId="3" borderId="6" xfId="0" applyFont="1" applyFill="1" applyBorder="1"/>
    <xf numFmtId="1" fontId="0" fillId="7" borderId="3" xfId="0" applyNumberFormat="1" applyFill="1" applyBorder="1" applyAlignment="1">
      <alignment horizontal="center"/>
    </xf>
    <xf numFmtId="1" fontId="0" fillId="7" borderId="5" xfId="0" applyNumberFormat="1" applyFill="1" applyBorder="1" applyAlignment="1">
      <alignment horizontal="center"/>
    </xf>
    <xf numFmtId="1" fontId="0" fillId="7" borderId="16" xfId="0" applyNumberFormat="1" applyFill="1" applyBorder="1" applyAlignment="1">
      <alignment horizontal="center"/>
    </xf>
    <xf numFmtId="1" fontId="0" fillId="7" borderId="14" xfId="0" applyNumberFormat="1" applyFill="1" applyBorder="1" applyAlignment="1">
      <alignment horizontal="center"/>
    </xf>
    <xf numFmtId="1" fontId="0" fillId="7" borderId="13" xfId="0" applyNumberFormat="1" applyFill="1" applyBorder="1" applyAlignment="1">
      <alignment horizontal="center"/>
    </xf>
    <xf numFmtId="1" fontId="0" fillId="7" borderId="4" xfId="0" applyNumberFormat="1" applyFill="1" applyBorder="1" applyAlignment="1">
      <alignment horizontal="center"/>
    </xf>
    <xf numFmtId="1" fontId="0" fillId="7" borderId="27" xfId="0" applyNumberFormat="1" applyFill="1" applyBorder="1" applyAlignment="1">
      <alignment horizontal="center"/>
    </xf>
    <xf numFmtId="1" fontId="0" fillId="7" borderId="6" xfId="0" applyNumberForma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" fontId="3" fillId="3" borderId="16" xfId="0" applyNumberFormat="1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" fontId="3" fillId="3" borderId="13" xfId="0" applyNumberFormat="1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1" fontId="0" fillId="0" borderId="0" xfId="0" applyNumberFormat="1" applyBorder="1"/>
    <xf numFmtId="1" fontId="0" fillId="7" borderId="17" xfId="0" applyNumberFormat="1" applyFill="1" applyBorder="1" applyAlignment="1">
      <alignment horizontal="center"/>
    </xf>
    <xf numFmtId="1" fontId="0" fillId="7" borderId="15" xfId="0" applyNumberFormat="1" applyFill="1" applyBorder="1" applyAlignment="1">
      <alignment horizontal="center"/>
    </xf>
    <xf numFmtId="0" fontId="17" fillId="0" borderId="0" xfId="0" applyFont="1" applyProtection="1"/>
    <xf numFmtId="0" fontId="18" fillId="0" borderId="0" xfId="0" applyFont="1" applyProtection="1"/>
    <xf numFmtId="0" fontId="0" fillId="3" borderId="3" xfId="0" applyFill="1" applyBorder="1" applyAlignment="1" applyProtection="1">
      <alignment vertical="center"/>
    </xf>
    <xf numFmtId="0" fontId="3" fillId="8" borderId="4" xfId="0" applyFont="1" applyFill="1" applyBorder="1" applyAlignment="1" applyProtection="1">
      <alignment vertical="center"/>
      <protection locked="0"/>
    </xf>
    <xf numFmtId="0" fontId="0" fillId="3" borderId="5" xfId="0" applyFill="1" applyBorder="1" applyAlignment="1" applyProtection="1">
      <alignment vertical="center"/>
    </xf>
    <xf numFmtId="0" fontId="3" fillId="8" borderId="6" xfId="0" applyFont="1" applyFill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1" fillId="6" borderId="1" xfId="0" applyFont="1" applyFill="1" applyBorder="1" applyAlignment="1" applyProtection="1">
      <alignment horizontal="left" vertical="center"/>
    </xf>
    <xf numFmtId="0" fontId="1" fillId="6" borderId="3" xfId="0" applyFont="1" applyFill="1" applyBorder="1" applyAlignment="1" applyProtection="1">
      <alignment horizontal="left" vertical="center"/>
    </xf>
    <xf numFmtId="0" fontId="1" fillId="6" borderId="1" xfId="0" applyFont="1" applyFill="1" applyBorder="1" applyAlignment="1" applyProtection="1">
      <alignment horizontal="left"/>
    </xf>
    <xf numFmtId="0" fontId="1" fillId="6" borderId="2" xfId="0" applyFont="1" applyFill="1" applyBorder="1" applyAlignment="1" applyProtection="1">
      <alignment horizontal="left"/>
    </xf>
    <xf numFmtId="0" fontId="1" fillId="6" borderId="8" xfId="0" applyFont="1" applyFill="1" applyBorder="1" applyAlignment="1" applyProtection="1">
      <alignment horizontal="center"/>
    </xf>
    <xf numFmtId="0" fontId="1" fillId="6" borderId="0" xfId="0" applyFont="1" applyFill="1" applyBorder="1" applyAlignment="1" applyProtection="1">
      <alignment horizontal="center"/>
    </xf>
    <xf numFmtId="0" fontId="0" fillId="7" borderId="0" xfId="0" applyFont="1" applyFill="1" applyBorder="1" applyAlignment="1" applyProtection="1">
      <alignment horizontal="center"/>
    </xf>
    <xf numFmtId="0" fontId="0" fillId="7" borderId="21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0" fillId="7" borderId="25" xfId="0" applyFont="1" applyFill="1" applyBorder="1" applyAlignment="1" applyProtection="1">
      <alignment horizontal="center"/>
    </xf>
    <xf numFmtId="0" fontId="0" fillId="0" borderId="4" xfId="0" applyFont="1" applyFill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0" fillId="7" borderId="26" xfId="0" applyFont="1" applyFill="1" applyBorder="1" applyAlignment="1" applyProtection="1">
      <alignment horizontal="center"/>
    </xf>
    <xf numFmtId="1" fontId="0" fillId="7" borderId="0" xfId="0" applyNumberFormat="1" applyFill="1" applyBorder="1" applyAlignment="1" applyProtection="1">
      <alignment horizontal="center" vertical="center"/>
    </xf>
    <xf numFmtId="1" fontId="0" fillId="7" borderId="12" xfId="0" applyNumberFormat="1" applyFill="1" applyBorder="1" applyAlignment="1" applyProtection="1">
      <alignment horizontal="center" vertical="center"/>
    </xf>
    <xf numFmtId="1" fontId="0" fillId="7" borderId="0" xfId="0" applyNumberFormat="1" applyFont="1" applyFill="1" applyBorder="1" applyAlignment="1" applyProtection="1">
      <alignment horizontal="center" vertical="center"/>
    </xf>
    <xf numFmtId="1" fontId="0" fillId="7" borderId="12" xfId="0" applyNumberFormat="1" applyFont="1" applyFill="1" applyBorder="1" applyAlignment="1" applyProtection="1">
      <alignment horizontal="center" vertical="center"/>
    </xf>
    <xf numFmtId="0" fontId="0" fillId="7" borderId="4" xfId="0" applyFont="1" applyFill="1" applyBorder="1" applyAlignment="1" applyProtection="1">
      <alignment horizontal="center"/>
    </xf>
    <xf numFmtId="0" fontId="0" fillId="7" borderId="20" xfId="0" applyFont="1" applyFill="1" applyBorder="1" applyAlignment="1" applyProtection="1">
      <alignment horizontal="center"/>
    </xf>
    <xf numFmtId="0" fontId="0" fillId="7" borderId="10" xfId="0" applyFont="1" applyFill="1" applyBorder="1" applyAlignment="1" applyProtection="1">
      <alignment horizontal="center"/>
    </xf>
    <xf numFmtId="0" fontId="1" fillId="6" borderId="2" xfId="0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" fontId="3" fillId="3" borderId="13" xfId="0" applyNumberFormat="1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1" fontId="3" fillId="3" borderId="8" xfId="0" applyNumberFormat="1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0" fontId="16" fillId="4" borderId="7" xfId="1" applyFont="1" applyBorder="1" applyAlignment="1">
      <alignment horizontal="center" vertical="center" wrapText="1"/>
    </xf>
    <xf numFmtId="0" fontId="16" fillId="4" borderId="9" xfId="1" applyFont="1" applyBorder="1" applyAlignment="1">
      <alignment horizontal="center" vertical="center"/>
    </xf>
    <xf numFmtId="0" fontId="16" fillId="4" borderId="11" xfId="1" applyFont="1" applyBorder="1" applyAlignment="1">
      <alignment horizontal="center" vertical="center"/>
    </xf>
    <xf numFmtId="0" fontId="15" fillId="5" borderId="7" xfId="2" applyFont="1" applyBorder="1" applyAlignment="1">
      <alignment horizontal="center" vertical="center" wrapText="1"/>
    </xf>
    <xf numFmtId="0" fontId="15" fillId="5" borderId="9" xfId="2" applyFont="1" applyBorder="1" applyAlignment="1">
      <alignment horizontal="center" vertical="center" wrapText="1"/>
    </xf>
    <xf numFmtId="0" fontId="15" fillId="5" borderId="11" xfId="2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8">
    <dxf>
      <font>
        <color theme="4" tint="0.79998168889431442"/>
      </font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lor rgb="FFC00000"/>
      </font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381001</xdr:colOff>
      <xdr:row>22</xdr:row>
      <xdr:rowOff>19050</xdr:rowOff>
    </xdr:from>
    <xdr:to>
      <xdr:col>1</xdr:col>
      <xdr:colOff>2990938</xdr:colOff>
      <xdr:row>23</xdr:row>
      <xdr:rowOff>908550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1" y="4343400"/>
          <a:ext cx="3219537" cy="1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showGridLines="0" topLeftCell="A10" zoomScaleNormal="100" workbookViewId="0">
      <selection activeCell="C10" sqref="C10"/>
    </sheetView>
  </sheetViews>
  <sheetFormatPr defaultColWidth="9.109375" defaultRowHeight="14.4" x14ac:dyDescent="0.3"/>
  <cols>
    <col min="1" max="1" width="9.109375" style="19"/>
    <col min="2" max="2" width="64.6640625" style="19" customWidth="1"/>
    <col min="3" max="3" width="9" style="19" customWidth="1"/>
    <col min="4" max="4" width="3.33203125" style="19" customWidth="1"/>
    <col min="5" max="5" width="8.6640625" style="19" customWidth="1"/>
    <col min="6" max="6" width="8.33203125" style="19" customWidth="1"/>
    <col min="7" max="7" width="1.5546875" style="19" customWidth="1"/>
    <col min="8" max="8" width="8.33203125" style="19" customWidth="1"/>
    <col min="9" max="9" width="9" style="19" customWidth="1"/>
    <col min="10" max="10" width="2.33203125" style="19" customWidth="1"/>
    <col min="11" max="11" width="9.33203125" style="19" customWidth="1"/>
    <col min="12" max="16384" width="9.109375" style="19"/>
  </cols>
  <sheetData>
    <row r="1" spans="1:11" ht="18" x14ac:dyDescent="0.35">
      <c r="B1" s="20" t="s">
        <v>27</v>
      </c>
    </row>
    <row r="2" spans="1:11" x14ac:dyDescent="0.3">
      <c r="B2" s="85" t="s">
        <v>57</v>
      </c>
      <c r="C2" s="85"/>
      <c r="D2" s="85"/>
      <c r="E2" s="85"/>
      <c r="F2" s="85"/>
      <c r="G2" s="85"/>
      <c r="H2" s="85"/>
      <c r="I2" s="85"/>
      <c r="J2" s="85"/>
      <c r="K2" s="85"/>
    </row>
    <row r="3" spans="1:11" x14ac:dyDescent="0.3">
      <c r="B3" s="19" t="s">
        <v>58</v>
      </c>
    </row>
    <row r="4" spans="1:11" ht="15" thickBot="1" x14ac:dyDescent="0.35"/>
    <row r="5" spans="1:11" ht="15" customHeight="1" x14ac:dyDescent="0.3">
      <c r="A5" s="70" t="s">
        <v>0</v>
      </c>
      <c r="B5" s="74" t="s">
        <v>28</v>
      </c>
      <c r="C5" s="75"/>
    </row>
    <row r="6" spans="1:11" ht="15" customHeight="1" x14ac:dyDescent="1.65">
      <c r="A6" s="70"/>
      <c r="B6" s="66" t="s">
        <v>54</v>
      </c>
      <c r="C6" s="67">
        <v>2000</v>
      </c>
      <c r="D6" s="21" t="s">
        <v>1</v>
      </c>
      <c r="I6" s="64" t="s">
        <v>53</v>
      </c>
    </row>
    <row r="7" spans="1:11" ht="15.75" customHeight="1" thickBot="1" x14ac:dyDescent="0.35">
      <c r="A7" s="71"/>
      <c r="B7" s="68" t="s">
        <v>2</v>
      </c>
      <c r="C7" s="69">
        <v>200</v>
      </c>
      <c r="D7" s="21" t="s">
        <v>3</v>
      </c>
    </row>
    <row r="8" spans="1:11" ht="16.5" customHeight="1" thickBot="1" x14ac:dyDescent="0.35">
      <c r="A8" s="22"/>
      <c r="B8" s="23"/>
      <c r="C8" s="24"/>
      <c r="D8" s="21"/>
    </row>
    <row r="9" spans="1:11" ht="16.5" customHeight="1" thickBot="1" x14ac:dyDescent="0.35">
      <c r="A9" s="22"/>
      <c r="B9" s="25" t="s">
        <v>26</v>
      </c>
      <c r="C9" s="16">
        <v>0.25</v>
      </c>
      <c r="D9" s="26" t="s">
        <v>52</v>
      </c>
    </row>
    <row r="10" spans="1:11" ht="16.5" customHeight="1" thickBot="1" x14ac:dyDescent="0.35">
      <c r="A10" s="22"/>
      <c r="B10" s="23"/>
      <c r="C10" s="24"/>
      <c r="D10" s="21"/>
    </row>
    <row r="11" spans="1:11" x14ac:dyDescent="0.3">
      <c r="B11" s="72" t="s">
        <v>4</v>
      </c>
      <c r="C11" s="76" t="s">
        <v>5</v>
      </c>
      <c r="D11" s="76"/>
      <c r="E11" s="76"/>
      <c r="F11" s="76" t="s">
        <v>6</v>
      </c>
      <c r="G11" s="76"/>
      <c r="H11" s="76"/>
      <c r="I11" s="76" t="s">
        <v>7</v>
      </c>
      <c r="J11" s="76"/>
      <c r="K11" s="94"/>
    </row>
    <row r="12" spans="1:11" x14ac:dyDescent="0.3">
      <c r="B12" s="73"/>
      <c r="C12" s="77" t="s">
        <v>8</v>
      </c>
      <c r="D12" s="77"/>
      <c r="E12" s="77"/>
      <c r="F12" s="77" t="s">
        <v>9</v>
      </c>
      <c r="G12" s="77"/>
      <c r="H12" s="77"/>
      <c r="I12" s="77" t="s">
        <v>9</v>
      </c>
      <c r="J12" s="77"/>
      <c r="K12" s="95"/>
    </row>
    <row r="13" spans="1:11" x14ac:dyDescent="0.3">
      <c r="B13" s="27" t="s">
        <v>10</v>
      </c>
      <c r="C13" s="80" t="str">
        <f>IF(Current_Users&gt;STANDARD_USERS,C_NO,C_YES)</f>
        <v>Yes</v>
      </c>
      <c r="D13" s="80"/>
      <c r="E13" s="80"/>
      <c r="F13" s="80" t="str">
        <f>IF(Current_Users&gt;HI_USERS,C_NO,C_YES)</f>
        <v>Yes</v>
      </c>
      <c r="G13" s="80"/>
      <c r="H13" s="80"/>
      <c r="I13" s="80" t="str">
        <f>I14</f>
        <v>Yes</v>
      </c>
      <c r="J13" s="80"/>
      <c r="K13" s="83"/>
    </row>
    <row r="14" spans="1:11" x14ac:dyDescent="0.3">
      <c r="B14" s="27" t="s">
        <v>11</v>
      </c>
      <c r="C14" s="81" t="str">
        <f>IF(Future_Users&gt;STANDARD_USERS,C_NO,C_YES)</f>
        <v>No</v>
      </c>
      <c r="D14" s="81"/>
      <c r="E14" s="81"/>
      <c r="F14" s="81" t="str">
        <f>IF(Future_Users&gt;HI_USERS,C_NO,C_YES)</f>
        <v>Yes</v>
      </c>
      <c r="G14" s="81"/>
      <c r="H14" s="81"/>
      <c r="I14" s="81" t="str">
        <f>IF(Future_Users&gt;STANDARD_USERS,C_YES,C_NO)</f>
        <v>Yes</v>
      </c>
      <c r="J14" s="81"/>
      <c r="K14" s="84"/>
    </row>
    <row r="15" spans="1:11" x14ac:dyDescent="0.3">
      <c r="B15" s="27" t="s">
        <v>12</v>
      </c>
      <c r="C15" s="81" t="str">
        <f>IF((COUNTIF(C13:C14,C_YES)&gt;1),C_YES,C_NO)</f>
        <v>No</v>
      </c>
      <c r="D15" s="81"/>
      <c r="E15" s="81"/>
      <c r="F15" s="81" t="str">
        <f>IF((COUNTIF(F13:F14,C_YES)&gt;1),C_YES,C_NO)</f>
        <v>Yes</v>
      </c>
      <c r="G15" s="81"/>
      <c r="H15" s="81"/>
      <c r="I15" s="81" t="str">
        <f>IF((COUNTIF(I13:I14,C_YES)&gt;0),C_YES,C_NO)</f>
        <v>Yes</v>
      </c>
      <c r="J15" s="81"/>
      <c r="K15" s="84"/>
    </row>
    <row r="16" spans="1:11" x14ac:dyDescent="0.3">
      <c r="B16" s="28" t="s">
        <v>42</v>
      </c>
      <c r="C16" s="29" t="str">
        <f>IF(C13=C_YES,(IF(Current_Users&gt;LO_USERS,"Standard","Low-End")),"")</f>
        <v>Low-End</v>
      </c>
      <c r="D16" s="30" t="str">
        <f>IF(E16="","","-")</f>
        <v/>
      </c>
      <c r="E16" s="31" t="str">
        <f>IF(C14=C_YES,(IF(Future_Users&gt;LO_USERS,"Standard","Low-End")),"")</f>
        <v/>
      </c>
      <c r="F16" s="82" t="str">
        <f>IF((COUNTIF(F13:F14,C_YES)&gt;0),"High-End","")</f>
        <v>High-End</v>
      </c>
      <c r="G16" s="82"/>
      <c r="H16" s="82"/>
      <c r="I16" s="82" t="str">
        <f>IF((COUNTIF(F13:F14,C_YES)&gt;0),"Scale Unit","")</f>
        <v>Scale Unit</v>
      </c>
      <c r="J16" s="82"/>
      <c r="K16" s="86"/>
    </row>
    <row r="17" spans="2:11" x14ac:dyDescent="0.3">
      <c r="B17" s="32" t="s">
        <v>40</v>
      </c>
      <c r="C17" s="78">
        <f>IF(C13=C_YES,(IF(Current_Users&gt;LO_USERS,STANDARD_TPC,LO_TPC)),"")</f>
        <v>5</v>
      </c>
      <c r="D17" s="78"/>
      <c r="E17" s="78"/>
      <c r="F17" s="78">
        <f>IF(F13=C_YES,HIGH_TPC,"")</f>
        <v>75</v>
      </c>
      <c r="G17" s="78"/>
      <c r="H17" s="78"/>
      <c r="I17" s="78">
        <f>IF(I13=C_YES,SCALE_TPC,"")</f>
        <v>75</v>
      </c>
      <c r="J17" s="78"/>
      <c r="K17" s="91"/>
    </row>
    <row r="18" spans="2:11" x14ac:dyDescent="0.3">
      <c r="B18" s="33" t="s">
        <v>41</v>
      </c>
      <c r="C18" s="79">
        <f>IF(C13=C_YES,(IF(Future_Users&gt;LO_USERS,STANDARD_TPC,LO_TPC)),"")</f>
        <v>10</v>
      </c>
      <c r="D18" s="79"/>
      <c r="E18" s="79"/>
      <c r="F18" s="78">
        <f>IF(F14=C_YES,HIGH_TPC,"")</f>
        <v>75</v>
      </c>
      <c r="G18" s="78"/>
      <c r="H18" s="78"/>
      <c r="I18" s="79">
        <f>IF(I14=C_YES,SCALE_TPC,"")</f>
        <v>75</v>
      </c>
      <c r="J18" s="79"/>
      <c r="K18" s="92"/>
    </row>
    <row r="19" spans="2:11" x14ac:dyDescent="0.3">
      <c r="B19" s="27" t="s">
        <v>38</v>
      </c>
      <c r="C19" s="93">
        <f>IF((COUNTIF(C13:C14,C_YES)&gt;0),1,"")</f>
        <v>1</v>
      </c>
      <c r="D19" s="93"/>
      <c r="E19" s="93"/>
      <c r="F19" s="93">
        <f>IF((COUNTIF(F13:F14,C_YES)&gt;0),1,"")</f>
        <v>1</v>
      </c>
      <c r="G19" s="93"/>
      <c r="H19" s="93"/>
      <c r="I19" s="34">
        <f>IF(I13=C_YES,ROUNDUP(I20/SCALE_RPS,0),"")</f>
        <v>1</v>
      </c>
      <c r="J19" s="35" t="str">
        <f>IF(K19&lt;&gt;"","-","")</f>
        <v>-</v>
      </c>
      <c r="K19" s="36">
        <f>IF(I14=C_YES,ROUNDUP(K20/SCALE_RPS,0),"")</f>
        <v>1</v>
      </c>
    </row>
    <row r="20" spans="2:11" x14ac:dyDescent="0.3">
      <c r="B20" s="27" t="s">
        <v>43</v>
      </c>
      <c r="C20" s="87">
        <f>IF(C13=C_YES,(IF(Current_Users&gt;LO_USERS,Current_Users*STANDARD_FACTOR,Current_Users*LO_FACTOR)),"")</f>
        <v>35</v>
      </c>
      <c r="D20" s="87" t="str">
        <f>IF(E20&lt;&gt;"","-","")</f>
        <v/>
      </c>
      <c r="E20" s="87" t="str">
        <f>IF(C14=C_YES,(IF(Future_Users&gt;LO_USERS,Future_Users*STANDARD_FACTOR,Future_Users*LO_FACTOR)),"")</f>
        <v/>
      </c>
      <c r="F20" s="89">
        <f>IF(F13=C_YES,Current_Users*HI_FACTOR,"")</f>
        <v>45</v>
      </c>
      <c r="G20" s="87" t="str">
        <f>IF(H20&lt;&gt;"","-","")</f>
        <v>-</v>
      </c>
      <c r="H20" s="89">
        <f>IF(F14=C_YES,Future_Users*HI_FACTOR,"")</f>
        <v>450</v>
      </c>
      <c r="I20" s="37">
        <f>IF(I13=C_YES,Current_Users*SCALE_FACTOR,"")</f>
        <v>52.5</v>
      </c>
      <c r="J20" s="38" t="str">
        <f>IF(K20&lt;&gt;"","-","")</f>
        <v>-</v>
      </c>
      <c r="K20" s="39">
        <f>IF(I13=C_YES,Future_Users*HI_FACTOR,"")</f>
        <v>450</v>
      </c>
    </row>
    <row r="21" spans="2:11" ht="15" thickBot="1" x14ac:dyDescent="0.35">
      <c r="B21" s="40" t="s">
        <v>37</v>
      </c>
      <c r="C21" s="88"/>
      <c r="D21" s="88"/>
      <c r="E21" s="88"/>
      <c r="F21" s="90"/>
      <c r="G21" s="88"/>
      <c r="H21" s="90"/>
      <c r="I21" s="41">
        <f>IF(I13=C_YES,I20/I19,"")</f>
        <v>52.5</v>
      </c>
      <c r="J21" s="42" t="str">
        <f>IF(K21&lt;&gt;"","-","")</f>
        <v>-</v>
      </c>
      <c r="K21" s="43">
        <f>IF(I14=C_YES,K20/K19,"")</f>
        <v>450</v>
      </c>
    </row>
    <row r="24" spans="2:11" ht="91.8" x14ac:dyDescent="1.65">
      <c r="B24" s="65"/>
    </row>
  </sheetData>
  <mergeCells count="35">
    <mergeCell ref="B2:K2"/>
    <mergeCell ref="I16:K16"/>
    <mergeCell ref="F17:H17"/>
    <mergeCell ref="F18:H18"/>
    <mergeCell ref="C20:C21"/>
    <mergeCell ref="D20:D21"/>
    <mergeCell ref="E20:E21"/>
    <mergeCell ref="F20:F21"/>
    <mergeCell ref="G20:G21"/>
    <mergeCell ref="H20:H21"/>
    <mergeCell ref="I17:K17"/>
    <mergeCell ref="I18:K18"/>
    <mergeCell ref="C19:E19"/>
    <mergeCell ref="F19:H19"/>
    <mergeCell ref="I11:K11"/>
    <mergeCell ref="I12:K12"/>
    <mergeCell ref="I13:K13"/>
    <mergeCell ref="I14:K14"/>
    <mergeCell ref="I15:K15"/>
    <mergeCell ref="C14:E14"/>
    <mergeCell ref="C15:E15"/>
    <mergeCell ref="C17:E17"/>
    <mergeCell ref="C18:E18"/>
    <mergeCell ref="F11:H11"/>
    <mergeCell ref="F12:H12"/>
    <mergeCell ref="F13:H13"/>
    <mergeCell ref="F14:H14"/>
    <mergeCell ref="F15:H15"/>
    <mergeCell ref="F16:H16"/>
    <mergeCell ref="C13:E13"/>
    <mergeCell ref="A5:A7"/>
    <mergeCell ref="B11:B12"/>
    <mergeCell ref="B5:C5"/>
    <mergeCell ref="C11:E11"/>
    <mergeCell ref="C12:E12"/>
  </mergeCells>
  <conditionalFormatting sqref="D6">
    <cfRule type="expression" dxfId="7" priority="13">
      <formula>$C$6&gt;=$C$7</formula>
    </cfRule>
  </conditionalFormatting>
  <conditionalFormatting sqref="D7:D8 D10">
    <cfRule type="expression" dxfId="6" priority="12">
      <formula>$C$7&lt;=$C$6</formula>
    </cfRule>
  </conditionalFormatting>
  <conditionalFormatting sqref="C13:C15 F13:F16 I13:I16">
    <cfRule type="cellIs" dxfId="5" priority="2" operator="equal">
      <formula>"No"</formula>
    </cfRule>
    <cfRule type="cellIs" dxfId="4" priority="3" operator="equal">
      <formula>"Yes"</formula>
    </cfRule>
  </conditionalFormatting>
  <conditionalFormatting sqref="D9">
    <cfRule type="expression" dxfId="3" priority="1">
      <formula>$C$9&gt;0</formula>
    </cfRule>
  </conditionalFormatting>
  <pageMargins left="0.7" right="0.7" top="0.75" bottom="0.75" header="0.3" footer="0.3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F75BAADF-8223-46E4-87B6-F7E6751E90F5}">
            <xm:f>Constants!#REF!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" operator="equal" id="{845F576B-1C92-40E3-9704-C9B159C119F7}">
            <xm:f>Constants!#REF!</xm:f>
            <x14:dxf>
              <fill>
                <patternFill>
                  <bgColor theme="6" tint="0.39994506668294322"/>
                </patternFill>
              </fill>
            </x14:dxf>
          </x14:cfRule>
          <xm:sqref>C13:C15 F13:F16 I13:I16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2"/>
  <sheetViews>
    <sheetView tabSelected="1" zoomScaleNormal="100" workbookViewId="0">
      <selection activeCell="B5" sqref="B5:B17"/>
    </sheetView>
  </sheetViews>
  <sheetFormatPr defaultRowHeight="14.4" x14ac:dyDescent="0.3"/>
  <cols>
    <col min="2" max="2" width="20.33203125" customWidth="1"/>
    <col min="3" max="3" width="67.6640625" customWidth="1"/>
    <col min="4" max="4" width="14.88671875" customWidth="1"/>
    <col min="5" max="5" width="17.44140625" customWidth="1"/>
  </cols>
  <sheetData>
    <row r="1" spans="2:13" ht="18" x14ac:dyDescent="0.35">
      <c r="B1" s="1" t="s">
        <v>27</v>
      </c>
    </row>
    <row r="2" spans="2:13" x14ac:dyDescent="0.3">
      <c r="B2" s="116" t="str">
        <f>'Server Scenarios'!B2:K2</f>
        <v>Version 2012.02.24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2:13" x14ac:dyDescent="0.3">
      <c r="B3" t="s">
        <v>23</v>
      </c>
    </row>
    <row r="4" spans="2:13" ht="15" thickBot="1" x14ac:dyDescent="0.35"/>
    <row r="5" spans="2:13" x14ac:dyDescent="0.3">
      <c r="B5" s="110" t="s">
        <v>55</v>
      </c>
      <c r="C5" s="2" t="s">
        <v>24</v>
      </c>
      <c r="D5" s="96" t="s">
        <v>5</v>
      </c>
      <c r="E5" s="97"/>
      <c r="F5" s="96" t="s">
        <v>6</v>
      </c>
      <c r="G5" s="98"/>
      <c r="H5" s="98"/>
      <c r="I5" s="98"/>
      <c r="J5" s="96" t="s">
        <v>7</v>
      </c>
      <c r="K5" s="98"/>
      <c r="L5" s="98"/>
      <c r="M5" s="97"/>
    </row>
    <row r="6" spans="2:13" x14ac:dyDescent="0.3">
      <c r="B6" s="111"/>
      <c r="C6" s="3"/>
      <c r="D6" s="14" t="s">
        <v>13</v>
      </c>
      <c r="E6" s="7" t="s">
        <v>14</v>
      </c>
      <c r="F6" s="99" t="s">
        <v>13</v>
      </c>
      <c r="G6" s="100"/>
      <c r="H6" s="101" t="s">
        <v>14</v>
      </c>
      <c r="I6" s="100"/>
      <c r="J6" s="99" t="s">
        <v>13</v>
      </c>
      <c r="K6" s="100"/>
      <c r="L6" s="101" t="s">
        <v>14</v>
      </c>
      <c r="M6" s="102"/>
    </row>
    <row r="7" spans="2:13" x14ac:dyDescent="0.3">
      <c r="B7" s="111"/>
      <c r="C7" s="3"/>
      <c r="D7" s="14" t="s">
        <v>8</v>
      </c>
      <c r="E7" s="7" t="s">
        <v>8</v>
      </c>
      <c r="F7" s="14" t="s">
        <v>15</v>
      </c>
      <c r="G7" s="11" t="s">
        <v>16</v>
      </c>
      <c r="H7" s="12" t="s">
        <v>15</v>
      </c>
      <c r="I7" s="11" t="s">
        <v>16</v>
      </c>
      <c r="J7" s="14" t="s">
        <v>15</v>
      </c>
      <c r="K7" s="11" t="s">
        <v>16</v>
      </c>
      <c r="L7" s="12" t="s">
        <v>15</v>
      </c>
      <c r="M7" s="13" t="s">
        <v>16</v>
      </c>
    </row>
    <row r="8" spans="2:13" x14ac:dyDescent="0.3">
      <c r="B8" s="111"/>
      <c r="C8" s="4" t="s">
        <v>17</v>
      </c>
      <c r="D8" s="48">
        <f>IF(SINGLE_CURRENT_OK=C_YES,(IF(Current_Users&gt;LO_USERS,STANDARD_CORE_AT,LO_CORE_AT)),0)</f>
        <v>1</v>
      </c>
      <c r="E8" s="50">
        <f>IFD8+D8*VIRTUAL_PERCENTAGE</f>
        <v>0.2</v>
      </c>
      <c r="F8" s="48">
        <f>IF(DUAL_CURRENT_OK=C_YES,(IF(Current_Users&gt;MEDIUM_USERS,HI_CORE_AT,MEDIUM_CORE_AT)),0)</f>
        <v>2</v>
      </c>
      <c r="G8" s="51">
        <f>IF(DUAL_CURRENT_OK=C_YES,(IF(Current_Users&gt;MEDIUM_USERS,HI_CORE_DT,MEDIUM_CORE_DT)),0)</f>
        <v>4</v>
      </c>
      <c r="H8" s="52">
        <f>F8+F8*VIRTUAL_PERCENTAGE</f>
        <v>2.4</v>
      </c>
      <c r="I8" s="17">
        <f>IF(G8&lt;&gt;"",ROUNDUP(G8+G8*VIRTUAL_PERCENTAGE,0),0)</f>
        <v>5</v>
      </c>
      <c r="J8" s="48">
        <f>IF(SCALE_CURRENT_OK=C_YES,SCALE_CORE_AT,0)</f>
        <v>2</v>
      </c>
      <c r="K8" s="51">
        <f>IF(SCALE_CURRENT_OK=C_YES,(IF(Current_Users&gt;MEDIUM_USERS,HI_CORE_DT,HI_CORE_DT)),0)</f>
        <v>8</v>
      </c>
      <c r="L8" s="52">
        <f>J8+J8*VIRTUAL_PERCENTAGE</f>
        <v>2.4</v>
      </c>
      <c r="M8" s="53">
        <f>IF(K8&lt;&gt;"",ROUNDUP(K8+K8*VIRTUAL_PERCENTAGE,0),0)</f>
        <v>10</v>
      </c>
    </row>
    <row r="9" spans="2:13" x14ac:dyDescent="0.3">
      <c r="B9" s="111"/>
      <c r="C9" s="4" t="s">
        <v>18</v>
      </c>
      <c r="D9" s="48">
        <f>IF(SINGLE_CURRENT_OK=C_YES,(IF(Current_Users&gt;LO_USERS,STANDARD_RAM_AT,LO_RAM_AT)),0)</f>
        <v>2</v>
      </c>
      <c r="E9" s="50">
        <f>D9+D9*VIRTUAL_PERCENTAGE</f>
        <v>2.4</v>
      </c>
      <c r="F9" s="48">
        <f>IF(DUAL_CURRENT_OK=C_YES,(IF(Current_Users&gt;MEDIUM_USERS,HI_RAM_AT,MEDIUM_RAM_AT)),0)</f>
        <v>4</v>
      </c>
      <c r="G9" s="51">
        <f>IF(DUAL_CURRENT_OK=C_YES,(IF(Current_Users&gt;MEDIUM_USERS,HI_RAM_DT,MEDIUM_RAM_DT)),0)</f>
        <v>8</v>
      </c>
      <c r="H9" s="52">
        <f>F9+F9*VIRTUAL_PERCENTAGE</f>
        <v>4.8</v>
      </c>
      <c r="I9" s="17">
        <f>IF(G9&lt;&gt;"",ROUNDUP(G9+G9*VIRTUAL_PERCENTAGE,0),0)</f>
        <v>10</v>
      </c>
      <c r="J9" s="48">
        <f>IF(SCALE_CURRENT_OK=C_YES,SCALE_RAM_AT,0)</f>
        <v>4</v>
      </c>
      <c r="K9" s="51">
        <f>IF(SCALE_CURRENT_OK=C_YES,(IF(Current_Users&gt;MEDIUM_USERS,HI_RAM_DT,HI_RAM_DT)),0)</f>
        <v>16</v>
      </c>
      <c r="L9" s="52">
        <f>J9+J9*VIRTUAL_PERCENTAGE</f>
        <v>4.8</v>
      </c>
      <c r="M9" s="53">
        <f>IF(K9&lt;&gt;"",ROUNDUP(K9+K9*VIRTUAL_PERCENTAGE,0),0)</f>
        <v>20</v>
      </c>
    </row>
    <row r="10" spans="2:13" ht="15" thickBot="1" x14ac:dyDescent="0.35">
      <c r="B10" s="111"/>
      <c r="C10" s="5" t="s">
        <v>19</v>
      </c>
      <c r="D10" s="49">
        <f>IF(SINGLE_CURRENT_OK=C_YES,(IF(Current_Users&gt;LO_USERS,STANDARD_DISK_AT,LO_DISK_AT)),0)</f>
        <v>125</v>
      </c>
      <c r="E10" s="62">
        <f>D10+D10*VIRTUAL_PERCENTAGE</f>
        <v>150</v>
      </c>
      <c r="F10" s="49">
        <f>IF(DUAL_CURRENT_OK=C_YES,(IF(Current_Users&gt;MEDIUM_USERS,HI_DISK_AT,MEDIUM_DISK_AT)),0)</f>
        <v>500</v>
      </c>
      <c r="G10" s="54">
        <f>IF(DUAL_CURRENT_OK=C_YES,(IF(Current_Users&gt;MEDIUM_USERS,HI_DISK_DT,MEDIUM_DISK_DT)),0)</f>
        <v>2000</v>
      </c>
      <c r="H10" s="63">
        <f>F10+F10*VIRTUAL_PERCENTAGE</f>
        <v>600</v>
      </c>
      <c r="I10" s="18">
        <f>IF(G10&lt;&gt;"",ROUNDUP(G10+G10*VIRTUAL_PERCENTAGE,0),0)</f>
        <v>2400</v>
      </c>
      <c r="J10" s="49">
        <f>IF(SCALE_CURRENT_OK=C_YES,SCALE_DISK_AT,0)</f>
        <v>500</v>
      </c>
      <c r="K10" s="54">
        <f>IF(SCALE_CURRENT_OK=C_YES,(IF(Current_Users&gt;MEDIUM_USERS,HI_DISK_DT,HI_DISK_DT)),0)</f>
        <v>3000</v>
      </c>
      <c r="L10" s="63">
        <f>J10+J10*VIRTUAL_PERCENTAGE</f>
        <v>600</v>
      </c>
      <c r="M10" s="55">
        <f>IF(K10&lt;&gt;"",ROUNDUP(K10+K10*VIRTUAL_PERCENTAGE,0),0)</f>
        <v>3600</v>
      </c>
    </row>
    <row r="11" spans="2:13" ht="15" thickBot="1" x14ac:dyDescent="0.35">
      <c r="B11" s="111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2:13" x14ac:dyDescent="0.3">
      <c r="B12" s="111"/>
      <c r="C12" s="45" t="s">
        <v>25</v>
      </c>
      <c r="D12" s="105" t="s">
        <v>5</v>
      </c>
      <c r="E12" s="106"/>
      <c r="F12" s="105" t="s">
        <v>6</v>
      </c>
      <c r="G12" s="107"/>
      <c r="H12" s="107"/>
      <c r="I12" s="107"/>
      <c r="J12" s="105" t="s">
        <v>7</v>
      </c>
      <c r="K12" s="107"/>
      <c r="L12" s="107"/>
      <c r="M12" s="106"/>
    </row>
    <row r="13" spans="2:13" x14ac:dyDescent="0.3">
      <c r="B13" s="111"/>
      <c r="C13" s="10"/>
      <c r="D13" s="56" t="s">
        <v>13</v>
      </c>
      <c r="E13" s="57" t="s">
        <v>14</v>
      </c>
      <c r="F13" s="108" t="s">
        <v>13</v>
      </c>
      <c r="G13" s="109"/>
      <c r="H13" s="103" t="s">
        <v>14</v>
      </c>
      <c r="I13" s="109"/>
      <c r="J13" s="108" t="s">
        <v>13</v>
      </c>
      <c r="K13" s="109"/>
      <c r="L13" s="103" t="s">
        <v>14</v>
      </c>
      <c r="M13" s="104"/>
    </row>
    <row r="14" spans="2:13" x14ac:dyDescent="0.3">
      <c r="B14" s="111"/>
      <c r="C14" s="10"/>
      <c r="D14" s="56" t="s">
        <v>8</v>
      </c>
      <c r="E14" s="57" t="s">
        <v>8</v>
      </c>
      <c r="F14" s="56" t="s">
        <v>15</v>
      </c>
      <c r="G14" s="58" t="s">
        <v>16</v>
      </c>
      <c r="H14" s="59" t="s">
        <v>15</v>
      </c>
      <c r="I14" s="58" t="s">
        <v>16</v>
      </c>
      <c r="J14" s="56" t="s">
        <v>15</v>
      </c>
      <c r="K14" s="58" t="s">
        <v>16</v>
      </c>
      <c r="L14" s="59" t="s">
        <v>15</v>
      </c>
      <c r="M14" s="60" t="s">
        <v>16</v>
      </c>
    </row>
    <row r="15" spans="2:13" x14ac:dyDescent="0.3">
      <c r="B15" s="111"/>
      <c r="C15" s="46" t="s">
        <v>17</v>
      </c>
      <c r="D15" s="48">
        <f>IF(SINGLE_FUTURE_OK=C_YES,(IF(Future_Users&gt;LO_USERS,STANDARD_CORE_AT,LO_CORE_AT)),0)</f>
        <v>0</v>
      </c>
      <c r="E15" s="50">
        <f>D15+D15*VIRTUAL_PERCENTAGE</f>
        <v>0</v>
      </c>
      <c r="F15" s="48">
        <f>IF(DUAL_FUTURE_OK=C_YES,(IF(Future_Users&gt;MEDIUM_USERS,HI_CORE_AT,MEDIUM_CORE_AT)),0)</f>
        <v>2</v>
      </c>
      <c r="G15" s="51">
        <f>IF(DUAL_FUTURE_OK=C_YES,(IF(Future_Users&gt;MEDIUM_USERS,HI_CORE_DT,MEDIUM_CORE_DT)),0)</f>
        <v>4</v>
      </c>
      <c r="H15" s="52">
        <f>F15+F15*VIRTUAL_PERCENTAGE</f>
        <v>2.4</v>
      </c>
      <c r="I15" s="17">
        <f>IF(G15&lt;&gt;"",ROUNDUP(G15+G15*VIRTUAL_PERCENTAGE,0),0)</f>
        <v>5</v>
      </c>
      <c r="J15" s="48">
        <f>IF(SCALE_FUTURE_OK=C_YES,SCALE_CORE_AT,0)</f>
        <v>2</v>
      </c>
      <c r="K15" s="51">
        <f>IF(SCALE_FUTURE_OK=C_YES,(IF(Future_Users&gt;MEDIUM_USERS,HI_CORE_DT,MEDIUM_CORE_DT)),0)</f>
        <v>4</v>
      </c>
      <c r="L15" s="52">
        <f>J15+J15*VIRTUAL_PERCENTAGE</f>
        <v>2.4</v>
      </c>
      <c r="M15" s="53">
        <f>IF(K15&lt;&gt;"",ROUNDUP(K15+K15*VIRTUAL_PERCENTAGE,0),0)</f>
        <v>5</v>
      </c>
    </row>
    <row r="16" spans="2:13" x14ac:dyDescent="0.3">
      <c r="B16" s="111"/>
      <c r="C16" s="46" t="s">
        <v>20</v>
      </c>
      <c r="D16" s="48">
        <f>IF(SINGLE_FUTURE_OK=C_YES,(IF(Future_Users&gt;LO_USERS,STANDARD_RAM_AT,LO_RAM_AT)),0)</f>
        <v>0</v>
      </c>
      <c r="E16" s="50">
        <f>D16+D16*VIRTUAL_PERCENTAGE</f>
        <v>0</v>
      </c>
      <c r="F16" s="48">
        <f>IF(DUAL_FUTURE_OK=C_YES,(IF(Future_Users&gt;MEDIUM_USERS,HI_RAM_AT,MEDIUM_RAM_AT)),0)</f>
        <v>4</v>
      </c>
      <c r="G16" s="51">
        <f>IF(DUAL_FUTURE_OK=C_YES,(IF(Future_Users&gt;MEDIUM_USERS,HI_RAM_DT,MEDIUM_RAM_DT)),0)</f>
        <v>8</v>
      </c>
      <c r="H16" s="52">
        <f>F16+F16*VIRTUAL_PERCENTAGE</f>
        <v>4.8</v>
      </c>
      <c r="I16" s="17">
        <f>IF(G16&lt;&gt;"",ROUNDUP(G16+G16*VIRTUAL_PERCENTAGE,0),0)</f>
        <v>10</v>
      </c>
      <c r="J16" s="48">
        <f>IF(SCALE_FUTURE_OK=C_YES,SCALE_RAM_AT,0)</f>
        <v>4</v>
      </c>
      <c r="K16" s="51">
        <f>IF(SCALE_FUTURE_OK=C_YES,(IF(Future_Users&gt;MEDIUM_USERS,HI_RAM_DT,MEDIUM_RAM_DT)),0)</f>
        <v>8</v>
      </c>
      <c r="L16" s="52">
        <f>J16+J16*VIRTUAL_PERCENTAGE</f>
        <v>4.8</v>
      </c>
      <c r="M16" s="53">
        <f>IF(K16&lt;&gt;"",ROUNDUP(K16+K16*VIRTUAL_PERCENTAGE,0),0)</f>
        <v>10</v>
      </c>
    </row>
    <row r="17" spans="2:13" ht="15" thickBot="1" x14ac:dyDescent="0.35">
      <c r="B17" s="112"/>
      <c r="C17" s="47" t="s">
        <v>19</v>
      </c>
      <c r="D17" s="49">
        <f>IF(SINGLE_FUTURE_OK=C_YES,(IF(Future_Users&gt;LO_USERS,STANDARD_DISK_AT,LO_DISK_AT)),0)</f>
        <v>0</v>
      </c>
      <c r="E17" s="62">
        <f>D17+D17*VIRTUAL_PERCENTAGE</f>
        <v>0</v>
      </c>
      <c r="F17" s="49">
        <f>IF(DUAL_FUTURE_OK=C_YES,(IF(Future_Users&gt;MEDIUM_USERS,MEDIUM_DISK_AT,HI_DISK_AT)),0)</f>
        <v>500</v>
      </c>
      <c r="G17" s="54">
        <f>IF(DUAL_FUTURE_OK=C_YES,(IF(Future_Users&gt;MEDIUM_USERS,HI_DISK_DT,MEDIUM_DISK_DT)),0)</f>
        <v>2000</v>
      </c>
      <c r="H17" s="63">
        <f>F17+F17*VIRTUAL_PERCENTAGE</f>
        <v>600</v>
      </c>
      <c r="I17" s="18">
        <f>IF(G17&lt;&gt;"",ROUNDUP(G17+G17*VIRTUAL_PERCENTAGE,0),0)</f>
        <v>2400</v>
      </c>
      <c r="J17" s="49">
        <f>IF(SCALE_FUTURE_OK=C_YES,SCALE_DISK_AT,0)</f>
        <v>500</v>
      </c>
      <c r="K17" s="54">
        <f>IF(SCALE_FUTURE_OK=C_YES,(IF(Future_Users&gt;MEDIUM_USERS,HI_DISK_DT,MEDIUM_DISK_DT)),0)</f>
        <v>2000</v>
      </c>
      <c r="L17" s="63">
        <f>J17+J17*VIRTUAL_PERCENTAGE</f>
        <v>600</v>
      </c>
      <c r="M17" s="55">
        <f>IF(K17&lt;&gt;"",ROUNDUP(K17+K17*VIRTUAL_PERCENTAGE,0),0)</f>
        <v>2400</v>
      </c>
    </row>
    <row r="19" spans="2:13" ht="15" thickBot="1" x14ac:dyDescent="0.35"/>
    <row r="20" spans="2:13" x14ac:dyDescent="0.3">
      <c r="B20" s="113" t="s">
        <v>56</v>
      </c>
      <c r="C20" s="2" t="s">
        <v>24</v>
      </c>
      <c r="D20" s="105" t="s">
        <v>5</v>
      </c>
      <c r="E20" s="106"/>
      <c r="F20" s="105" t="s">
        <v>6</v>
      </c>
      <c r="G20" s="107"/>
      <c r="H20" s="107"/>
      <c r="I20" s="106"/>
      <c r="J20" s="105" t="s">
        <v>7</v>
      </c>
      <c r="K20" s="107"/>
      <c r="L20" s="107"/>
      <c r="M20" s="106"/>
    </row>
    <row r="21" spans="2:13" x14ac:dyDescent="0.3">
      <c r="B21" s="114"/>
      <c r="C21" s="3"/>
      <c r="D21" s="56" t="s">
        <v>13</v>
      </c>
      <c r="E21" s="57" t="s">
        <v>14</v>
      </c>
      <c r="F21" s="108" t="s">
        <v>13</v>
      </c>
      <c r="G21" s="109"/>
      <c r="H21" s="103" t="s">
        <v>14</v>
      </c>
      <c r="I21" s="104"/>
      <c r="J21" s="108" t="s">
        <v>13</v>
      </c>
      <c r="K21" s="109"/>
      <c r="L21" s="103" t="s">
        <v>14</v>
      </c>
      <c r="M21" s="104"/>
    </row>
    <row r="22" spans="2:13" x14ac:dyDescent="0.3">
      <c r="B22" s="114"/>
      <c r="C22" s="3"/>
      <c r="D22" s="56" t="s">
        <v>8</v>
      </c>
      <c r="E22" s="57" t="s">
        <v>8</v>
      </c>
      <c r="F22" s="56" t="s">
        <v>15</v>
      </c>
      <c r="G22" s="58" t="s">
        <v>16</v>
      </c>
      <c r="H22" s="59" t="s">
        <v>15</v>
      </c>
      <c r="I22" s="60" t="s">
        <v>16</v>
      </c>
      <c r="J22" s="56" t="s">
        <v>15</v>
      </c>
      <c r="K22" s="58" t="s">
        <v>16</v>
      </c>
      <c r="L22" s="59" t="s">
        <v>15</v>
      </c>
      <c r="M22" s="60" t="s">
        <v>16</v>
      </c>
    </row>
    <row r="23" spans="2:13" x14ac:dyDescent="0.3">
      <c r="B23" s="114"/>
      <c r="C23" s="4" t="s">
        <v>17</v>
      </c>
      <c r="D23" s="48">
        <f t="shared" ref="D23:M23" si="0">ROUNDUP(D8+D8*BEEF_FACTOR,0)</f>
        <v>2</v>
      </c>
      <c r="E23" s="50">
        <f t="shared" si="0"/>
        <v>1</v>
      </c>
      <c r="F23" s="48">
        <f t="shared" si="0"/>
        <v>3</v>
      </c>
      <c r="G23" s="17">
        <f t="shared" si="0"/>
        <v>5</v>
      </c>
      <c r="H23" s="52">
        <f t="shared" si="0"/>
        <v>3</v>
      </c>
      <c r="I23" s="53">
        <f t="shared" si="0"/>
        <v>7</v>
      </c>
      <c r="J23" s="48">
        <f t="shared" si="0"/>
        <v>3</v>
      </c>
      <c r="K23" s="17">
        <f t="shared" si="0"/>
        <v>10</v>
      </c>
      <c r="L23" s="52">
        <f t="shared" si="0"/>
        <v>3</v>
      </c>
      <c r="M23" s="53">
        <f t="shared" si="0"/>
        <v>13</v>
      </c>
    </row>
    <row r="24" spans="2:13" x14ac:dyDescent="0.3">
      <c r="B24" s="114"/>
      <c r="C24" s="4" t="s">
        <v>18</v>
      </c>
      <c r="D24" s="48">
        <f t="shared" ref="D24:M24" si="1">ROUNDUP(D9+D9*BEEF_FACTOR,0)</f>
        <v>3</v>
      </c>
      <c r="E24" s="50">
        <f t="shared" si="1"/>
        <v>3</v>
      </c>
      <c r="F24" s="48">
        <f t="shared" si="1"/>
        <v>5</v>
      </c>
      <c r="G24" s="17">
        <f t="shared" si="1"/>
        <v>10</v>
      </c>
      <c r="H24" s="52">
        <f t="shared" si="1"/>
        <v>6</v>
      </c>
      <c r="I24" s="53">
        <f t="shared" si="1"/>
        <v>13</v>
      </c>
      <c r="J24" s="48">
        <f t="shared" si="1"/>
        <v>5</v>
      </c>
      <c r="K24" s="17">
        <f t="shared" si="1"/>
        <v>20</v>
      </c>
      <c r="L24" s="52">
        <f t="shared" si="1"/>
        <v>6</v>
      </c>
      <c r="M24" s="53">
        <f t="shared" si="1"/>
        <v>25</v>
      </c>
    </row>
    <row r="25" spans="2:13" ht="15" thickBot="1" x14ac:dyDescent="0.35">
      <c r="B25" s="114"/>
      <c r="C25" s="5" t="s">
        <v>19</v>
      </c>
      <c r="D25" s="49">
        <f t="shared" ref="D25:M25" si="2">ROUNDUP(D10+D10*BEEF_FACTOR,0)</f>
        <v>157</v>
      </c>
      <c r="E25" s="62">
        <f t="shared" si="2"/>
        <v>188</v>
      </c>
      <c r="F25" s="49">
        <f t="shared" si="2"/>
        <v>625</v>
      </c>
      <c r="G25" s="18">
        <f t="shared" si="2"/>
        <v>2500</v>
      </c>
      <c r="H25" s="63">
        <f t="shared" si="2"/>
        <v>750</v>
      </c>
      <c r="I25" s="55">
        <f t="shared" si="2"/>
        <v>3000</v>
      </c>
      <c r="J25" s="49">
        <f t="shared" si="2"/>
        <v>625</v>
      </c>
      <c r="K25" s="18">
        <f t="shared" si="2"/>
        <v>3750</v>
      </c>
      <c r="L25" s="63">
        <f t="shared" si="2"/>
        <v>750</v>
      </c>
      <c r="M25" s="55">
        <f t="shared" si="2"/>
        <v>4500</v>
      </c>
    </row>
    <row r="26" spans="2:13" ht="15" thickBot="1" x14ac:dyDescent="0.35">
      <c r="B26" s="114"/>
      <c r="D26" s="61"/>
      <c r="E26" s="61"/>
      <c r="F26" s="61"/>
      <c r="G26" s="61"/>
      <c r="H26" s="61"/>
      <c r="I26" s="61"/>
      <c r="J26" s="61"/>
      <c r="K26" s="61"/>
      <c r="L26" s="61"/>
      <c r="M26" s="61"/>
    </row>
    <row r="27" spans="2:13" x14ac:dyDescent="0.3">
      <c r="B27" s="114"/>
      <c r="C27" s="2" t="s">
        <v>25</v>
      </c>
      <c r="D27" s="105" t="s">
        <v>5</v>
      </c>
      <c r="E27" s="106"/>
      <c r="F27" s="105" t="s">
        <v>6</v>
      </c>
      <c r="G27" s="107"/>
      <c r="H27" s="107"/>
      <c r="I27" s="106"/>
      <c r="J27" s="105" t="s">
        <v>7</v>
      </c>
      <c r="K27" s="107"/>
      <c r="L27" s="107"/>
      <c r="M27" s="106"/>
    </row>
    <row r="28" spans="2:13" x14ac:dyDescent="0.3">
      <c r="B28" s="114"/>
      <c r="C28" s="3"/>
      <c r="D28" s="56" t="s">
        <v>13</v>
      </c>
      <c r="E28" s="57" t="s">
        <v>14</v>
      </c>
      <c r="F28" s="108" t="s">
        <v>13</v>
      </c>
      <c r="G28" s="109"/>
      <c r="H28" s="103" t="s">
        <v>14</v>
      </c>
      <c r="I28" s="104"/>
      <c r="J28" s="108" t="s">
        <v>13</v>
      </c>
      <c r="K28" s="109"/>
      <c r="L28" s="103" t="s">
        <v>14</v>
      </c>
      <c r="M28" s="104"/>
    </row>
    <row r="29" spans="2:13" x14ac:dyDescent="0.3">
      <c r="B29" s="114"/>
      <c r="C29" s="3"/>
      <c r="D29" s="56" t="s">
        <v>8</v>
      </c>
      <c r="E29" s="57" t="s">
        <v>8</v>
      </c>
      <c r="F29" s="56" t="s">
        <v>15</v>
      </c>
      <c r="G29" s="58" t="s">
        <v>16</v>
      </c>
      <c r="H29" s="59" t="s">
        <v>15</v>
      </c>
      <c r="I29" s="60" t="s">
        <v>16</v>
      </c>
      <c r="J29" s="56" t="s">
        <v>15</v>
      </c>
      <c r="K29" s="58" t="s">
        <v>16</v>
      </c>
      <c r="L29" s="59" t="s">
        <v>15</v>
      </c>
      <c r="M29" s="60" t="s">
        <v>16</v>
      </c>
    </row>
    <row r="30" spans="2:13" x14ac:dyDescent="0.3">
      <c r="B30" s="114"/>
      <c r="C30" s="4" t="s">
        <v>17</v>
      </c>
      <c r="D30" s="48">
        <f t="shared" ref="D30:M30" si="3">ROUNDUP(D15+D15*BEEF_FACTOR,0)</f>
        <v>0</v>
      </c>
      <c r="E30" s="50">
        <f t="shared" si="3"/>
        <v>0</v>
      </c>
      <c r="F30" s="48">
        <f t="shared" si="3"/>
        <v>3</v>
      </c>
      <c r="G30" s="17">
        <f t="shared" si="3"/>
        <v>5</v>
      </c>
      <c r="H30" s="52">
        <f t="shared" si="3"/>
        <v>3</v>
      </c>
      <c r="I30" s="53">
        <f t="shared" si="3"/>
        <v>7</v>
      </c>
      <c r="J30" s="48">
        <f t="shared" si="3"/>
        <v>3</v>
      </c>
      <c r="K30" s="17">
        <f t="shared" si="3"/>
        <v>5</v>
      </c>
      <c r="L30" s="52">
        <f t="shared" si="3"/>
        <v>3</v>
      </c>
      <c r="M30" s="53">
        <f t="shared" si="3"/>
        <v>7</v>
      </c>
    </row>
    <row r="31" spans="2:13" x14ac:dyDescent="0.3">
      <c r="B31" s="114"/>
      <c r="C31" s="4" t="s">
        <v>20</v>
      </c>
      <c r="D31" s="48">
        <f t="shared" ref="D31:M31" si="4">ROUNDUP(D16+D16*BEEF_FACTOR,0)</f>
        <v>0</v>
      </c>
      <c r="E31" s="50">
        <f t="shared" si="4"/>
        <v>0</v>
      </c>
      <c r="F31" s="48">
        <f t="shared" si="4"/>
        <v>5</v>
      </c>
      <c r="G31" s="17">
        <f t="shared" si="4"/>
        <v>10</v>
      </c>
      <c r="H31" s="52">
        <f t="shared" si="4"/>
        <v>6</v>
      </c>
      <c r="I31" s="53">
        <f t="shared" si="4"/>
        <v>13</v>
      </c>
      <c r="J31" s="48">
        <f t="shared" si="4"/>
        <v>5</v>
      </c>
      <c r="K31" s="17">
        <f t="shared" si="4"/>
        <v>10</v>
      </c>
      <c r="L31" s="52">
        <f t="shared" si="4"/>
        <v>6</v>
      </c>
      <c r="M31" s="53">
        <f t="shared" si="4"/>
        <v>13</v>
      </c>
    </row>
    <row r="32" spans="2:13" ht="15" thickBot="1" x14ac:dyDescent="0.35">
      <c r="B32" s="115"/>
      <c r="C32" s="5" t="s">
        <v>19</v>
      </c>
      <c r="D32" s="49">
        <f t="shared" ref="D32:M32" si="5">ROUNDUP(D17+D17*BEEF_FACTOR,0)</f>
        <v>0</v>
      </c>
      <c r="E32" s="62">
        <f t="shared" si="5"/>
        <v>0</v>
      </c>
      <c r="F32" s="49">
        <f t="shared" si="5"/>
        <v>625</v>
      </c>
      <c r="G32" s="18">
        <f t="shared" si="5"/>
        <v>2500</v>
      </c>
      <c r="H32" s="63">
        <f t="shared" si="5"/>
        <v>750</v>
      </c>
      <c r="I32" s="55">
        <f t="shared" si="5"/>
        <v>3000</v>
      </c>
      <c r="J32" s="49">
        <f t="shared" si="5"/>
        <v>625</v>
      </c>
      <c r="K32" s="18">
        <f t="shared" si="5"/>
        <v>2500</v>
      </c>
      <c r="L32" s="63">
        <f t="shared" si="5"/>
        <v>750</v>
      </c>
      <c r="M32" s="55">
        <f t="shared" si="5"/>
        <v>3000</v>
      </c>
    </row>
  </sheetData>
  <sheetProtection sheet="1" objects="1" scenarios="1"/>
  <mergeCells count="31">
    <mergeCell ref="B5:B17"/>
    <mergeCell ref="B20:B32"/>
    <mergeCell ref="B2:M2"/>
    <mergeCell ref="D27:E27"/>
    <mergeCell ref="F27:I27"/>
    <mergeCell ref="J27:M27"/>
    <mergeCell ref="F28:G28"/>
    <mergeCell ref="H28:I28"/>
    <mergeCell ref="J28:K28"/>
    <mergeCell ref="L28:M28"/>
    <mergeCell ref="D20:E20"/>
    <mergeCell ref="F20:I20"/>
    <mergeCell ref="J20:M20"/>
    <mergeCell ref="F21:G21"/>
    <mergeCell ref="H21:I21"/>
    <mergeCell ref="J21:K21"/>
    <mergeCell ref="L21:M21"/>
    <mergeCell ref="D12:E12"/>
    <mergeCell ref="F12:I12"/>
    <mergeCell ref="J12:M12"/>
    <mergeCell ref="F13:G13"/>
    <mergeCell ref="H13:I13"/>
    <mergeCell ref="J13:K13"/>
    <mergeCell ref="L13:M13"/>
    <mergeCell ref="D5:E5"/>
    <mergeCell ref="F5:I5"/>
    <mergeCell ref="J5:M5"/>
    <mergeCell ref="F6:G6"/>
    <mergeCell ref="H6:I6"/>
    <mergeCell ref="J6:K6"/>
    <mergeCell ref="L6:M6"/>
  </mergeCells>
  <conditionalFormatting sqref="D5:M32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J6" sqref="J6:K6"/>
    </sheetView>
  </sheetViews>
  <sheetFormatPr defaultRowHeight="14.4" x14ac:dyDescent="0.3"/>
  <cols>
    <col min="1" max="1" width="25.5546875" customWidth="1"/>
    <col min="2" max="3" width="11" style="15" customWidth="1"/>
    <col min="4" max="4" width="10.5546875" customWidth="1"/>
    <col min="5" max="5" width="9.109375" style="15"/>
  </cols>
  <sheetData>
    <row r="1" spans="1:11" x14ac:dyDescent="0.3">
      <c r="B1" s="9" t="s">
        <v>33</v>
      </c>
      <c r="C1" s="9" t="s">
        <v>34</v>
      </c>
      <c r="D1" s="8" t="s">
        <v>36</v>
      </c>
      <c r="E1" s="9" t="s">
        <v>39</v>
      </c>
      <c r="F1" s="9" t="s">
        <v>50</v>
      </c>
      <c r="G1" s="9" t="s">
        <v>47</v>
      </c>
      <c r="H1" s="9" t="s">
        <v>48</v>
      </c>
      <c r="I1" s="9" t="s">
        <v>49</v>
      </c>
      <c r="J1" s="9" t="s">
        <v>46</v>
      </c>
      <c r="K1" s="9" t="s">
        <v>51</v>
      </c>
    </row>
    <row r="2" spans="1:11" x14ac:dyDescent="0.3">
      <c r="A2" s="8" t="s">
        <v>29</v>
      </c>
      <c r="B2" s="15">
        <v>92</v>
      </c>
      <c r="C2" s="15">
        <v>250</v>
      </c>
      <c r="D2">
        <v>0.17499999999999999</v>
      </c>
      <c r="E2" s="15">
        <v>5</v>
      </c>
      <c r="F2" s="15">
        <v>1</v>
      </c>
      <c r="G2" s="15">
        <v>2</v>
      </c>
      <c r="H2" s="15">
        <v>125</v>
      </c>
    </row>
    <row r="3" spans="1:11" x14ac:dyDescent="0.3">
      <c r="A3" s="8" t="s">
        <v>30</v>
      </c>
      <c r="B3" s="15">
        <v>180</v>
      </c>
      <c r="C3" s="15">
        <v>500</v>
      </c>
      <c r="D3">
        <v>0.17499999999999999</v>
      </c>
      <c r="E3" s="15">
        <v>10</v>
      </c>
      <c r="F3" s="15">
        <v>2</v>
      </c>
      <c r="G3" s="15">
        <v>4</v>
      </c>
      <c r="H3" s="15">
        <v>300</v>
      </c>
    </row>
    <row r="4" spans="1:11" x14ac:dyDescent="0.3">
      <c r="A4" s="8" t="s">
        <v>45</v>
      </c>
      <c r="B4" s="15">
        <v>476</v>
      </c>
      <c r="C4" s="15">
        <v>2200</v>
      </c>
      <c r="D4">
        <v>0.21249999999999999</v>
      </c>
      <c r="E4" s="15">
        <f>SCALE_TPC</f>
        <v>75</v>
      </c>
      <c r="F4" s="15">
        <v>2</v>
      </c>
      <c r="G4" s="15">
        <v>4</v>
      </c>
      <c r="H4" s="15">
        <v>500</v>
      </c>
      <c r="I4" s="15">
        <v>4</v>
      </c>
      <c r="J4" s="15">
        <v>8</v>
      </c>
      <c r="K4" s="15">
        <v>2000</v>
      </c>
    </row>
    <row r="5" spans="1:11" x14ac:dyDescent="0.3">
      <c r="A5" s="8" t="s">
        <v>31</v>
      </c>
      <c r="B5" s="15">
        <v>730</v>
      </c>
      <c r="C5" s="15">
        <v>3600</v>
      </c>
      <c r="D5">
        <v>0.22500000000000001</v>
      </c>
      <c r="E5" s="15">
        <v>75</v>
      </c>
      <c r="F5" s="15">
        <v>4</v>
      </c>
      <c r="G5" s="15">
        <v>8</v>
      </c>
      <c r="H5" s="15">
        <v>500</v>
      </c>
      <c r="I5" s="15">
        <v>8</v>
      </c>
      <c r="J5" s="15">
        <v>16</v>
      </c>
      <c r="K5" s="15">
        <v>3000</v>
      </c>
    </row>
    <row r="6" spans="1:11" x14ac:dyDescent="0.3">
      <c r="A6" s="8" t="s">
        <v>32</v>
      </c>
      <c r="B6" s="15">
        <v>476</v>
      </c>
      <c r="C6" s="15">
        <v>2200</v>
      </c>
      <c r="D6">
        <v>0.26250000000000001</v>
      </c>
      <c r="E6" s="15">
        <v>75</v>
      </c>
      <c r="F6" s="15">
        <v>2</v>
      </c>
      <c r="G6" s="15">
        <v>4</v>
      </c>
      <c r="H6" s="15">
        <v>500</v>
      </c>
      <c r="I6" s="15">
        <v>4</v>
      </c>
      <c r="J6" s="15"/>
      <c r="K6" s="15"/>
    </row>
    <row r="19" spans="1:2" x14ac:dyDescent="0.3">
      <c r="A19" s="8" t="s">
        <v>44</v>
      </c>
      <c r="B19" s="44">
        <v>0.2</v>
      </c>
    </row>
    <row r="20" spans="1:2" x14ac:dyDescent="0.3">
      <c r="A20" s="8" t="s">
        <v>35</v>
      </c>
      <c r="B20" s="15" t="s">
        <v>21</v>
      </c>
    </row>
    <row r="21" spans="1:2" x14ac:dyDescent="0.3">
      <c r="B21" s="15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8AB984F9AFA14087035BD77D90A626" ma:contentTypeVersion="5" ma:contentTypeDescription="Create a new document." ma:contentTypeScope="" ma:versionID="587f6fb58f55cab20468d5767da9b76d">
  <xsd:schema xmlns:xsd="http://www.w3.org/2001/XMLSchema" xmlns:p="http://schemas.microsoft.com/office/2006/metadata/properties" xmlns:ns1="d4f1fd26-cd3f-48df-8559-6269d85163e3" targetNamespace="http://schemas.microsoft.com/office/2006/metadata/properties" ma:root="true" ma:fieldsID="2d45bfae41b7a5cd5eac582b346e06dc" ns1:_="">
    <xsd:import namespace="d4f1fd26-cd3f-48df-8559-6269d85163e3"/>
    <xsd:element name="properties">
      <xsd:complexType>
        <xsd:sequence>
          <xsd:element name="documentManagement">
            <xsd:complexType>
              <xsd:all>
                <xsd:element ref="ns1:Project"/>
                <xsd:element ref="ns1:Review_x0020_Status" minOccurs="0"/>
                <xsd:element ref="ns1:Notes0" minOccurs="0"/>
                <xsd:element ref="ns1:Priorit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4f1fd26-cd3f-48df-8559-6269d85163e3" elementFormDefault="qualified">
    <xsd:import namespace="http://schemas.microsoft.com/office/2006/documentManagement/types"/>
    <xsd:element name="Project" ma:index="0" ma:displayName="Project" ma:list="{531e57d1-1a88-499e-a615-7e0bd53470b9}" ma:internalName="Project" ma:showField="Title">
      <xsd:simpleType>
        <xsd:restriction base="dms:Lookup"/>
      </xsd:simpleType>
    </xsd:element>
    <xsd:element name="Review_x0020_Status" ma:index="3" nillable="true" ma:displayName="Review Status" ma:default="Queued" ma:format="Dropdown" ma:internalName="Review_x0020_Status">
      <xsd:simpleType>
        <xsd:restriction base="dms:Choice">
          <xsd:enumeration value="Queued"/>
          <xsd:enumeration value="Rejected"/>
          <xsd:enumeration value="Review Completed"/>
        </xsd:restriction>
      </xsd:simpleType>
    </xsd:element>
    <xsd:element name="Notes0" ma:index="4" nillable="true" ma:displayName="Notes" ma:description="Brief notes to or from reviewer" ma:internalName="Notes0">
      <xsd:simpleType>
        <xsd:restriction base="dms:Text">
          <xsd:maxLength value="255"/>
        </xsd:restriction>
      </xsd:simpleType>
    </xsd:element>
    <xsd:element name="Priority" ma:index="11" nillable="true" ma:displayName="Priority" ma:default="4 - Other (low)" ma:format="Dropdown" ma:internalName="Priority">
      <xsd:simpleType>
        <xsd:restriction base="dms:Choice">
          <xsd:enumeration value="1 - Guide (critical)"/>
          <xsd:enumeration value="2 - Cheat sheet / posters (high)"/>
          <xsd:enumeration value="3 - HOL (normal)"/>
          <xsd:enumeration value="4 - Other (low)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 ma:readOnly="true"/>
        <xsd:element ref="dc:title" minOccurs="0" maxOccurs="1" ma:index="1" ma:displayName="Document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roject xmlns="d4f1fd26-cd3f-48df-8559-6269d85163e3">45</Project>
    <Priority xmlns="d4f1fd26-cd3f-48df-8559-6269d85163e3">2 - Cheat sheet / posters (high)</Priority>
    <Notes0 xmlns="d4f1fd26-cd3f-48df-8559-6269d85163e3" xsi:nil="true"/>
    <Review_x0020_Status xmlns="d4f1fd26-cd3f-48df-8559-6269d85163e3">Review Completed</Review_x0020_Status>
  </documentManagement>
</p:properties>
</file>

<file path=customXml/itemProps1.xml><?xml version="1.0" encoding="utf-8"?>
<ds:datastoreItem xmlns:ds="http://schemas.openxmlformats.org/officeDocument/2006/customXml" ds:itemID="{8E2C743B-52BB-4B93-BC7B-301A591373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f1fd26-cd3f-48df-8559-6269d85163e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13C0D350-2871-401C-8D5C-791C478D9E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2B28CD-EB51-4560-8E58-B9E03DAFD80D}">
  <ds:schemaRefs>
    <ds:schemaRef ds:uri="http://schemas.microsoft.com/office/2006/metadata/properties"/>
    <ds:schemaRef ds:uri="d4f1fd26-cd3f-48df-8559-6269d85163e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54</vt:i4>
      </vt:variant>
    </vt:vector>
  </HeadingPairs>
  <TitlesOfParts>
    <vt:vector size="57" baseType="lpstr">
      <vt:lpstr>Server Scenarios</vt:lpstr>
      <vt:lpstr>Hardware Configurations</vt:lpstr>
      <vt:lpstr>Constants</vt:lpstr>
      <vt:lpstr>BEEF_FACTOR</vt:lpstr>
      <vt:lpstr>C_NO</vt:lpstr>
      <vt:lpstr>C_YES</vt:lpstr>
      <vt:lpstr>Current_Users</vt:lpstr>
      <vt:lpstr>DUAL_CURRENT_OK</vt:lpstr>
      <vt:lpstr>DUAL_FUTURE_OK</vt:lpstr>
      <vt:lpstr>Future_Users</vt:lpstr>
      <vt:lpstr>HI_CORE_AT</vt:lpstr>
      <vt:lpstr>HI_CORE_DT</vt:lpstr>
      <vt:lpstr>HI_DISK_AT</vt:lpstr>
      <vt:lpstr>HI_DISK_DT</vt:lpstr>
      <vt:lpstr>HI_FACTOR</vt:lpstr>
      <vt:lpstr>HI_RAM_AT</vt:lpstr>
      <vt:lpstr>HI_RAM_DT</vt:lpstr>
      <vt:lpstr>HI_RPS</vt:lpstr>
      <vt:lpstr>HI_USERS</vt:lpstr>
      <vt:lpstr>HIGH_TPC</vt:lpstr>
      <vt:lpstr>LO_CORE_AT</vt:lpstr>
      <vt:lpstr>LO_DISK_AT</vt:lpstr>
      <vt:lpstr>LO_FACTOR</vt:lpstr>
      <vt:lpstr>LO_RAM_AT</vt:lpstr>
      <vt:lpstr>LO_RPS</vt:lpstr>
      <vt:lpstr>LO_TPC</vt:lpstr>
      <vt:lpstr>LO_USERS</vt:lpstr>
      <vt:lpstr>MEDIUM_CORE_AT</vt:lpstr>
      <vt:lpstr>MEDIUM_CORE_DT</vt:lpstr>
      <vt:lpstr>MEDIUM_DISK_AT</vt:lpstr>
      <vt:lpstr>MEDIUM_DISK_DT</vt:lpstr>
      <vt:lpstr>MEDIUM_RAM_AT</vt:lpstr>
      <vt:lpstr>MEDIUM_RAM_DT</vt:lpstr>
      <vt:lpstr>MEDIUM_USERS</vt:lpstr>
      <vt:lpstr>SCALE_CORE_AT</vt:lpstr>
      <vt:lpstr>SCALE_CORE_DT</vt:lpstr>
      <vt:lpstr>SCALE_CURRENT_OK</vt:lpstr>
      <vt:lpstr>SCALE_DISK_AT</vt:lpstr>
      <vt:lpstr>SCALE_DISK_DT</vt:lpstr>
      <vt:lpstr>SCALE_FACTOR</vt:lpstr>
      <vt:lpstr>SCALE_FUTURE_OK</vt:lpstr>
      <vt:lpstr>SCALE_RAM_AT</vt:lpstr>
      <vt:lpstr>SCALE_RAM_DT</vt:lpstr>
      <vt:lpstr>SCALE_RPS</vt:lpstr>
      <vt:lpstr>SCALE_TPC</vt:lpstr>
      <vt:lpstr>SCALE_USERS</vt:lpstr>
      <vt:lpstr>SINGLE_CURRENT_OK</vt:lpstr>
      <vt:lpstr>SINGLE_FUTURE_OK</vt:lpstr>
      <vt:lpstr>SINGLE_PREFERRED</vt:lpstr>
      <vt:lpstr>STANDARD_CORE_AT</vt:lpstr>
      <vt:lpstr>STANDARD_DISK_AT</vt:lpstr>
      <vt:lpstr>STANDARD_FACTOR</vt:lpstr>
      <vt:lpstr>STANDARD_RAM_AT</vt:lpstr>
      <vt:lpstr>STANDARD_RPD</vt:lpstr>
      <vt:lpstr>STANDARD_TPC</vt:lpstr>
      <vt:lpstr>STANDARD_USERS</vt:lpstr>
      <vt:lpstr>VIRTUAL_PERCENTAGE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Willy-Peter Schaub</dc:creator>
  <cp:lastModifiedBy>Willy-Peter Schaub</cp:lastModifiedBy>
  <cp:lastPrinted>2010-09-10T16:11:02Z</cp:lastPrinted>
  <dcterms:created xsi:type="dcterms:W3CDTF">2010-09-10T16:03:03Z</dcterms:created>
  <dcterms:modified xsi:type="dcterms:W3CDTF">2018-07-13T16:49:57Z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0x010100CC8AB984F9AFA14087035BD77D90A626</vt:lpwstr>
  </property>
  <property fmtid="{D5CDD505-2E9C-101B-9397-08002B2CF9AE}" pid="3" name="Order">
    <vt:r8>2400</vt:r8>
  </property>
</Properties>
</file>