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efaultThemeVersion="124226"/>
  <mc:AlternateContent xmlns:mc="http://schemas.openxmlformats.org/markup-compatibility/2006">
    <mc:Choice Requires="x15">
      <x15ac:absPath xmlns:x15ac="http://schemas.microsoft.com/office/spreadsheetml/2010/11/ac" url="C:\Users\ken.muse\Documents\"/>
    </mc:Choice>
  </mc:AlternateContent>
  <xr:revisionPtr revIDLastSave="0" documentId="8_{91AF45C8-2D9E-4696-8D1D-8977D2C692C5}" xr6:coauthVersionLast="43" xr6:coauthVersionMax="43" xr10:uidLastSave="{00000000-0000-0000-0000-000000000000}"/>
  <bookViews>
    <workbookView xWindow="-108" yWindow="-108" windowWidth="23256" windowHeight="12576" xr2:uid="{00000000-000D-0000-FFFF-FFFF00000000}"/>
  </bookViews>
  <sheets>
    <sheet name="Server Scenarios" sheetId="1" r:id="rId1"/>
    <sheet name="Constants" sheetId="5" state="hidden" r:id="rId2"/>
    <sheet name="Hardware Configurations" sheetId="7" r:id="rId3"/>
    <sheet name="Proxy Server" sheetId="8" r:id="rId4"/>
    <sheet name="Code Search Server" sheetId="9" r:id="rId5"/>
  </sheets>
  <definedNames>
    <definedName name="BEEF_FACTOR">'Server Scenarios'!$C$9</definedName>
    <definedName name="C_NO">Constants!$B$22</definedName>
    <definedName name="C_YES">Constants!$B$21</definedName>
    <definedName name="CS_DEMO_CORES">Constants!$C$9</definedName>
    <definedName name="CS_DEMO_RAM">Constants!$D$9</definedName>
    <definedName name="CS_DEMO_USERS">Constants!$B$9</definedName>
    <definedName name="CS_HIGH_CORES">Constants!$C$11</definedName>
    <definedName name="CS_HIGH_RAM">Constants!$D$11</definedName>
    <definedName name="CS_HIGH_USERS">Constants!$B$11</definedName>
    <definedName name="CS_LOW_CORES">Constants!$C$10</definedName>
    <definedName name="CS_LOW_RAM">Constants!$D$10</definedName>
    <definedName name="CS_LOW_USERS">Constants!$B$10</definedName>
    <definedName name="CS_STORAGE_FACTOR">Constants!$B$19</definedName>
    <definedName name="Current_BranchTip">'Proxy Server'!$F$8</definedName>
    <definedName name="Current_Storage" localSheetId="4">'Code Search Server'!$C$9</definedName>
    <definedName name="Current_Storage">'Proxy Server'!$C$8</definedName>
    <definedName name="Current_Users">'Server Scenarios'!$C$7</definedName>
    <definedName name="DUAL_CURRENT_OK">'Server Scenarios'!$F$13</definedName>
    <definedName name="DUAL_FUTURE_OK">'Server Scenarios'!$F$14</definedName>
    <definedName name="Future_BranchTip">'Proxy Server'!$F$7</definedName>
    <definedName name="Future_Storage" localSheetId="4">'Code Search Server'!$C$8</definedName>
    <definedName name="Future_Storage">'Proxy Server'!$C$7</definedName>
    <definedName name="Future_Users">'Server Scenarios'!$C$6</definedName>
    <definedName name="GVFS_SCALE_FACTOR">Constants!$B$18</definedName>
    <definedName name="HI_CORE_AT">Constants!$F$5</definedName>
    <definedName name="HI_CORE_DT">Constants!$I$5</definedName>
    <definedName name="HI_DISK_AT">Constants!$H$5</definedName>
    <definedName name="HI_DISK_DT">Constants!$K$5</definedName>
    <definedName name="HI_FACTOR">Constants!$D$5</definedName>
    <definedName name="HI_RAM_AT">Constants!$G$5</definedName>
    <definedName name="HI_RAM_DT">Constants!$J$5</definedName>
    <definedName name="HI_RPS">Constants!$B$5</definedName>
    <definedName name="HI_USERS">Constants!$C$5</definedName>
    <definedName name="HIGH_TPC">Constants!$E$5</definedName>
    <definedName name="LO_CORE_AT">Constants!$F$2</definedName>
    <definedName name="LO_DISK_AT">Constants!$H$2</definedName>
    <definedName name="LO_FACTOR">Constants!$D$2</definedName>
    <definedName name="LO_RAM_AT">Constants!$G$2</definedName>
    <definedName name="LO_RPS">Constants!$B$2</definedName>
    <definedName name="LO_TPC">Constants!$E$2</definedName>
    <definedName name="LO_USERS">Constants!$C$2</definedName>
    <definedName name="MEDIUM_CORE_AT">Constants!$F$4</definedName>
    <definedName name="MEDIUM_CORE_DT">Constants!$I$4</definedName>
    <definedName name="MEDIUM_DISK_AT">Constants!$H$4</definedName>
    <definedName name="MEDIUM_DISK_DT">Constants!$K$4</definedName>
    <definedName name="MEDIUM_RAM_AT">Constants!$G$4</definedName>
    <definedName name="MEDIUM_RAM_DT">Constants!$J$4</definedName>
    <definedName name="MEDIUM_RPS">Constants!$B$4</definedName>
    <definedName name="MEDIUM_TPC">Constants!$E$4</definedName>
    <definedName name="MEDIUM_USERS">Constants!$C$4</definedName>
    <definedName name="PROXY_HIGH_CORES">Constants!$C$16</definedName>
    <definedName name="PROXY_HIGH_RAM">Constants!$D$16</definedName>
    <definedName name="PROXY_HIGH_USERS">Constants!$B$16</definedName>
    <definedName name="PROXY_LOW_CORES">Constants!$C$14</definedName>
    <definedName name="PROXY_LOW_RAM">Constants!$D$14</definedName>
    <definedName name="PROXY_LOW_USERS">Constants!$B$14</definedName>
    <definedName name="PROXY_MEDIUM_CORES">Constants!$C$15</definedName>
    <definedName name="PROXY_MEDIUM_RAM">Constants!$D$15</definedName>
    <definedName name="PROXY_MEDIUM_USERS">Constants!$B$15</definedName>
    <definedName name="SCALE_CORE_AT">Constants!$F$6</definedName>
    <definedName name="SCALE_CORE_DT">Constants!$I$6</definedName>
    <definedName name="SCALE_CURRENT_OK">'Server Scenarios'!$I$13</definedName>
    <definedName name="SCALE_DISK_AT">Constants!$H$6</definedName>
    <definedName name="SCALE_DISK_DT">Constants!$K$6</definedName>
    <definedName name="SCALE_FACTOR">Constants!$D$6</definedName>
    <definedName name="SCALE_FUTURE_OK">'Server Scenarios'!$I$14</definedName>
    <definedName name="SCALE_RAM_AT">Constants!$G$6</definedName>
    <definedName name="SCALE_RAM_DT">Constants!$J$6</definedName>
    <definedName name="SCALE_RPS">Constants!$B$6</definedName>
    <definedName name="SCALE_TPC">Constants!$E$6</definedName>
    <definedName name="SCALE_USERS">Constants!$A$6</definedName>
    <definedName name="SINGLE_CURRENT_OK">'Server Scenarios'!$C$13</definedName>
    <definedName name="SINGLE_FUTURE_OK">'Server Scenarios'!$C$14</definedName>
    <definedName name="SINGLE_PREFERRED">'Server Scenarios'!$C$15</definedName>
    <definedName name="STANDARD_CORE_AT">Constants!$F$3</definedName>
    <definedName name="STANDARD_DISK_AT">Constants!$H$3</definedName>
    <definedName name="STANDARD_FACTOR">Constants!$D$3</definedName>
    <definedName name="STANDARD_RAM_AT">Constants!$G$3</definedName>
    <definedName name="STANDARD_RPD">Constants!$B$3</definedName>
    <definedName name="STANDARD_TPC">Constants!$E$3</definedName>
    <definedName name="STANDARD_USERS">Constants!$C$3</definedName>
    <definedName name="VM_OVERHEAD">Constants!$B$20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 i="8" l="1"/>
  <c r="G15" i="8"/>
  <c r="G22" i="9"/>
  <c r="H22" i="9" s="1"/>
  <c r="G21" i="9"/>
  <c r="H21" i="9" s="1"/>
  <c r="G20" i="9"/>
  <c r="H20" i="9" s="1"/>
  <c r="G16" i="9"/>
  <c r="H16" i="9" s="1"/>
  <c r="G15" i="9"/>
  <c r="H15" i="9" s="1"/>
  <c r="G14" i="9"/>
  <c r="H14" i="9" s="1"/>
  <c r="F9" i="9"/>
  <c r="F8" i="9"/>
  <c r="B2" i="9"/>
  <c r="E4" i="5" l="1"/>
  <c r="I21" i="8" l="1"/>
  <c r="J21" i="8" s="1"/>
  <c r="I15" i="8"/>
  <c r="J15" i="8" s="1"/>
  <c r="I7" i="8"/>
  <c r="I8" i="8"/>
  <c r="H21" i="8" l="1"/>
  <c r="H15" i="8"/>
  <c r="I19" i="8"/>
  <c r="J19" i="8" s="1"/>
  <c r="I13" i="8"/>
  <c r="J13" i="8" s="1"/>
  <c r="G20" i="8"/>
  <c r="H20" i="8" s="1"/>
  <c r="G19" i="8"/>
  <c r="H19" i="8" s="1"/>
  <c r="G13" i="8"/>
  <c r="H13" i="8" s="1"/>
  <c r="G14" i="8"/>
  <c r="H14" i="8" s="1"/>
  <c r="B2" i="8"/>
  <c r="I20" i="8" l="1"/>
  <c r="J20" i="8" s="1"/>
  <c r="I14" i="8"/>
  <c r="J14" i="8" s="1"/>
  <c r="B2" i="7"/>
  <c r="I14" i="1" l="1"/>
  <c r="K19" i="1" s="1"/>
  <c r="F14" i="1"/>
  <c r="C14" i="1"/>
  <c r="F13" i="1"/>
  <c r="C13" i="1"/>
  <c r="J18" i="7" l="1"/>
  <c r="K18" i="7"/>
  <c r="M18" i="7" s="1"/>
  <c r="K17" i="7"/>
  <c r="K16" i="7"/>
  <c r="K31" i="7" s="1"/>
  <c r="E16" i="1"/>
  <c r="D16" i="1" s="1"/>
  <c r="D17" i="7"/>
  <c r="D18" i="7"/>
  <c r="E18" i="7" s="1"/>
  <c r="F9" i="7"/>
  <c r="G9" i="7"/>
  <c r="F10" i="7"/>
  <c r="F25" i="7" s="1"/>
  <c r="G10" i="7"/>
  <c r="D16" i="7"/>
  <c r="F11" i="7"/>
  <c r="G11" i="7"/>
  <c r="I11" i="7" s="1"/>
  <c r="G18" i="7"/>
  <c r="I18" i="7" s="1"/>
  <c r="F16" i="7"/>
  <c r="F31" i="7" s="1"/>
  <c r="G16" i="7"/>
  <c r="F17" i="7"/>
  <c r="G17" i="7"/>
  <c r="J16" i="7"/>
  <c r="J31" i="7" s="1"/>
  <c r="J17" i="7"/>
  <c r="F18" i="7"/>
  <c r="D9" i="7"/>
  <c r="D24" i="7" s="1"/>
  <c r="D10" i="7"/>
  <c r="D11" i="7"/>
  <c r="E11" i="7" s="1"/>
  <c r="I13" i="1"/>
  <c r="I19" i="1" s="1"/>
  <c r="F18" i="1"/>
  <c r="I18" i="1"/>
  <c r="C16" i="1"/>
  <c r="F17" i="1"/>
  <c r="F16" i="1"/>
  <c r="C18" i="1"/>
  <c r="C17" i="1"/>
  <c r="C15" i="1"/>
  <c r="F19" i="1"/>
  <c r="C19" i="1"/>
  <c r="F15" i="1"/>
  <c r="J33" i="7" l="1"/>
  <c r="L18" i="7"/>
  <c r="L33" i="7" s="1"/>
  <c r="F33" i="7"/>
  <c r="H18" i="7"/>
  <c r="H33" i="7" s="1"/>
  <c r="F26" i="7"/>
  <c r="H11" i="7"/>
  <c r="H26" i="7" s="1"/>
  <c r="I16" i="1"/>
  <c r="K10" i="7"/>
  <c r="K9" i="7"/>
  <c r="K11" i="7"/>
  <c r="M11" i="7" s="1"/>
  <c r="E26" i="7"/>
  <c r="D26" i="7"/>
  <c r="E10" i="7"/>
  <c r="E25" i="7" s="1"/>
  <c r="D25" i="7"/>
  <c r="I10" i="7"/>
  <c r="I25" i="7" s="1"/>
  <c r="G25" i="7"/>
  <c r="I9" i="7"/>
  <c r="I24" i="7" s="1"/>
  <c r="G24" i="7"/>
  <c r="H9" i="7"/>
  <c r="H24" i="7" s="1"/>
  <c r="F24" i="7"/>
  <c r="I26" i="7"/>
  <c r="G26" i="7"/>
  <c r="H17" i="7"/>
  <c r="H32" i="7" s="1"/>
  <c r="F32" i="7"/>
  <c r="M33" i="7"/>
  <c r="K33" i="7"/>
  <c r="E16" i="7"/>
  <c r="E31" i="7" s="1"/>
  <c r="D31" i="7"/>
  <c r="L17" i="7"/>
  <c r="L32" i="7" s="1"/>
  <c r="J32" i="7"/>
  <c r="I16" i="7"/>
  <c r="I31" i="7" s="1"/>
  <c r="G31" i="7"/>
  <c r="I33" i="7"/>
  <c r="G33" i="7"/>
  <c r="M17" i="7"/>
  <c r="M32" i="7" s="1"/>
  <c r="K32" i="7"/>
  <c r="E33" i="7"/>
  <c r="D33" i="7"/>
  <c r="I17" i="7"/>
  <c r="I32" i="7" s="1"/>
  <c r="G32" i="7"/>
  <c r="E17" i="7"/>
  <c r="E32" i="7" s="1"/>
  <c r="D32" i="7"/>
  <c r="E9" i="7"/>
  <c r="E24" i="7" s="1"/>
  <c r="H16" i="7"/>
  <c r="H31" i="7" s="1"/>
  <c r="J11" i="7"/>
  <c r="J10" i="7"/>
  <c r="J25" i="7" s="1"/>
  <c r="J9" i="7"/>
  <c r="J24" i="7" s="1"/>
  <c r="M16" i="7"/>
  <c r="M31" i="7" s="1"/>
  <c r="L16" i="7"/>
  <c r="L31" i="7" s="1"/>
  <c r="H10" i="7"/>
  <c r="H25" i="7" s="1"/>
  <c r="I17" i="1"/>
  <c r="I15" i="1"/>
  <c r="J26" i="7" l="1"/>
  <c r="L11" i="7"/>
  <c r="L26" i="7" s="1"/>
  <c r="M26" i="7"/>
  <c r="K26" i="7"/>
  <c r="M9" i="7"/>
  <c r="M24" i="7" s="1"/>
  <c r="K24" i="7"/>
  <c r="M10" i="7"/>
  <c r="M25" i="7" s="1"/>
  <c r="K25" i="7"/>
  <c r="L10" i="7"/>
  <c r="L25" i="7" s="1"/>
  <c r="L9" i="7"/>
  <c r="L24" i="7" s="1"/>
  <c r="J19" i="1"/>
</calcChain>
</file>

<file path=xl/sharedStrings.xml><?xml version="1.0" encoding="utf-8"?>
<sst xmlns="http://schemas.openxmlformats.org/spreadsheetml/2006/main" count="235" uniqueCount="91">
  <si>
    <t>F</t>
  </si>
  <si>
    <t>Maximum must be more than current</t>
  </si>
  <si>
    <t>Current users</t>
  </si>
  <si>
    <t>Current must be less than maximum</t>
  </si>
  <si>
    <t>INFRASTRUCTURE ARCHITECTURE</t>
  </si>
  <si>
    <t>Single Server</t>
  </si>
  <si>
    <t>Scale Up</t>
  </si>
  <si>
    <t>Scale Out</t>
  </si>
  <si>
    <t>ATDT</t>
  </si>
  <si>
    <t>AT + DT</t>
  </si>
  <si>
    <t>Feasible recommendation for current?</t>
  </si>
  <si>
    <t>Feasible recommendation for future?</t>
  </si>
  <si>
    <t>Preferred Architecture?</t>
  </si>
  <si>
    <t>Physical</t>
  </si>
  <si>
    <t>Virtual</t>
  </si>
  <si>
    <t>AT</t>
  </si>
  <si>
    <t>DT</t>
  </si>
  <si>
    <t>CORE</t>
  </si>
  <si>
    <t>RAM (GB)</t>
  </si>
  <si>
    <t>DISK (GB)</t>
  </si>
  <si>
    <t>RAM</t>
  </si>
  <si>
    <t>Yes</t>
  </si>
  <si>
    <t>No</t>
  </si>
  <si>
    <r>
      <rPr>
        <b/>
        <sz val="11"/>
        <color rgb="FFC00000"/>
        <rFont val="Calibri"/>
        <family val="2"/>
        <scheme val="minor"/>
      </rPr>
      <t>MINIMUM</t>
    </r>
    <r>
      <rPr>
        <b/>
        <sz val="11"/>
        <color theme="0"/>
        <rFont val="Calibri"/>
        <family val="2"/>
        <scheme val="minor"/>
      </rPr>
      <t xml:space="preserve"> CONFIGURATION FOR CURRENT REQUIREMENTS</t>
    </r>
  </si>
  <si>
    <r>
      <rPr>
        <b/>
        <sz val="11"/>
        <color rgb="FFC00000"/>
        <rFont val="Calibri"/>
        <family val="2"/>
        <scheme val="minor"/>
      </rPr>
      <t xml:space="preserve">MINIMUM </t>
    </r>
    <r>
      <rPr>
        <b/>
        <sz val="11"/>
        <color theme="0"/>
        <rFont val="Calibri"/>
        <family val="2"/>
        <scheme val="minor"/>
      </rPr>
      <t>RECOMMENDED CONFIGURATION FOR FUTURE GROWTH</t>
    </r>
  </si>
  <si>
    <r>
      <rPr>
        <b/>
        <sz val="11"/>
        <color theme="0"/>
        <rFont val="Calibri"/>
        <family val="2"/>
        <scheme val="minor"/>
      </rPr>
      <t>Real-World</t>
    </r>
    <r>
      <rPr>
        <sz val="11"/>
        <color theme="0"/>
        <rFont val="Calibri"/>
        <family val="2"/>
        <scheme val="minor"/>
      </rPr>
      <t xml:space="preserve"> (Beef) </t>
    </r>
    <r>
      <rPr>
        <b/>
        <sz val="11"/>
        <color theme="0"/>
        <rFont val="Calibri"/>
        <family val="2"/>
        <scheme val="minor"/>
      </rPr>
      <t>Factor</t>
    </r>
    <r>
      <rPr>
        <sz val="11"/>
        <color theme="0"/>
        <rFont val="Calibri"/>
        <family val="2"/>
        <scheme val="minor"/>
      </rPr>
      <t xml:space="preserve"> </t>
    </r>
  </si>
  <si>
    <t>Low-End Configuration</t>
  </si>
  <si>
    <t>Standard Configuration</t>
  </si>
  <si>
    <t>High-End Configuration</t>
  </si>
  <si>
    <t>Scale-Out Configuration</t>
  </si>
  <si>
    <t>RPS</t>
  </si>
  <si>
    <t>User Limit</t>
  </si>
  <si>
    <t>Constants</t>
  </si>
  <si>
    <t>RPS Factor</t>
  </si>
  <si>
    <t>Estimated number of Application Tier (AT) servers</t>
  </si>
  <si>
    <t>TPC</t>
  </si>
  <si>
    <t>Maximum Current Active Collections (per SQL Server instance)</t>
  </si>
  <si>
    <t>Maximum Future Active Collections (per SQL Server instance)</t>
  </si>
  <si>
    <t>Server Configuration Type</t>
  </si>
  <si>
    <t>RAM-DT</t>
  </si>
  <si>
    <t>RAM-AT</t>
  </si>
  <si>
    <t>DISK-AT</t>
  </si>
  <si>
    <t>Core-DT</t>
  </si>
  <si>
    <t>Core-AT</t>
  </si>
  <si>
    <t>DISK-DT</t>
  </si>
  <si>
    <t>Maximum expected users</t>
  </si>
  <si>
    <r>
      <rPr>
        <b/>
        <sz val="20"/>
        <color rgb="FF006100"/>
        <rFont val="Calibri"/>
        <family val="2"/>
        <scheme val="minor"/>
      </rPr>
      <t>BASE</t>
    </r>
    <r>
      <rPr>
        <b/>
        <sz val="11"/>
        <color rgb="FF006100"/>
        <rFont val="Calibri"/>
        <family val="2"/>
        <scheme val="minor"/>
      </rPr>
      <t xml:space="preserve">
RECOMMENDATIONS</t>
    </r>
  </si>
  <si>
    <r>
      <t xml:space="preserve">WITH </t>
    </r>
    <r>
      <rPr>
        <b/>
        <sz val="20"/>
        <color rgb="FF9C6500"/>
        <rFont val="Calibri"/>
        <family val="2"/>
        <scheme val="minor"/>
      </rPr>
      <t>BEEF</t>
    </r>
    <r>
      <rPr>
        <b/>
        <sz val="11"/>
        <color rgb="FF9C6500"/>
        <rFont val="Calibri"/>
        <family val="2"/>
        <scheme val="minor"/>
      </rPr>
      <t xml:space="preserve"> FACTOR</t>
    </r>
  </si>
  <si>
    <r>
      <rPr>
        <b/>
        <sz val="11"/>
        <color rgb="FFFF0000"/>
        <rFont val="Calibri"/>
        <family val="2"/>
        <scheme val="minor"/>
      </rPr>
      <t>NOTE:</t>
    </r>
    <r>
      <rPr>
        <b/>
        <i/>
        <sz val="11"/>
        <color rgb="FFFF0000"/>
        <rFont val="Calibri"/>
        <family val="2"/>
        <scheme val="minor"/>
      </rPr>
      <t xml:space="preserve"> </t>
    </r>
    <r>
      <rPr>
        <i/>
        <sz val="11"/>
        <color theme="1"/>
        <rFont val="Calibri"/>
        <family val="2"/>
        <scheme val="minor"/>
      </rPr>
      <t>This is a simplified model for educational purposes and does not replace expert consulting. Real-world requirements and infrastructure environments can be much more complex.</t>
    </r>
  </si>
  <si>
    <t>Safety growth factor to add to proposed architecture.</t>
  </si>
  <si>
    <r>
      <rPr>
        <b/>
        <sz val="11"/>
        <color rgb="FFFF0000"/>
        <rFont val="Calibri"/>
        <family val="2"/>
        <scheme val="minor"/>
      </rPr>
      <t xml:space="preserve">NOTE: </t>
    </r>
    <r>
      <rPr>
        <sz val="11"/>
        <color theme="1"/>
        <rFont val="Calibri"/>
        <family val="2"/>
        <scheme val="minor"/>
      </rPr>
      <t>This is a simplified model for educational purposes and does not replace expert consulting. Real world requirements and infrastructure environments can be much more complex.</t>
    </r>
  </si>
  <si>
    <t>Medium-End Configuration</t>
  </si>
  <si>
    <t>Code Search Server</t>
  </si>
  <si>
    <t>Standalone Server</t>
  </si>
  <si>
    <t>Code Search Low-End</t>
  </si>
  <si>
    <t>Core</t>
  </si>
  <si>
    <t>Code Search High-End</t>
  </si>
  <si>
    <t>Maximum</t>
  </si>
  <si>
    <t>Current</t>
  </si>
  <si>
    <t>Proxy Server</t>
  </si>
  <si>
    <t>Standalone Server With GVFS</t>
  </si>
  <si>
    <t>Search Server Storage</t>
  </si>
  <si>
    <t>Proxy Low-End</t>
  </si>
  <si>
    <t>Proxy Medium-End</t>
  </si>
  <si>
    <t>Proxy High-End</t>
  </si>
  <si>
    <t>Branch Tip Size (GB)</t>
  </si>
  <si>
    <t>GVFS Storage Scale</t>
  </si>
  <si>
    <t>ALM | DevOps Rangers - On-Premises Capacity Planning Quick Reference Poster Companion Workbook</t>
  </si>
  <si>
    <t>Version 2019.04.21</t>
  </si>
  <si>
    <t>Total Repository Size (GB)</t>
  </si>
  <si>
    <t>Current recommendation is is 1.5x the repository's entire size</t>
  </si>
  <si>
    <t>Current recommendation is 4x the repository's entire size</t>
  </si>
  <si>
    <t>Code Search Demo</t>
  </si>
  <si>
    <t>Configure</t>
  </si>
  <si>
    <t>Co-located</t>
  </si>
  <si>
    <t>Standalone</t>
  </si>
  <si>
    <t>Users (From Server Scenarios)</t>
  </si>
  <si>
    <t>Maximum Expected</t>
  </si>
  <si>
    <t>Virtualization Overhead</t>
  </si>
  <si>
    <t>Overhead for a system running on a virtual machine</t>
  </si>
  <si>
    <t xml:space="preserve"> </t>
  </si>
  <si>
    <t>Maximum size must be less than current size</t>
  </si>
  <si>
    <t>Maximum tip size must be greater than current tip size</t>
  </si>
  <si>
    <r>
      <t xml:space="preserve">Read </t>
    </r>
    <r>
      <rPr>
        <b/>
        <sz val="11"/>
        <color theme="1"/>
        <rFont val="Calibri"/>
        <family val="2"/>
        <scheme val="minor"/>
      </rPr>
      <t>https://docs.microsoft.com/en-us/azure/devops/server/requirements</t>
    </r>
    <r>
      <rPr>
        <sz val="11"/>
        <color theme="1"/>
        <rFont val="Calibri"/>
        <family val="2"/>
        <scheme val="minor"/>
      </rPr>
      <t xml:space="preserve"> for up-to-date operating system, hardware, virtualization, and other requirements.</t>
    </r>
  </si>
  <si>
    <r>
      <t xml:space="preserve">Read </t>
    </r>
    <r>
      <rPr>
        <b/>
        <sz val="11"/>
        <color theme="1"/>
        <rFont val="Calibri"/>
        <family val="2"/>
        <scheme val="minor"/>
      </rPr>
      <t>https://docs.microsoft.com/en-us/azure/devops/server/requirements</t>
    </r>
    <r>
      <rPr>
        <sz val="11"/>
        <color theme="1"/>
        <rFont val="Calibri"/>
        <family val="2"/>
        <scheme val="minor"/>
      </rPr>
      <t xml:space="preserve"> for up-to-date operating system, hardware, virtualization, and other requirements</t>
    </r>
  </si>
  <si>
    <r>
      <t xml:space="preserve">Hardware requirements for Code Search can be found at </t>
    </r>
    <r>
      <rPr>
        <b/>
        <sz val="11"/>
        <color theme="1"/>
        <rFont val="Calibri"/>
        <family val="2"/>
        <scheme val="minor"/>
      </rPr>
      <t>https://docs.microsoft.com/en-us/azure/devops/project/search/administration</t>
    </r>
  </si>
  <si>
    <t>INSTRUCTIONS</t>
  </si>
  <si>
    <t>NUMBER OF ACTIVE AZURE DEVOPS SERVER USERS</t>
  </si>
  <si>
    <r>
      <t xml:space="preserve">To use this simplified capacity planning tool, enter the maximum number of users expected to be actively using the Azure DevOps servers. Then, enter the current number of users for the system. The Infrastructure Architecture table will automatically update to indicate suggested server configurations. The tab </t>
    </r>
    <r>
      <rPr>
        <b/>
        <sz val="11"/>
        <color theme="1"/>
        <rFont val="Calibri"/>
        <family val="2"/>
        <scheme val="minor"/>
      </rPr>
      <t>Hardware Configurations</t>
    </r>
    <r>
      <rPr>
        <sz val="11"/>
        <color theme="1"/>
        <rFont val="Calibri"/>
        <family val="2"/>
        <scheme val="minor"/>
      </rPr>
      <t xml:space="preserve"> will contain the suggested minimum hardware specifications for the servers.
If the one or more teams will be operating remotely and using Team Foundation Version Control (TFVC) or Git Virtual File System (GVFS), then consider using an Azure DevOps Proxy server to improve the performance. This can be configured using the </t>
    </r>
    <r>
      <rPr>
        <b/>
        <sz val="11"/>
        <color theme="1"/>
        <rFont val="Calibri"/>
        <family val="2"/>
        <scheme val="minor"/>
      </rPr>
      <t>Proxy Server</t>
    </r>
    <r>
      <rPr>
        <sz val="11"/>
        <color theme="1"/>
        <rFont val="Calibri"/>
        <family val="2"/>
        <scheme val="minor"/>
      </rPr>
      <t xml:space="preserve"> tab.
To enable full-text search across Code, Wiki, packages, and work items, a Code Search Server will be required. This can be configured on the </t>
    </r>
    <r>
      <rPr>
        <b/>
        <sz val="11"/>
        <color theme="1"/>
        <rFont val="Calibri"/>
        <family val="2"/>
        <scheme val="minor"/>
      </rPr>
      <t>Code Search</t>
    </r>
    <r>
      <rPr>
        <sz val="11"/>
        <color theme="1"/>
        <rFont val="Calibri"/>
        <family val="2"/>
        <scheme val="minor"/>
      </rPr>
      <t xml:space="preserve"> tab.</t>
    </r>
  </si>
  <si>
    <r>
      <t xml:space="preserve">To estimate the requirements for the Code Search Server, enter the current and maximum expected repository size. The hardware requirements will be reflected in the table above.  If you're working with a Git repository, you can estimate the size by issuing the following commands and reviewing the value of </t>
    </r>
    <r>
      <rPr>
        <b/>
        <sz val="11"/>
        <color theme="1"/>
        <rFont val="Calibri"/>
        <family val="2"/>
        <scheme val="minor"/>
      </rPr>
      <t>size-pack</t>
    </r>
    <r>
      <rPr>
        <sz val="11"/>
        <color theme="1"/>
        <rFont val="Calibri"/>
        <family val="2"/>
        <scheme val="minor"/>
      </rPr>
      <t xml:space="preserve">:
</t>
    </r>
    <r>
      <rPr>
        <sz val="9"/>
        <color theme="1"/>
        <rFont val="Courier New"/>
        <family val="3"/>
      </rPr>
      <t>git gc
git count-objects -vH</t>
    </r>
    <r>
      <rPr>
        <sz val="11"/>
        <color theme="1"/>
        <rFont val="Calibri"/>
        <family val="2"/>
        <scheme val="minor"/>
      </rPr>
      <t xml:space="preserve">
</t>
    </r>
  </si>
  <si>
    <r>
      <t xml:space="preserve">To estimate the required configuration for the Proxy Server, enter the current and expected maximum size of all code repositories which will be accessed. If you're working with a Git repository, you can estimate the size by issuing the following commands and reviewing the value of </t>
    </r>
    <r>
      <rPr>
        <b/>
        <sz val="11"/>
        <color theme="1"/>
        <rFont val="Calibri"/>
        <family val="2"/>
        <scheme val="minor"/>
      </rPr>
      <t>size-pack</t>
    </r>
    <r>
      <rPr>
        <sz val="11"/>
        <color theme="1"/>
        <rFont val="Calibri"/>
        <family val="2"/>
        <scheme val="minor"/>
      </rPr>
      <t xml:space="preserve">:
</t>
    </r>
    <r>
      <rPr>
        <sz val="9"/>
        <color theme="1"/>
        <rFont val="Courier New"/>
        <family val="3"/>
      </rPr>
      <t xml:space="preserve">git gc
git count-objects -vH
</t>
    </r>
    <r>
      <rPr>
        <sz val="11"/>
        <color theme="1"/>
        <rFont val="Calibri"/>
        <family val="2"/>
        <scheme val="minor"/>
      </rPr>
      <t xml:space="preserve">
Additionally, enter the current and expected maximum tip sizes for all active branches. This is the size of the files in each active branch as queried from the file system.
If the Git Virtual File System (GVFS) proxy feature is being used, SSD hard drives should be used. Refer to the column Standalone Server With GVFS for the recommended hardware settings.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</si>
</sst>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36"/>
      <color theme="1"/>
      <name val="Wingdings"/>
      <charset val="2"/>
    </font>
    <font>
      <b/>
      <sz val="36"/>
      <color theme="1"/>
      <name val="Calibri"/>
      <family val="2"/>
      <scheme val="minor"/>
    </font>
    <font>
      <b/>
      <sz val="11"/>
      <color rgb="FFFF0000"/>
      <name val="Calibri"/>
      <family val="2"/>
      <scheme val="minor"/>
    </font>
    <font>
      <b/>
      <i/>
      <sz val="11"/>
      <color rgb="FFFF0000"/>
      <name val="Calibri"/>
      <family val="2"/>
      <scheme val="minor"/>
    </font>
    <font>
      <sz val="11"/>
      <color theme="0"/>
      <name val="Calibri"/>
      <family val="2"/>
      <scheme val="minor"/>
    </font>
    <font>
      <b/>
      <sz val="11"/>
      <color rgb="FFC00000"/>
      <name val="Calibri"/>
      <family val="2"/>
      <scheme val="minor"/>
    </font>
    <font>
      <i/>
      <sz val="8"/>
      <color theme="1"/>
      <name val="Calibri"/>
      <family val="2"/>
      <scheme val="minor"/>
    </font>
    <font>
      <sz val="11"/>
      <color rgb="FF006100"/>
      <name val="Calibri"/>
      <family val="2"/>
      <scheme val="minor"/>
    </font>
    <font>
      <sz val="11"/>
      <color rgb="FF9C6500"/>
      <name val="Calibri"/>
      <family val="2"/>
      <scheme val="minor"/>
    </font>
    <font>
      <b/>
      <sz val="11"/>
      <color rgb="FF9C6500"/>
      <name val="Calibri"/>
      <family val="2"/>
      <scheme val="minor"/>
    </font>
    <font>
      <b/>
      <sz val="11"/>
      <color rgb="FF006100"/>
      <name val="Calibri"/>
      <family val="2"/>
      <scheme val="minor"/>
    </font>
    <font>
      <b/>
      <sz val="20"/>
      <color rgb="FF006100"/>
      <name val="Calibri"/>
      <family val="2"/>
      <scheme val="minor"/>
    </font>
    <font>
      <b/>
      <sz val="20"/>
      <color rgb="FF9C6500"/>
      <name val="Calibri"/>
      <family val="2"/>
      <scheme val="minor"/>
    </font>
    <font>
      <sz val="11"/>
      <color theme="1"/>
      <name val="Calibri"/>
      <family val="2"/>
      <scheme val="minor"/>
    </font>
    <font>
      <b/>
      <u/>
      <sz val="11"/>
      <color theme="1"/>
      <name val="Calibri"/>
      <family val="2"/>
      <scheme val="minor"/>
    </font>
    <font>
      <sz val="9"/>
      <color theme="1"/>
      <name val="Courier New"/>
      <family val="3"/>
    </font>
  </fonts>
  <fills count="11">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theme="1" tint="0.34998626667073579"/>
        <bgColor indexed="64"/>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0.24994659260841701"/>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
    <xf numFmtId="0" fontId="0" fillId="0" borderId="0"/>
    <xf numFmtId="0" fontId="13" fillId="4" borderId="0" applyNumberFormat="0" applyBorder="0" applyAlignment="0" applyProtection="0"/>
    <xf numFmtId="0" fontId="14" fillId="5" borderId="0" applyNumberFormat="0" applyBorder="0" applyAlignment="0" applyProtection="0"/>
    <xf numFmtId="9" fontId="19" fillId="0" borderId="0" applyFont="0" applyFill="0" applyBorder="0" applyAlignment="0" applyProtection="0"/>
  </cellStyleXfs>
  <cellXfs count="132">
    <xf numFmtId="0" fontId="0" fillId="0" borderId="0" xfId="0"/>
    <xf numFmtId="0" fontId="4" fillId="0" borderId="0" xfId="0" applyFont="1"/>
    <xf numFmtId="0" fontId="1" fillId="2" borderId="7" xfId="0" applyFont="1" applyFill="1" applyBorder="1"/>
    <xf numFmtId="0" fontId="0" fillId="3" borderId="9" xfId="0" applyFill="1" applyBorder="1"/>
    <xf numFmtId="0" fontId="3" fillId="3" borderId="9" xfId="0" applyFont="1" applyFill="1" applyBorder="1"/>
    <xf numFmtId="0" fontId="3" fillId="3" borderId="10" xfId="0" applyFont="1" applyFill="1" applyBorder="1"/>
    <xf numFmtId="0" fontId="3" fillId="3" borderId="15" xfId="0" applyFont="1" applyFill="1" applyBorder="1" applyAlignment="1">
      <alignment horizontal="center"/>
    </xf>
    <xf numFmtId="0" fontId="3" fillId="0" borderId="0" xfId="0" applyFont="1"/>
    <xf numFmtId="0" fontId="3" fillId="0" borderId="0" xfId="0" applyFont="1" applyAlignment="1">
      <alignment horizontal="center"/>
    </xf>
    <xf numFmtId="0" fontId="0" fillId="3" borderId="4" xfId="0" applyFill="1" applyBorder="1"/>
    <xf numFmtId="0" fontId="3" fillId="3" borderId="0" xfId="0" applyFont="1" applyFill="1" applyAlignment="1">
      <alignment horizontal="center"/>
    </xf>
    <xf numFmtId="0" fontId="3" fillId="3" borderId="12" xfId="0" applyFont="1" applyFill="1" applyBorder="1" applyAlignment="1">
      <alignment horizontal="center"/>
    </xf>
    <xf numFmtId="0" fontId="3" fillId="3" borderId="4" xfId="0" applyFont="1" applyFill="1" applyBorder="1" applyAlignment="1">
      <alignment horizontal="center"/>
    </xf>
    <xf numFmtId="0" fontId="3" fillId="3" borderId="3" xfId="0" applyFont="1" applyFill="1" applyBorder="1" applyAlignment="1">
      <alignment horizontal="center"/>
    </xf>
    <xf numFmtId="0" fontId="0" fillId="0" borderId="0" xfId="0" applyAlignment="1">
      <alignment horizontal="center"/>
    </xf>
    <xf numFmtId="9" fontId="3" fillId="0" borderId="18" xfId="0" applyNumberFormat="1" applyFont="1" applyBorder="1" applyProtection="1">
      <protection locked="0"/>
    </xf>
    <xf numFmtId="1" fontId="0" fillId="7" borderId="0" xfId="0" applyNumberFormat="1" applyFill="1" applyAlignment="1">
      <alignment horizontal="center"/>
    </xf>
    <xf numFmtId="1" fontId="0" fillId="7" borderId="11" xfId="0" applyNumberFormat="1" applyFill="1" applyBorder="1" applyAlignment="1">
      <alignment horizontal="center"/>
    </xf>
    <xf numFmtId="0" fontId="2" fillId="0" borderId="0" xfId="0" applyFont="1"/>
    <xf numFmtId="0" fontId="7" fillId="0" borderId="0" xfId="0" applyFont="1" applyAlignment="1">
      <alignment horizontal="center" vertical="center"/>
    </xf>
    <xf numFmtId="0" fontId="10" fillId="6" borderId="17" xfId="0" applyFont="1" applyFill="1" applyBorder="1"/>
    <xf numFmtId="0" fontId="10" fillId="0" borderId="0" xfId="0" applyFont="1"/>
    <xf numFmtId="0" fontId="0" fillId="3" borderId="3" xfId="0" applyFill="1" applyBorder="1" applyAlignment="1">
      <alignment horizontal="left" vertical="center"/>
    </xf>
    <xf numFmtId="0" fontId="0" fillId="3" borderId="23" xfId="0" applyFill="1" applyBorder="1" applyAlignment="1">
      <alignment horizontal="left" vertical="center"/>
    </xf>
    <xf numFmtId="0" fontId="0" fillId="7" borderId="24" xfId="0" applyFill="1" applyBorder="1" applyAlignment="1">
      <alignment horizontal="right"/>
    </xf>
    <xf numFmtId="0" fontId="0" fillId="7" borderId="24" xfId="0" applyFill="1" applyBorder="1" applyAlignment="1">
      <alignment horizontal="center"/>
    </xf>
    <xf numFmtId="0" fontId="0" fillId="7" borderId="24" xfId="0" applyFill="1" applyBorder="1" applyAlignment="1">
      <alignment horizontal="left"/>
    </xf>
    <xf numFmtId="0" fontId="0" fillId="3" borderId="22" xfId="0" applyFill="1" applyBorder="1" applyAlignment="1">
      <alignment horizontal="left" vertical="center"/>
    </xf>
    <xf numFmtId="0" fontId="0" fillId="3" borderId="21" xfId="0" applyFill="1" applyBorder="1" applyAlignment="1">
      <alignment horizontal="left" vertical="center"/>
    </xf>
    <xf numFmtId="9" fontId="0" fillId="0" borderId="0" xfId="0" applyNumberFormat="1" applyAlignment="1">
      <alignment horizontal="center"/>
    </xf>
    <xf numFmtId="0" fontId="1" fillId="2" borderId="2" xfId="0" applyFont="1" applyFill="1" applyBorder="1"/>
    <xf numFmtId="0" fontId="3" fillId="3" borderId="4" xfId="0" applyFont="1" applyFill="1" applyBorder="1"/>
    <xf numFmtId="0" fontId="3" fillId="3" borderId="6" xfId="0" applyFont="1" applyFill="1" applyBorder="1"/>
    <xf numFmtId="1" fontId="0" fillId="7" borderId="3" xfId="0" applyNumberFormat="1" applyFill="1" applyBorder="1" applyAlignment="1">
      <alignment horizontal="center"/>
    </xf>
    <xf numFmtId="1" fontId="0" fillId="7" borderId="5" xfId="0" applyNumberFormat="1" applyFill="1" applyBorder="1" applyAlignment="1">
      <alignment horizontal="center"/>
    </xf>
    <xf numFmtId="1" fontId="0" fillId="7" borderId="15" xfId="0" applyNumberFormat="1" applyFill="1" applyBorder="1" applyAlignment="1">
      <alignment horizontal="center"/>
    </xf>
    <xf numFmtId="1" fontId="0" fillId="7" borderId="13" xfId="0" applyNumberFormat="1" applyFill="1" applyBorder="1" applyAlignment="1">
      <alignment horizontal="center"/>
    </xf>
    <xf numFmtId="1" fontId="0" fillId="7" borderId="12" xfId="0" applyNumberFormat="1" applyFill="1" applyBorder="1" applyAlignment="1">
      <alignment horizontal="center"/>
    </xf>
    <xf numFmtId="1" fontId="0" fillId="7" borderId="4" xfId="0" applyNumberFormat="1" applyFill="1" applyBorder="1" applyAlignment="1">
      <alignment horizontal="center"/>
    </xf>
    <xf numFmtId="1" fontId="0" fillId="7" borderId="26" xfId="0" applyNumberFormat="1" applyFill="1" applyBorder="1" applyAlignment="1">
      <alignment horizontal="center"/>
    </xf>
    <xf numFmtId="1" fontId="0" fillId="7" borderId="6" xfId="0" applyNumberFormat="1" applyFill="1" applyBorder="1" applyAlignment="1">
      <alignment horizontal="center"/>
    </xf>
    <xf numFmtId="1" fontId="3" fillId="3" borderId="3" xfId="0" applyNumberFormat="1" applyFont="1" applyFill="1" applyBorder="1" applyAlignment="1">
      <alignment horizontal="center"/>
    </xf>
    <xf numFmtId="1" fontId="3" fillId="3" borderId="15" xfId="0" applyNumberFormat="1" applyFont="1" applyFill="1" applyBorder="1" applyAlignment="1">
      <alignment horizontal="center"/>
    </xf>
    <xf numFmtId="1" fontId="3" fillId="3" borderId="0" xfId="0" applyNumberFormat="1" applyFont="1" applyFill="1" applyAlignment="1">
      <alignment horizontal="center"/>
    </xf>
    <xf numFmtId="1" fontId="3" fillId="3" borderId="12" xfId="0" applyNumberFormat="1" applyFont="1" applyFill="1" applyBorder="1" applyAlignment="1">
      <alignment horizontal="center"/>
    </xf>
    <xf numFmtId="1" fontId="3" fillId="3" borderId="4" xfId="0" applyNumberFormat="1" applyFont="1" applyFill="1" applyBorder="1" applyAlignment="1">
      <alignment horizontal="center"/>
    </xf>
    <xf numFmtId="1" fontId="0" fillId="0" borderId="0" xfId="0" applyNumberFormat="1"/>
    <xf numFmtId="1" fontId="0" fillId="7" borderId="16" xfId="0" applyNumberFormat="1" applyFill="1" applyBorder="1" applyAlignment="1">
      <alignment horizontal="center"/>
    </xf>
    <xf numFmtId="1" fontId="0" fillId="7" borderId="14" xfId="0" applyNumberFormat="1" applyFill="1" applyBorder="1" applyAlignment="1">
      <alignment horizontal="center"/>
    </xf>
    <xf numFmtId="0" fontId="0" fillId="3" borderId="3" xfId="0" applyFill="1" applyBorder="1" applyAlignment="1">
      <alignment vertical="center"/>
    </xf>
    <xf numFmtId="0" fontId="3" fillId="8" borderId="4" xfId="0" applyFont="1" applyFill="1" applyBorder="1" applyAlignment="1" applyProtection="1">
      <alignment vertical="center"/>
      <protection locked="0"/>
    </xf>
    <xf numFmtId="0" fontId="0" fillId="3" borderId="5" xfId="0" applyFill="1" applyBorder="1" applyAlignment="1">
      <alignment vertical="center"/>
    </xf>
    <xf numFmtId="0" fontId="3" fillId="8" borderId="6" xfId="0" applyFont="1" applyFill="1" applyBorder="1" applyAlignment="1" applyProtection="1">
      <alignment vertical="center"/>
      <protection locked="0"/>
    </xf>
    <xf numFmtId="0" fontId="0" fillId="0" borderId="0" xfId="0" applyAlignment="1">
      <alignment horizontal="center"/>
    </xf>
    <xf numFmtId="0" fontId="20" fillId="0" borderId="0" xfId="0" applyFont="1"/>
    <xf numFmtId="9" fontId="0" fillId="0" borderId="0" xfId="3" applyFont="1" applyAlignment="1">
      <alignment horizontal="center"/>
    </xf>
    <xf numFmtId="0" fontId="0" fillId="3" borderId="27" xfId="0" applyFill="1" applyBorder="1" applyAlignment="1">
      <alignment horizontal="left" vertical="center"/>
    </xf>
    <xf numFmtId="0" fontId="0" fillId="7" borderId="28" xfId="0" applyFill="1" applyBorder="1" applyAlignment="1">
      <alignment horizontal="right"/>
    </xf>
    <xf numFmtId="0" fontId="0" fillId="7" borderId="28" xfId="0" applyFill="1" applyBorder="1" applyAlignment="1">
      <alignment horizontal="center"/>
    </xf>
    <xf numFmtId="0" fontId="0" fillId="7" borderId="29" xfId="0" applyFill="1" applyBorder="1" applyAlignment="1">
      <alignment horizontal="left"/>
    </xf>
    <xf numFmtId="1" fontId="3" fillId="3" borderId="3" xfId="0" applyNumberFormat="1" applyFont="1" applyFill="1" applyBorder="1" applyAlignment="1">
      <alignment horizontal="center"/>
    </xf>
    <xf numFmtId="0" fontId="3" fillId="3" borderId="3" xfId="0" applyFont="1" applyFill="1" applyBorder="1" applyAlignment="1">
      <alignment horizontal="center"/>
    </xf>
    <xf numFmtId="0" fontId="3" fillId="3" borderId="6" xfId="0" applyFont="1" applyFill="1" applyBorder="1" applyAlignment="1" applyProtection="1">
      <alignment vertical="center"/>
    </xf>
    <xf numFmtId="0" fontId="3" fillId="3" borderId="4" xfId="0" applyFont="1" applyFill="1" applyBorder="1" applyAlignment="1" applyProtection="1">
      <alignment vertical="center"/>
    </xf>
    <xf numFmtId="0" fontId="0" fillId="9" borderId="1" xfId="0" applyFill="1" applyBorder="1" applyAlignment="1">
      <alignment horizontal="left" vertical="top" wrapText="1"/>
    </xf>
    <xf numFmtId="0" fontId="0" fillId="9" borderId="8"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0" xfId="0" applyFill="1" applyBorder="1" applyAlignment="1">
      <alignment horizontal="left" vertical="top" wrapText="1"/>
    </xf>
    <xf numFmtId="0" fontId="0" fillId="9" borderId="4" xfId="0" applyFill="1" applyBorder="1" applyAlignment="1">
      <alignment horizontal="left" vertical="top" wrapText="1"/>
    </xf>
    <xf numFmtId="0" fontId="0" fillId="9" borderId="5" xfId="0" applyFill="1" applyBorder="1" applyAlignment="1">
      <alignment horizontal="left" vertical="top" wrapText="1"/>
    </xf>
    <xf numFmtId="0" fontId="0" fillId="9" borderId="11" xfId="0" applyFill="1" applyBorder="1" applyAlignment="1">
      <alignment horizontal="left" vertical="top" wrapText="1"/>
    </xf>
    <xf numFmtId="0" fontId="0" fillId="9" borderId="6" xfId="0" applyFill="1" applyBorder="1" applyAlignment="1">
      <alignment horizontal="left" vertical="top" wrapText="1"/>
    </xf>
    <xf numFmtId="0" fontId="3" fillId="10" borderId="1" xfId="0" applyFont="1" applyFill="1" applyBorder="1" applyAlignment="1">
      <alignment horizontal="left" vertical="top" wrapText="1"/>
    </xf>
    <xf numFmtId="0" fontId="3" fillId="10" borderId="8" xfId="0" applyFont="1" applyFill="1" applyBorder="1" applyAlignment="1">
      <alignment horizontal="left" vertical="top" wrapText="1"/>
    </xf>
    <xf numFmtId="0" fontId="3" fillId="10" borderId="2" xfId="0" applyFont="1" applyFill="1" applyBorder="1" applyAlignment="1">
      <alignment horizontal="left" vertical="top" wrapText="1"/>
    </xf>
    <xf numFmtId="0" fontId="0" fillId="7" borderId="28" xfId="0" applyFill="1" applyBorder="1" applyAlignment="1">
      <alignment horizontal="center"/>
    </xf>
    <xf numFmtId="0" fontId="12" fillId="0" borderId="0" xfId="0" applyFont="1" applyAlignment="1">
      <alignment horizontal="center"/>
    </xf>
    <xf numFmtId="0" fontId="0" fillId="7" borderId="24" xfId="0" applyFill="1" applyBorder="1" applyAlignment="1">
      <alignment horizontal="center"/>
    </xf>
    <xf numFmtId="0" fontId="0" fillId="7" borderId="25" xfId="0" applyFill="1" applyBorder="1" applyAlignment="1">
      <alignment horizontal="center"/>
    </xf>
    <xf numFmtId="0" fontId="0" fillId="7" borderId="0" xfId="0" applyFill="1" applyAlignment="1">
      <alignment horizontal="center"/>
    </xf>
    <xf numFmtId="0" fontId="0" fillId="7" borderId="4" xfId="0" applyFill="1" applyBorder="1" applyAlignment="1">
      <alignment horizontal="center"/>
    </xf>
    <xf numFmtId="0" fontId="0" fillId="7" borderId="20" xfId="0" applyFill="1" applyBorder="1" applyAlignment="1">
      <alignment horizontal="center"/>
    </xf>
    <xf numFmtId="0" fontId="0" fillId="7" borderId="19" xfId="0" applyFill="1" applyBorder="1" applyAlignment="1">
      <alignment horizontal="center"/>
    </xf>
    <xf numFmtId="0" fontId="1" fillId="6" borderId="8" xfId="0" applyFont="1" applyFill="1" applyBorder="1" applyAlignment="1">
      <alignment horizontal="center"/>
    </xf>
    <xf numFmtId="0" fontId="1" fillId="6" borderId="2" xfId="0" applyFont="1" applyFill="1" applyBorder="1" applyAlignment="1">
      <alignment horizontal="center"/>
    </xf>
    <xf numFmtId="0" fontId="1" fillId="6" borderId="0" xfId="0" applyFont="1" applyFill="1" applyAlignment="1">
      <alignment horizontal="center"/>
    </xf>
    <xf numFmtId="0" fontId="1" fillId="6" borderId="4" xfId="0" applyFont="1" applyFill="1" applyBorder="1" applyAlignment="1">
      <alignment horizontal="center"/>
    </xf>
    <xf numFmtId="0" fontId="0" fillId="0" borderId="0" xfId="0" applyAlignment="1">
      <alignment horizontal="center"/>
    </xf>
    <xf numFmtId="0" fontId="0" fillId="0" borderId="4" xfId="0" applyBorder="1" applyAlignment="1">
      <alignment horizontal="center"/>
    </xf>
    <xf numFmtId="0" fontId="6" fillId="0" borderId="0" xfId="0" applyFont="1" applyAlignment="1">
      <alignment horizontal="center" vertical="center"/>
    </xf>
    <xf numFmtId="0" fontId="7" fillId="0" borderId="0" xfId="0" applyFont="1" applyAlignment="1">
      <alignment horizontal="center" vertical="center"/>
    </xf>
    <xf numFmtId="0" fontId="1" fillId="6" borderId="1" xfId="0" applyFont="1" applyFill="1" applyBorder="1" applyAlignment="1">
      <alignment horizontal="left" vertical="center"/>
    </xf>
    <xf numFmtId="0" fontId="1" fillId="6" borderId="3" xfId="0" applyFont="1" applyFill="1" applyBorder="1" applyAlignment="1">
      <alignment horizontal="left" vertical="center"/>
    </xf>
    <xf numFmtId="0" fontId="1" fillId="6" borderId="1" xfId="0" applyFont="1" applyFill="1" applyBorder="1" applyAlignment="1">
      <alignment horizontal="left"/>
    </xf>
    <xf numFmtId="0" fontId="1" fillId="6" borderId="2" xfId="0" applyFont="1" applyFill="1" applyBorder="1" applyAlignment="1">
      <alignment horizontal="left"/>
    </xf>
    <xf numFmtId="0" fontId="16" fillId="4" borderId="7" xfId="1" applyFont="1" applyBorder="1" applyAlignment="1">
      <alignment horizontal="center" vertical="center" wrapText="1"/>
    </xf>
    <xf numFmtId="0" fontId="16" fillId="4" borderId="9" xfId="1" applyFont="1" applyBorder="1" applyAlignment="1">
      <alignment horizontal="center" vertical="center"/>
    </xf>
    <xf numFmtId="0" fontId="16" fillId="4" borderId="10" xfId="1" applyFont="1" applyBorder="1" applyAlignment="1">
      <alignment horizontal="center" vertical="center"/>
    </xf>
    <xf numFmtId="0" fontId="15" fillId="5" borderId="7" xfId="2" applyFont="1" applyBorder="1" applyAlignment="1">
      <alignment horizontal="center" vertical="center" wrapText="1"/>
    </xf>
    <xf numFmtId="0" fontId="15" fillId="5" borderId="9" xfId="2" applyFont="1" applyBorder="1" applyAlignment="1">
      <alignment horizontal="center" vertical="center" wrapText="1"/>
    </xf>
    <xf numFmtId="0" fontId="15" fillId="5" borderId="10" xfId="2" applyFont="1" applyBorder="1" applyAlignment="1">
      <alignment horizontal="center" vertical="center" wrapText="1"/>
    </xf>
    <xf numFmtId="1" fontId="3" fillId="3" borderId="1" xfId="0" applyNumberFormat="1" applyFont="1" applyFill="1" applyBorder="1" applyAlignment="1">
      <alignment horizontal="center"/>
    </xf>
    <xf numFmtId="1" fontId="3" fillId="3" borderId="2" xfId="0" applyNumberFormat="1" applyFont="1" applyFill="1" applyBorder="1" applyAlignment="1">
      <alignment horizontal="center"/>
    </xf>
    <xf numFmtId="1" fontId="3" fillId="3" borderId="8" xfId="0" applyNumberFormat="1" applyFont="1" applyFill="1" applyBorder="1" applyAlignment="1">
      <alignment horizontal="center"/>
    </xf>
    <xf numFmtId="1" fontId="3" fillId="3" borderId="3" xfId="0" applyNumberFormat="1" applyFont="1" applyFill="1" applyBorder="1" applyAlignment="1">
      <alignment horizontal="center"/>
    </xf>
    <xf numFmtId="1" fontId="3" fillId="3" borderId="0" xfId="0" applyNumberFormat="1" applyFont="1" applyFill="1" applyAlignment="1">
      <alignment horizontal="center"/>
    </xf>
    <xf numFmtId="1" fontId="3" fillId="3" borderId="12" xfId="0" applyNumberFormat="1" applyFont="1" applyFill="1" applyBorder="1" applyAlignment="1">
      <alignment horizontal="center"/>
    </xf>
    <xf numFmtId="1" fontId="3" fillId="3" borderId="4" xfId="0" applyNumberFormat="1" applyFont="1" applyFill="1" applyBorder="1" applyAlignment="1">
      <alignment horizontal="center"/>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8" xfId="0" applyFont="1" applyFill="1" applyBorder="1" applyAlignment="1">
      <alignment horizontal="center"/>
    </xf>
    <xf numFmtId="0" fontId="3" fillId="3" borderId="3" xfId="0" applyFont="1" applyFill="1" applyBorder="1" applyAlignment="1">
      <alignment horizontal="center"/>
    </xf>
    <xf numFmtId="0" fontId="3" fillId="3" borderId="0" xfId="0" applyFont="1" applyFill="1" applyAlignment="1">
      <alignment horizontal="center"/>
    </xf>
    <xf numFmtId="0" fontId="3" fillId="3" borderId="12" xfId="0" applyFont="1" applyFill="1" applyBorder="1" applyAlignment="1">
      <alignment horizontal="center"/>
    </xf>
    <xf numFmtId="0" fontId="3" fillId="3" borderId="4" xfId="0" applyFont="1" applyFill="1" applyBorder="1" applyAlignment="1">
      <alignment horizontal="center"/>
    </xf>
    <xf numFmtId="0" fontId="0" fillId="3" borderId="3" xfId="0" applyFill="1" applyBorder="1"/>
    <xf numFmtId="0" fontId="0" fillId="3" borderId="0" xfId="0" applyFill="1" applyBorder="1"/>
    <xf numFmtId="0" fontId="0" fillId="3" borderId="4" xfId="0" applyFill="1" applyBorder="1"/>
    <xf numFmtId="0" fontId="17" fillId="4" borderId="7" xfId="1" applyFont="1" applyBorder="1" applyAlignment="1">
      <alignment horizontal="center" vertical="center" wrapText="1"/>
    </xf>
    <xf numFmtId="0" fontId="1" fillId="6" borderId="3" xfId="0" applyFont="1" applyFill="1" applyBorder="1" applyAlignment="1"/>
    <xf numFmtId="0" fontId="1" fillId="6" borderId="0" xfId="0" applyFont="1" applyFill="1" applyBorder="1" applyAlignment="1"/>
    <xf numFmtId="0" fontId="3" fillId="3" borderId="3" xfId="0" applyFont="1" applyFill="1" applyBorder="1"/>
    <xf numFmtId="0" fontId="3" fillId="3" borderId="0" xfId="0" applyFont="1" applyFill="1" applyBorder="1"/>
    <xf numFmtId="0" fontId="3" fillId="3" borderId="4" xfId="0" applyFont="1" applyFill="1" applyBorder="1"/>
    <xf numFmtId="0" fontId="3" fillId="3" borderId="5" xfId="0" applyFont="1" applyFill="1" applyBorder="1"/>
    <xf numFmtId="0" fontId="3" fillId="3" borderId="11" xfId="0" applyFont="1" applyFill="1" applyBorder="1"/>
    <xf numFmtId="0" fontId="3" fillId="3" borderId="6" xfId="0" applyFont="1" applyFill="1" applyBorder="1"/>
    <xf numFmtId="0" fontId="1" fillId="2" borderId="1" xfId="0" applyFont="1" applyFill="1" applyBorder="1"/>
    <xf numFmtId="0" fontId="1" fillId="2" borderId="8" xfId="0" applyFont="1" applyFill="1" applyBorder="1"/>
    <xf numFmtId="0" fontId="1" fillId="2" borderId="2" xfId="0" applyFont="1" applyFill="1" applyBorder="1"/>
    <xf numFmtId="0" fontId="6" fillId="0" borderId="4" xfId="0" applyFont="1" applyBorder="1" applyAlignment="1">
      <alignment horizontal="center" vertical="center"/>
    </xf>
  </cellXfs>
  <cellStyles count="4">
    <cellStyle name="Good" xfId="1" builtinId="26"/>
    <cellStyle name="Neutral" xfId="2" builtinId="28"/>
    <cellStyle name="Normal" xfId="0" builtinId="0"/>
    <cellStyle name="Percent" xfId="3" builtinId="5"/>
  </cellStyles>
  <dxfs count="21">
    <dxf>
      <font>
        <color theme="4" tint="0.79998168889431442"/>
      </font>
    </dxf>
    <dxf>
      <font>
        <color theme="0"/>
      </font>
    </dxf>
    <dxf>
      <font>
        <color theme="0"/>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ill>
        <patternFill>
          <bgColor theme="6" tint="0.39994506668294322"/>
        </patternFill>
      </fill>
    </dxf>
    <dxf>
      <fill>
        <patternFill>
          <bgColor theme="5" tint="0.39994506668294322"/>
        </patternFill>
      </fill>
    </dxf>
    <dxf>
      <font>
        <color rgb="FFC00000"/>
      </font>
    </dxf>
    <dxf>
      <fill>
        <patternFill>
          <bgColor theme="6" tint="0.39994506668294322"/>
        </patternFill>
      </fill>
    </dxf>
    <dxf>
      <fill>
        <patternFill>
          <bgColor theme="5" tint="0.39994506668294322"/>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
  <sheetViews>
    <sheetView showGridLines="0" tabSelected="1" zoomScaleNormal="100" workbookViewId="0">
      <selection activeCell="C6" sqref="C6"/>
    </sheetView>
  </sheetViews>
  <sheetFormatPr defaultColWidth="9.109375" defaultRowHeight="14.4" x14ac:dyDescent="0.3"/>
  <cols>
    <col min="2" max="2" width="64.6640625" customWidth="1"/>
    <col min="3" max="3" width="9" customWidth="1"/>
    <col min="4" max="4" width="3.33203125" customWidth="1"/>
    <col min="5" max="5" width="8.6640625" customWidth="1"/>
    <col min="6" max="6" width="8.33203125" customWidth="1"/>
    <col min="7" max="7" width="1.5546875" customWidth="1"/>
    <col min="8" max="8" width="9.44140625" customWidth="1"/>
    <col min="9" max="9" width="9" customWidth="1"/>
    <col min="10" max="10" width="2.33203125" customWidth="1"/>
    <col min="11" max="11" width="8.77734375" customWidth="1"/>
  </cols>
  <sheetData>
    <row r="1" spans="1:11" ht="18" x14ac:dyDescent="0.35">
      <c r="B1" s="1" t="s">
        <v>67</v>
      </c>
    </row>
    <row r="2" spans="1:11" x14ac:dyDescent="0.3">
      <c r="B2" s="77" t="s">
        <v>68</v>
      </c>
      <c r="C2" s="77"/>
      <c r="D2" s="77"/>
      <c r="E2" s="77"/>
      <c r="F2" s="77"/>
      <c r="G2" s="77"/>
      <c r="H2" s="77"/>
      <c r="I2" s="77"/>
      <c r="J2" s="77"/>
      <c r="K2" s="77"/>
    </row>
    <row r="3" spans="1:11" x14ac:dyDescent="0.3">
      <c r="B3" t="s">
        <v>48</v>
      </c>
    </row>
    <row r="4" spans="1:11" ht="15" thickBot="1" x14ac:dyDescent="0.35"/>
    <row r="5" spans="1:11" ht="15" customHeight="1" x14ac:dyDescent="0.3">
      <c r="A5" s="90" t="s">
        <v>0</v>
      </c>
      <c r="B5" s="94" t="s">
        <v>87</v>
      </c>
      <c r="C5" s="95"/>
    </row>
    <row r="6" spans="1:11" ht="15" customHeight="1" x14ac:dyDescent="0.3">
      <c r="A6" s="90"/>
      <c r="B6" s="49" t="s">
        <v>45</v>
      </c>
      <c r="C6" s="50">
        <v>0</v>
      </c>
      <c r="D6" s="18" t="s">
        <v>1</v>
      </c>
    </row>
    <row r="7" spans="1:11" ht="15.75" customHeight="1" thickBot="1" x14ac:dyDescent="0.35">
      <c r="A7" s="91"/>
      <c r="B7" s="51" t="s">
        <v>2</v>
      </c>
      <c r="C7" s="52">
        <v>0</v>
      </c>
      <c r="D7" s="18" t="s">
        <v>3</v>
      </c>
    </row>
    <row r="8" spans="1:11" ht="16.5" customHeight="1" thickBot="1" x14ac:dyDescent="0.35">
      <c r="A8" s="19"/>
      <c r="C8" s="7"/>
      <c r="D8" s="18"/>
    </row>
    <row r="9" spans="1:11" ht="16.5" customHeight="1" thickBot="1" x14ac:dyDescent="0.35">
      <c r="A9" s="19"/>
      <c r="B9" s="20" t="s">
        <v>25</v>
      </c>
      <c r="C9" s="15">
        <v>0.25</v>
      </c>
      <c r="E9" s="21" t="s">
        <v>49</v>
      </c>
    </row>
    <row r="10" spans="1:11" ht="16.5" customHeight="1" thickBot="1" x14ac:dyDescent="0.35">
      <c r="A10" s="19"/>
      <c r="C10" s="7"/>
      <c r="D10" s="18"/>
    </row>
    <row r="11" spans="1:11" x14ac:dyDescent="0.3">
      <c r="B11" s="92" t="s">
        <v>4</v>
      </c>
      <c r="C11" s="84" t="s">
        <v>5</v>
      </c>
      <c r="D11" s="84"/>
      <c r="E11" s="84"/>
      <c r="F11" s="84" t="s">
        <v>6</v>
      </c>
      <c r="G11" s="84"/>
      <c r="H11" s="84"/>
      <c r="I11" s="84" t="s">
        <v>7</v>
      </c>
      <c r="J11" s="84"/>
      <c r="K11" s="85"/>
    </row>
    <row r="12" spans="1:11" x14ac:dyDescent="0.3">
      <c r="B12" s="93"/>
      <c r="C12" s="86" t="s">
        <v>8</v>
      </c>
      <c r="D12" s="86"/>
      <c r="E12" s="86"/>
      <c r="F12" s="86" t="s">
        <v>9</v>
      </c>
      <c r="G12" s="86"/>
      <c r="H12" s="86"/>
      <c r="I12" s="86" t="s">
        <v>9</v>
      </c>
      <c r="J12" s="86"/>
      <c r="K12" s="87"/>
    </row>
    <row r="13" spans="1:11" x14ac:dyDescent="0.3">
      <c r="B13" s="22" t="s">
        <v>10</v>
      </c>
      <c r="C13" s="88" t="str">
        <f>IF(Current_Users&gt;STANDARD_USERS,C_NO,C_YES)</f>
        <v>Yes</v>
      </c>
      <c r="D13" s="88"/>
      <c r="E13" s="88"/>
      <c r="F13" s="88" t="str">
        <f>IF(Current_Users&gt;HI_USERS,C_NO,C_YES)</f>
        <v>Yes</v>
      </c>
      <c r="G13" s="88"/>
      <c r="H13" s="88"/>
      <c r="I13" s="88" t="str">
        <f>I14</f>
        <v>No</v>
      </c>
      <c r="J13" s="88"/>
      <c r="K13" s="89"/>
    </row>
    <row r="14" spans="1:11" x14ac:dyDescent="0.3">
      <c r="B14" s="22" t="s">
        <v>11</v>
      </c>
      <c r="C14" s="88" t="str">
        <f>IF(Future_Users&gt;STANDARD_USERS,C_NO,C_YES)</f>
        <v>Yes</v>
      </c>
      <c r="D14" s="88"/>
      <c r="E14" s="88"/>
      <c r="F14" s="88" t="str">
        <f>IF(Future_Users&gt;HI_USERS,C_NO,C_YES)</f>
        <v>Yes</v>
      </c>
      <c r="G14" s="88"/>
      <c r="H14" s="88"/>
      <c r="I14" s="88" t="str">
        <f>IF(Future_Users&gt;STANDARD_USERS,C_YES,C_NO)</f>
        <v>No</v>
      </c>
      <c r="J14" s="88"/>
      <c r="K14" s="89"/>
    </row>
    <row r="15" spans="1:11" x14ac:dyDescent="0.3">
      <c r="B15" s="22" t="s">
        <v>12</v>
      </c>
      <c r="C15" s="88" t="str">
        <f>IF((COUNTIF(C13:C14,C_YES)&gt;1),C_YES,C_NO)</f>
        <v>Yes</v>
      </c>
      <c r="D15" s="88"/>
      <c r="E15" s="88"/>
      <c r="F15" s="88" t="str">
        <f>IF((COUNTIF(F13:F14,C_YES)&gt;1),C_YES,C_NO)</f>
        <v>Yes</v>
      </c>
      <c r="G15" s="88"/>
      <c r="H15" s="88"/>
      <c r="I15" s="88" t="str">
        <f>IF((COUNTIF(I13:I14,C_YES)&gt;0),C_YES,C_NO)</f>
        <v>No</v>
      </c>
      <c r="J15" s="88"/>
      <c r="K15" s="89"/>
    </row>
    <row r="16" spans="1:11" x14ac:dyDescent="0.3">
      <c r="B16" s="23" t="s">
        <v>38</v>
      </c>
      <c r="C16" s="24" t="str">
        <f>IF(C13=C_YES,(IF(Current_Users&gt;LO_USERS,"Standard","Low-End")),"")</f>
        <v>Low-End</v>
      </c>
      <c r="D16" s="25" t="str">
        <f>IF(E16="","","-")</f>
        <v>-</v>
      </c>
      <c r="E16" s="26" t="str">
        <f>IF(C14=C_YES,(IF(Future_Users&gt;LO_USERS,"Standard","Low-End")),"")</f>
        <v>Low-End</v>
      </c>
      <c r="F16" s="78" t="str">
        <f>IF((COUNTIF(F13:F14,C_YES)&gt;0),"High-End","")</f>
        <v>High-End</v>
      </c>
      <c r="G16" s="78"/>
      <c r="H16" s="78"/>
      <c r="I16" s="78" t="str">
        <f>IF((COUNTIF(I13:I14,C_YES)&gt;0),"Scale Unit","")</f>
        <v/>
      </c>
      <c r="J16" s="78"/>
      <c r="K16" s="79"/>
    </row>
    <row r="17" spans="2:11" x14ac:dyDescent="0.3">
      <c r="B17" s="27" t="s">
        <v>36</v>
      </c>
      <c r="C17" s="80">
        <f>IF(C13=C_YES,(IF(Current_Users&gt;LO_USERS,STANDARD_TPC,LO_TPC)),"")</f>
        <v>5</v>
      </c>
      <c r="D17" s="80"/>
      <c r="E17" s="80"/>
      <c r="F17" s="80">
        <f>IF(F13=C_YES,HIGH_TPC,"")</f>
        <v>75</v>
      </c>
      <c r="G17" s="80"/>
      <c r="H17" s="80"/>
      <c r="I17" s="80" t="str">
        <f>IF(I13=C_YES,SCALE_TPC,"")</f>
        <v/>
      </c>
      <c r="J17" s="80"/>
      <c r="K17" s="81"/>
    </row>
    <row r="18" spans="2:11" x14ac:dyDescent="0.3">
      <c r="B18" s="28" t="s">
        <v>37</v>
      </c>
      <c r="C18" s="82">
        <f>IF(C13=C_YES,(IF(Future_Users&gt;LO_USERS,STANDARD_TPC,LO_TPC)),"")</f>
        <v>5</v>
      </c>
      <c r="D18" s="82"/>
      <c r="E18" s="82"/>
      <c r="F18" s="80">
        <f>IF(F14=C_YES,HIGH_TPC,"")</f>
        <v>75</v>
      </c>
      <c r="G18" s="80"/>
      <c r="H18" s="80"/>
      <c r="I18" s="82" t="str">
        <f>IF(I14=C_YES,SCALE_TPC,"")</f>
        <v/>
      </c>
      <c r="J18" s="82"/>
      <c r="K18" s="83"/>
    </row>
    <row r="19" spans="2:11" ht="15" thickBot="1" x14ac:dyDescent="0.35">
      <c r="B19" s="56" t="s">
        <v>34</v>
      </c>
      <c r="C19" s="76">
        <f>IF((COUNTIF(C13:C14,C_YES)&gt;0),1,"")</f>
        <v>1</v>
      </c>
      <c r="D19" s="76"/>
      <c r="E19" s="76"/>
      <c r="F19" s="76">
        <f>IF((COUNTIF(F13:F14,C_YES)&gt;0),1,"")</f>
        <v>1</v>
      </c>
      <c r="G19" s="76"/>
      <c r="H19" s="76"/>
      <c r="I19" s="57" t="str">
        <f>IF(I13=C_YES,ROUNDUP((Current_Users*SCALE_FACTOR)/SCALE_RPS,0),"")</f>
        <v/>
      </c>
      <c r="J19" s="58" t="str">
        <f>IF(K19&lt;&gt;"","-","")</f>
        <v/>
      </c>
      <c r="K19" s="59" t="str">
        <f>IF(I14=C_YES,ROUNDUP((Future_Users*HI_FACTOR)/SCALE_RPS,0),"")</f>
        <v/>
      </c>
    </row>
    <row r="20" spans="2:11" ht="15" thickBot="1" x14ac:dyDescent="0.35"/>
    <row r="21" spans="2:11" ht="15" thickBot="1" x14ac:dyDescent="0.35">
      <c r="B21" s="73" t="s">
        <v>86</v>
      </c>
      <c r="C21" s="74"/>
      <c r="D21" s="74"/>
      <c r="E21" s="74"/>
      <c r="F21" s="74"/>
      <c r="G21" s="74"/>
      <c r="H21" s="74"/>
      <c r="I21" s="74"/>
      <c r="J21" s="74"/>
      <c r="K21" s="75"/>
    </row>
    <row r="22" spans="2:11" x14ac:dyDescent="0.3">
      <c r="B22" s="64" t="s">
        <v>88</v>
      </c>
      <c r="C22" s="65"/>
      <c r="D22" s="65"/>
      <c r="E22" s="65"/>
      <c r="F22" s="65"/>
      <c r="G22" s="65"/>
      <c r="H22" s="65"/>
      <c r="I22" s="65"/>
      <c r="J22" s="65"/>
      <c r="K22" s="66"/>
    </row>
    <row r="23" spans="2:11" x14ac:dyDescent="0.3">
      <c r="B23" s="67"/>
      <c r="C23" s="68"/>
      <c r="D23" s="68"/>
      <c r="E23" s="68"/>
      <c r="F23" s="68"/>
      <c r="G23" s="68"/>
      <c r="H23" s="68"/>
      <c r="I23" s="68"/>
      <c r="J23" s="68"/>
      <c r="K23" s="69"/>
    </row>
    <row r="24" spans="2:11" x14ac:dyDescent="0.3">
      <c r="B24" s="67"/>
      <c r="C24" s="68"/>
      <c r="D24" s="68"/>
      <c r="E24" s="68"/>
      <c r="F24" s="68"/>
      <c r="G24" s="68"/>
      <c r="H24" s="68"/>
      <c r="I24" s="68"/>
      <c r="J24" s="68"/>
      <c r="K24" s="69"/>
    </row>
    <row r="25" spans="2:11" x14ac:dyDescent="0.3">
      <c r="B25" s="67"/>
      <c r="C25" s="68"/>
      <c r="D25" s="68"/>
      <c r="E25" s="68"/>
      <c r="F25" s="68"/>
      <c r="G25" s="68"/>
      <c r="H25" s="68"/>
      <c r="I25" s="68"/>
      <c r="J25" s="68"/>
      <c r="K25" s="69"/>
    </row>
    <row r="26" spans="2:11" x14ac:dyDescent="0.3">
      <c r="B26" s="67"/>
      <c r="C26" s="68"/>
      <c r="D26" s="68"/>
      <c r="E26" s="68"/>
      <c r="F26" s="68"/>
      <c r="G26" s="68"/>
      <c r="H26" s="68"/>
      <c r="I26" s="68"/>
      <c r="J26" s="68"/>
      <c r="K26" s="69"/>
    </row>
    <row r="27" spans="2:11" x14ac:dyDescent="0.3">
      <c r="B27" s="67"/>
      <c r="C27" s="68"/>
      <c r="D27" s="68"/>
      <c r="E27" s="68"/>
      <c r="F27" s="68"/>
      <c r="G27" s="68"/>
      <c r="H27" s="68"/>
      <c r="I27" s="68"/>
      <c r="J27" s="68"/>
      <c r="K27" s="69"/>
    </row>
    <row r="28" spans="2:11" x14ac:dyDescent="0.3">
      <c r="B28" s="67"/>
      <c r="C28" s="68"/>
      <c r="D28" s="68"/>
      <c r="E28" s="68"/>
      <c r="F28" s="68"/>
      <c r="G28" s="68"/>
      <c r="H28" s="68"/>
      <c r="I28" s="68"/>
      <c r="J28" s="68"/>
      <c r="K28" s="69"/>
    </row>
    <row r="29" spans="2:11" x14ac:dyDescent="0.3">
      <c r="B29" s="67"/>
      <c r="C29" s="68"/>
      <c r="D29" s="68"/>
      <c r="E29" s="68"/>
      <c r="F29" s="68"/>
      <c r="G29" s="68"/>
      <c r="H29" s="68"/>
      <c r="I29" s="68"/>
      <c r="J29" s="68"/>
      <c r="K29" s="69"/>
    </row>
    <row r="30" spans="2:11" ht="20.399999999999999" customHeight="1" thickBot="1" x14ac:dyDescent="0.35">
      <c r="B30" s="70"/>
      <c r="C30" s="71"/>
      <c r="D30" s="71"/>
      <c r="E30" s="71"/>
      <c r="F30" s="71"/>
      <c r="G30" s="71"/>
      <c r="H30" s="71"/>
      <c r="I30" s="71"/>
      <c r="J30" s="71"/>
      <c r="K30" s="72"/>
    </row>
  </sheetData>
  <sheetProtection sheet="1" objects="1" scenarios="1"/>
  <mergeCells count="31">
    <mergeCell ref="A5:A7"/>
    <mergeCell ref="B11:B12"/>
    <mergeCell ref="B5:C5"/>
    <mergeCell ref="C11:E11"/>
    <mergeCell ref="C12:E12"/>
    <mergeCell ref="C15:E15"/>
    <mergeCell ref="C17:E17"/>
    <mergeCell ref="C18:E18"/>
    <mergeCell ref="F11:H11"/>
    <mergeCell ref="F12:H12"/>
    <mergeCell ref="F13:H13"/>
    <mergeCell ref="F14:H14"/>
    <mergeCell ref="F15:H15"/>
    <mergeCell ref="F16:H16"/>
    <mergeCell ref="C13:E13"/>
    <mergeCell ref="B22:K30"/>
    <mergeCell ref="B21:K21"/>
    <mergeCell ref="F19:H19"/>
    <mergeCell ref="C19:E19"/>
    <mergeCell ref="B2:K2"/>
    <mergeCell ref="I16:K16"/>
    <mergeCell ref="F17:H17"/>
    <mergeCell ref="F18:H18"/>
    <mergeCell ref="I17:K17"/>
    <mergeCell ref="I18:K18"/>
    <mergeCell ref="I11:K11"/>
    <mergeCell ref="I12:K12"/>
    <mergeCell ref="I13:K13"/>
    <mergeCell ref="I14:K14"/>
    <mergeCell ref="I15:K15"/>
    <mergeCell ref="C14:E14"/>
  </mergeCells>
  <conditionalFormatting sqref="D6">
    <cfRule type="expression" dxfId="20" priority="13">
      <formula>$C$6&gt;=$C$7</formula>
    </cfRule>
  </conditionalFormatting>
  <conditionalFormatting sqref="D7:D8 D10">
    <cfRule type="expression" dxfId="19" priority="12">
      <formula>$C$7&lt;=$C$6</formula>
    </cfRule>
  </conditionalFormatting>
  <conditionalFormatting sqref="C13:C15 F13:F16 I13:I16">
    <cfRule type="cellIs" dxfId="18" priority="2" operator="equal">
      <formula>"No"</formula>
    </cfRule>
    <cfRule type="cellIs" dxfId="17" priority="3" operator="equal">
      <formula>"Yes"</formula>
    </cfRule>
  </conditionalFormatting>
  <conditionalFormatting sqref="E9">
    <cfRule type="expression" dxfId="16" priority="1">
      <formula>$C$9&gt;0</formula>
    </cfRule>
  </conditionalFormatting>
  <pageMargins left="0.7" right="0.7" top="0.75" bottom="0.75" header="0.3" footer="0.3"/>
  <pageSetup scale="60" orientation="landscape" r:id="rId1"/>
  <extLst>
    <ext xmlns:x14="http://schemas.microsoft.com/office/spreadsheetml/2009/9/main" uri="{78C0D931-6437-407d-A8EE-F0AAD7539E65}">
      <x14:conditionalFormattings>
        <x14:conditionalFormatting xmlns:xm="http://schemas.microsoft.com/office/excel/2006/main">
          <x14:cfRule type="cellIs" priority="4" operator="equal" id="{F75BAADF-8223-46E4-87B6-F7E6751E90F5}">
            <xm:f>Constants!#REF!</xm:f>
            <x14:dxf>
              <fill>
                <patternFill>
                  <bgColor theme="5" tint="0.39994506668294322"/>
                </patternFill>
              </fill>
            </x14:dxf>
          </x14:cfRule>
          <x14:cfRule type="cellIs" priority="5" operator="equal" id="{845F576B-1C92-40E3-9704-C9B159C119F7}">
            <xm:f>Constants!#REF!</xm:f>
            <x14:dxf>
              <fill>
                <patternFill>
                  <bgColor theme="6" tint="0.39994506668294322"/>
                </patternFill>
              </fill>
            </x14:dxf>
          </x14:cfRule>
          <xm:sqref>C13:C15 F13:F16 I13:I16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
  <sheetViews>
    <sheetView workbookViewId="0">
      <selection activeCell="D5" sqref="D5"/>
    </sheetView>
  </sheetViews>
  <sheetFormatPr defaultRowHeight="14.4" x14ac:dyDescent="0.3"/>
  <cols>
    <col min="1" max="1" width="27.21875" customWidth="1"/>
    <col min="2" max="2" width="8.88671875" style="14" customWidth="1"/>
    <col min="3" max="3" width="11" style="14" customWidth="1"/>
    <col min="4" max="4" width="10.5546875" customWidth="1"/>
    <col min="5" max="5" width="9.109375" style="14"/>
  </cols>
  <sheetData>
    <row r="1" spans="1:11" x14ac:dyDescent="0.3">
      <c r="B1" s="8" t="s">
        <v>30</v>
      </c>
      <c r="C1" s="8" t="s">
        <v>31</v>
      </c>
      <c r="D1" s="7" t="s">
        <v>33</v>
      </c>
      <c r="E1" s="8" t="s">
        <v>35</v>
      </c>
      <c r="F1" s="8" t="s">
        <v>43</v>
      </c>
      <c r="G1" s="8" t="s">
        <v>40</v>
      </c>
      <c r="H1" s="8" t="s">
        <v>41</v>
      </c>
      <c r="I1" s="8" t="s">
        <v>42</v>
      </c>
      <c r="J1" s="8" t="s">
        <v>39</v>
      </c>
      <c r="K1" s="8" t="s">
        <v>44</v>
      </c>
    </row>
    <row r="2" spans="1:11" x14ac:dyDescent="0.3">
      <c r="A2" s="7" t="s">
        <v>26</v>
      </c>
      <c r="B2" s="14">
        <v>92</v>
      </c>
      <c r="C2" s="14">
        <v>250</v>
      </c>
      <c r="D2">
        <v>0.17499999999999999</v>
      </c>
      <c r="E2" s="14">
        <v>5</v>
      </c>
      <c r="F2" s="14">
        <v>2</v>
      </c>
      <c r="G2" s="14">
        <v>4</v>
      </c>
      <c r="H2" s="14">
        <v>125</v>
      </c>
    </row>
    <row r="3" spans="1:11" x14ac:dyDescent="0.3">
      <c r="A3" s="7" t="s">
        <v>27</v>
      </c>
      <c r="B3" s="14">
        <v>180</v>
      </c>
      <c r="C3" s="14">
        <v>500</v>
      </c>
      <c r="D3">
        <v>0.17499999999999999</v>
      </c>
      <c r="E3" s="14">
        <v>10</v>
      </c>
      <c r="F3" s="14">
        <v>2</v>
      </c>
      <c r="G3" s="14">
        <v>8</v>
      </c>
      <c r="H3" s="14">
        <v>300</v>
      </c>
    </row>
    <row r="4" spans="1:11" x14ac:dyDescent="0.3">
      <c r="A4" s="7" t="s">
        <v>51</v>
      </c>
      <c r="B4" s="14">
        <v>476</v>
      </c>
      <c r="C4" s="14">
        <v>2000</v>
      </c>
      <c r="D4">
        <v>0.21249999999999999</v>
      </c>
      <c r="E4" s="14">
        <f>SCALE_TPC</f>
        <v>75</v>
      </c>
      <c r="F4" s="14">
        <v>2</v>
      </c>
      <c r="G4" s="14">
        <v>8</v>
      </c>
      <c r="H4" s="14">
        <v>500</v>
      </c>
      <c r="I4" s="14">
        <v>4</v>
      </c>
      <c r="J4" s="14">
        <v>8</v>
      </c>
      <c r="K4" s="14">
        <v>2000</v>
      </c>
    </row>
    <row r="5" spans="1:11" x14ac:dyDescent="0.3">
      <c r="A5" s="7" t="s">
        <v>28</v>
      </c>
      <c r="B5" s="14">
        <v>730</v>
      </c>
      <c r="C5" s="14">
        <v>3600</v>
      </c>
      <c r="D5">
        <v>0.22500000000000001</v>
      </c>
      <c r="E5" s="14">
        <v>75</v>
      </c>
      <c r="F5" s="14">
        <v>4</v>
      </c>
      <c r="G5" s="14">
        <v>16</v>
      </c>
      <c r="H5" s="14">
        <v>500</v>
      </c>
      <c r="I5" s="14">
        <v>8</v>
      </c>
      <c r="J5" s="14">
        <v>16</v>
      </c>
      <c r="K5" s="14">
        <v>3000</v>
      </c>
    </row>
    <row r="6" spans="1:11" x14ac:dyDescent="0.3">
      <c r="A6" s="7" t="s">
        <v>29</v>
      </c>
      <c r="B6" s="14">
        <v>476</v>
      </c>
      <c r="C6" s="14">
        <v>2200</v>
      </c>
      <c r="D6">
        <v>0.26250000000000001</v>
      </c>
      <c r="E6" s="14">
        <v>75</v>
      </c>
      <c r="F6" s="14">
        <v>2</v>
      </c>
      <c r="G6" s="14">
        <v>8</v>
      </c>
      <c r="H6" s="14">
        <v>500</v>
      </c>
      <c r="I6" s="14">
        <v>8</v>
      </c>
      <c r="J6" s="14">
        <v>16</v>
      </c>
      <c r="K6" s="14">
        <v>3000</v>
      </c>
    </row>
    <row r="8" spans="1:11" x14ac:dyDescent="0.3">
      <c r="A8" s="54" t="s">
        <v>52</v>
      </c>
      <c r="B8" s="8" t="s">
        <v>31</v>
      </c>
      <c r="C8" s="8" t="s">
        <v>55</v>
      </c>
      <c r="D8" s="7" t="s">
        <v>20</v>
      </c>
      <c r="E8" s="8" t="s">
        <v>73</v>
      </c>
    </row>
    <row r="9" spans="1:11" x14ac:dyDescent="0.3">
      <c r="A9" s="7" t="s">
        <v>72</v>
      </c>
      <c r="B9" s="53">
        <v>250</v>
      </c>
      <c r="C9" s="53">
        <v>4</v>
      </c>
      <c r="D9">
        <v>2</v>
      </c>
      <c r="E9" t="s">
        <v>74</v>
      </c>
    </row>
    <row r="10" spans="1:11" x14ac:dyDescent="0.3">
      <c r="A10" s="7" t="s">
        <v>54</v>
      </c>
      <c r="B10" s="14">
        <v>500</v>
      </c>
      <c r="C10" s="14">
        <v>2</v>
      </c>
      <c r="D10">
        <v>8</v>
      </c>
      <c r="E10" t="s">
        <v>75</v>
      </c>
    </row>
    <row r="11" spans="1:11" x14ac:dyDescent="0.3">
      <c r="A11" s="7" t="s">
        <v>56</v>
      </c>
      <c r="B11" s="14">
        <v>1000</v>
      </c>
      <c r="C11" s="14">
        <v>4</v>
      </c>
      <c r="D11">
        <v>16</v>
      </c>
      <c r="E11" t="s">
        <v>75</v>
      </c>
    </row>
    <row r="13" spans="1:11" x14ac:dyDescent="0.3">
      <c r="A13" s="54" t="s">
        <v>59</v>
      </c>
      <c r="B13" s="8" t="s">
        <v>31</v>
      </c>
      <c r="C13" s="8" t="s">
        <v>55</v>
      </c>
      <c r="D13" s="7" t="s">
        <v>20</v>
      </c>
    </row>
    <row r="14" spans="1:11" x14ac:dyDescent="0.3">
      <c r="A14" s="7" t="s">
        <v>62</v>
      </c>
      <c r="B14" s="14">
        <v>450</v>
      </c>
      <c r="C14" s="14">
        <v>1</v>
      </c>
      <c r="D14">
        <v>2</v>
      </c>
    </row>
    <row r="15" spans="1:11" x14ac:dyDescent="0.3">
      <c r="A15" s="7" t="s">
        <v>63</v>
      </c>
      <c r="B15" s="14">
        <v>2200</v>
      </c>
      <c r="C15" s="14">
        <v>2</v>
      </c>
      <c r="D15">
        <v>2</v>
      </c>
    </row>
    <row r="16" spans="1:11" x14ac:dyDescent="0.3">
      <c r="A16" s="7" t="s">
        <v>64</v>
      </c>
      <c r="B16" s="14">
        <v>3600</v>
      </c>
      <c r="C16" s="14">
        <v>4</v>
      </c>
      <c r="D16">
        <v>2</v>
      </c>
    </row>
    <row r="17" spans="1:4" x14ac:dyDescent="0.3">
      <c r="A17" s="7"/>
    </row>
    <row r="18" spans="1:4" x14ac:dyDescent="0.3">
      <c r="A18" s="7" t="s">
        <v>66</v>
      </c>
      <c r="B18" s="29">
        <v>4</v>
      </c>
      <c r="D18" t="s">
        <v>71</v>
      </c>
    </row>
    <row r="19" spans="1:4" x14ac:dyDescent="0.3">
      <c r="A19" s="7" t="s">
        <v>61</v>
      </c>
      <c r="B19" s="55">
        <v>1.5</v>
      </c>
      <c r="D19" t="s">
        <v>70</v>
      </c>
    </row>
    <row r="20" spans="1:4" x14ac:dyDescent="0.3">
      <c r="A20" s="7" t="s">
        <v>78</v>
      </c>
      <c r="B20" s="29">
        <v>0.2</v>
      </c>
      <c r="D20" t="s">
        <v>79</v>
      </c>
    </row>
    <row r="21" spans="1:4" x14ac:dyDescent="0.3">
      <c r="A21" s="7" t="s">
        <v>32</v>
      </c>
      <c r="B21" s="14" t="s">
        <v>21</v>
      </c>
    </row>
    <row r="22" spans="1:4" x14ac:dyDescent="0.3">
      <c r="B22" s="14" t="s">
        <v>22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33"/>
  <sheetViews>
    <sheetView zoomScaleNormal="100" workbookViewId="0"/>
  </sheetViews>
  <sheetFormatPr defaultRowHeight="14.4" x14ac:dyDescent="0.3"/>
  <cols>
    <col min="2" max="2" width="20.33203125" customWidth="1"/>
    <col min="3" max="3" width="67.6640625" customWidth="1"/>
    <col min="4" max="4" width="14.88671875" customWidth="1"/>
    <col min="5" max="5" width="17.44140625" customWidth="1"/>
  </cols>
  <sheetData>
    <row r="1" spans="2:13" ht="18" x14ac:dyDescent="0.35">
      <c r="B1" s="1" t="s">
        <v>67</v>
      </c>
    </row>
    <row r="2" spans="2:13" x14ac:dyDescent="0.3">
      <c r="B2" s="88" t="str">
        <f>'Server Scenarios'!B2:K2</f>
        <v>Version 2019.04.21</v>
      </c>
      <c r="C2" s="88"/>
      <c r="D2" s="88"/>
      <c r="E2" s="88"/>
      <c r="F2" s="88"/>
      <c r="G2" s="88"/>
      <c r="H2" s="88"/>
      <c r="I2" s="88"/>
      <c r="J2" s="88"/>
      <c r="K2" s="88"/>
      <c r="L2" s="88"/>
      <c r="M2" s="88"/>
    </row>
    <row r="3" spans="2:13" x14ac:dyDescent="0.3">
      <c r="B3" t="s">
        <v>50</v>
      </c>
    </row>
    <row r="4" spans="2:13" x14ac:dyDescent="0.3">
      <c r="B4" t="s">
        <v>83</v>
      </c>
    </row>
    <row r="5" spans="2:13" ht="15" thickBot="1" x14ac:dyDescent="0.35"/>
    <row r="6" spans="2:13" x14ac:dyDescent="0.3">
      <c r="B6" s="96" t="s">
        <v>46</v>
      </c>
      <c r="C6" s="2" t="s">
        <v>23</v>
      </c>
      <c r="D6" s="109" t="s">
        <v>5</v>
      </c>
      <c r="E6" s="110"/>
      <c r="F6" s="109" t="s">
        <v>6</v>
      </c>
      <c r="G6" s="111"/>
      <c r="H6" s="111"/>
      <c r="I6" s="111"/>
      <c r="J6" s="109" t="s">
        <v>7</v>
      </c>
      <c r="K6" s="111"/>
      <c r="L6" s="111"/>
      <c r="M6" s="110"/>
    </row>
    <row r="7" spans="2:13" x14ac:dyDescent="0.3">
      <c r="B7" s="97"/>
      <c r="C7" s="3"/>
      <c r="D7" s="13" t="s">
        <v>13</v>
      </c>
      <c r="E7" s="6" t="s">
        <v>14</v>
      </c>
      <c r="F7" s="112" t="s">
        <v>13</v>
      </c>
      <c r="G7" s="113"/>
      <c r="H7" s="114" t="s">
        <v>14</v>
      </c>
      <c r="I7" s="113"/>
      <c r="J7" s="112" t="s">
        <v>13</v>
      </c>
      <c r="K7" s="113"/>
      <c r="L7" s="114" t="s">
        <v>14</v>
      </c>
      <c r="M7" s="115"/>
    </row>
    <row r="8" spans="2:13" x14ac:dyDescent="0.3">
      <c r="B8" s="97"/>
      <c r="C8" s="3"/>
      <c r="D8" s="13" t="s">
        <v>8</v>
      </c>
      <c r="E8" s="6" t="s">
        <v>8</v>
      </c>
      <c r="F8" s="13" t="s">
        <v>15</v>
      </c>
      <c r="G8" s="10" t="s">
        <v>16</v>
      </c>
      <c r="H8" s="11" t="s">
        <v>15</v>
      </c>
      <c r="I8" s="10" t="s">
        <v>16</v>
      </c>
      <c r="J8" s="13" t="s">
        <v>15</v>
      </c>
      <c r="K8" s="10" t="s">
        <v>16</v>
      </c>
      <c r="L8" s="11" t="s">
        <v>15</v>
      </c>
      <c r="M8" s="12" t="s">
        <v>16</v>
      </c>
    </row>
    <row r="9" spans="2:13" x14ac:dyDescent="0.3">
      <c r="B9" s="97"/>
      <c r="C9" s="4" t="s">
        <v>17</v>
      </c>
      <c r="D9" s="33">
        <f>IF(SINGLE_CURRENT_OK=C_YES,(IF(Current_Users&gt;LO_USERS,STANDARD_CORE_AT,LO_CORE_AT)),0)</f>
        <v>2</v>
      </c>
      <c r="E9" s="35">
        <f>IFD9+D9*VM_OVERHEAD</f>
        <v>0.4</v>
      </c>
      <c r="F9" s="33">
        <f>IF(DUAL_CURRENT_OK=C_YES,(IF(Current_Users&gt;MEDIUM_USERS,HI_CORE_AT,MEDIUM_CORE_AT)),0)</f>
        <v>2</v>
      </c>
      <c r="G9" s="36">
        <f>IF(DUAL_CURRENT_OK=C_YES,(IF(Current_Users&gt;MEDIUM_USERS,HI_CORE_DT,MEDIUM_CORE_DT)),0)</f>
        <v>4</v>
      </c>
      <c r="H9" s="37">
        <f>F9+F9*VM_OVERHEAD</f>
        <v>2.4</v>
      </c>
      <c r="I9" s="16">
        <f>IF(G9&lt;&gt;"",ROUNDUP(G9+G9*VM_OVERHEAD,0),0)</f>
        <v>5</v>
      </c>
      <c r="J9" s="33">
        <f>IF(SCALE_CURRENT_OK=C_YES,SCALE_CORE_AT,0)</f>
        <v>0</v>
      </c>
      <c r="K9" s="36">
        <f>IF(SCALE_CURRENT_OK=C_YES,(IF(Current_Users&gt;SCALE_USERS,SCALE_CORE_DT,SCALE_CORE_DT)),0)</f>
        <v>0</v>
      </c>
      <c r="L9" s="37">
        <f>J9+J9*VM_OVERHEAD</f>
        <v>0</v>
      </c>
      <c r="M9" s="38">
        <f>IF(K9&lt;&gt;"",ROUNDUP(K9+K9*VM_OVERHEAD,0),0)</f>
        <v>0</v>
      </c>
    </row>
    <row r="10" spans="2:13" x14ac:dyDescent="0.3">
      <c r="B10" s="97"/>
      <c r="C10" s="4" t="s">
        <v>18</v>
      </c>
      <c r="D10" s="33">
        <f>IF(SINGLE_CURRENT_OK=C_YES,(IF(Current_Users&gt;LO_USERS,STANDARD_RAM_AT,LO_RAM_AT)),0)</f>
        <v>4</v>
      </c>
      <c r="E10" s="35">
        <f>D10+D10*VM_OVERHEAD</f>
        <v>4.8</v>
      </c>
      <c r="F10" s="33">
        <f>IF(DUAL_CURRENT_OK=C_YES,(IF(Current_Users&gt;MEDIUM_USERS,HI_RAM_AT,MEDIUM_RAM_AT)),0)</f>
        <v>8</v>
      </c>
      <c r="G10" s="36">
        <f>IF(DUAL_CURRENT_OK=C_YES,(IF(Current_Users&gt;MEDIUM_USERS,HI_RAM_DT,MEDIUM_RAM_DT)),0)</f>
        <v>8</v>
      </c>
      <c r="H10" s="37">
        <f>F10+F10*VM_OVERHEAD</f>
        <v>9.6</v>
      </c>
      <c r="I10" s="16">
        <f>IF(G10&lt;&gt;"",ROUNDUP(G10+G10*VM_OVERHEAD,0),0)</f>
        <v>10</v>
      </c>
      <c r="J10" s="33">
        <f>IF(SCALE_CURRENT_OK=C_YES,SCALE_RAM_AT,0)</f>
        <v>0</v>
      </c>
      <c r="K10" s="36">
        <f>IF(SCALE_CURRENT_OK=C_YES,(IF(Current_Users&gt;SCALE_USERS,SCALE_RAM_DT,SCALE_RAM_DT)),0)</f>
        <v>0</v>
      </c>
      <c r="L10" s="37">
        <f>J10+J10*VM_OVERHEAD</f>
        <v>0</v>
      </c>
      <c r="M10" s="38">
        <f>IF(K10&lt;&gt;"",ROUNDUP(K10+K10*VM_OVERHEAD,0),0)</f>
        <v>0</v>
      </c>
    </row>
    <row r="11" spans="2:13" ht="15" thickBot="1" x14ac:dyDescent="0.35">
      <c r="B11" s="97"/>
      <c r="C11" s="5" t="s">
        <v>19</v>
      </c>
      <c r="D11" s="34">
        <f>IF(SINGLE_CURRENT_OK=C_YES,(IF(Current_Users&gt;LO_USERS,STANDARD_DISK_AT,LO_DISK_AT)),0)</f>
        <v>125</v>
      </c>
      <c r="E11" s="47">
        <f>D11</f>
        <v>125</v>
      </c>
      <c r="F11" s="34">
        <f>IF(DUAL_CURRENT_OK=C_YES,(IF(Current_Users&gt;MEDIUM_USERS,HI_DISK_AT,MEDIUM_DISK_AT)),0)</f>
        <v>500</v>
      </c>
      <c r="G11" s="39">
        <f>IF(DUAL_CURRENT_OK=C_YES,(IF(Current_Users&gt;MEDIUM_USERS,HI_DISK_DT,MEDIUM_DISK_DT)),0)</f>
        <v>2000</v>
      </c>
      <c r="H11" s="48">
        <f>F11</f>
        <v>500</v>
      </c>
      <c r="I11" s="17">
        <f>IF(G11&lt;&gt;"",G11,0)</f>
        <v>2000</v>
      </c>
      <c r="J11" s="34">
        <f>IF(SCALE_CURRENT_OK=C_YES,SCALE_DISK_AT,0)</f>
        <v>0</v>
      </c>
      <c r="K11" s="39">
        <f>IF(SCALE_CURRENT_OK=C_YES,(IF(Current_Users&gt;SCALE_USERS,SCALE_DISK_DT,SCALE_DISK_DT)),0)</f>
        <v>0</v>
      </c>
      <c r="L11" s="48">
        <f>J11</f>
        <v>0</v>
      </c>
      <c r="M11" s="40">
        <f>IF(K11&lt;&gt;"",K11,0)</f>
        <v>0</v>
      </c>
    </row>
    <row r="12" spans="2:13" ht="15" thickBot="1" x14ac:dyDescent="0.35">
      <c r="B12" s="97"/>
    </row>
    <row r="13" spans="2:13" x14ac:dyDescent="0.3">
      <c r="B13" s="97"/>
      <c r="C13" s="30" t="s">
        <v>24</v>
      </c>
      <c r="D13" s="102" t="s">
        <v>5</v>
      </c>
      <c r="E13" s="103"/>
      <c r="F13" s="102" t="s">
        <v>6</v>
      </c>
      <c r="G13" s="104"/>
      <c r="H13" s="104"/>
      <c r="I13" s="104"/>
      <c r="J13" s="102" t="s">
        <v>7</v>
      </c>
      <c r="K13" s="104"/>
      <c r="L13" s="104"/>
      <c r="M13" s="103"/>
    </row>
    <row r="14" spans="2:13" x14ac:dyDescent="0.3">
      <c r="B14" s="97"/>
      <c r="C14" s="9"/>
      <c r="D14" s="41" t="s">
        <v>13</v>
      </c>
      <c r="E14" s="42" t="s">
        <v>14</v>
      </c>
      <c r="F14" s="105" t="s">
        <v>13</v>
      </c>
      <c r="G14" s="106"/>
      <c r="H14" s="107" t="s">
        <v>14</v>
      </c>
      <c r="I14" s="106"/>
      <c r="J14" s="105" t="s">
        <v>13</v>
      </c>
      <c r="K14" s="106"/>
      <c r="L14" s="107" t="s">
        <v>14</v>
      </c>
      <c r="M14" s="108"/>
    </row>
    <row r="15" spans="2:13" x14ac:dyDescent="0.3">
      <c r="B15" s="97"/>
      <c r="C15" s="9"/>
      <c r="D15" s="41" t="s">
        <v>8</v>
      </c>
      <c r="E15" s="42" t="s">
        <v>8</v>
      </c>
      <c r="F15" s="41" t="s">
        <v>15</v>
      </c>
      <c r="G15" s="43" t="s">
        <v>16</v>
      </c>
      <c r="H15" s="44" t="s">
        <v>15</v>
      </c>
      <c r="I15" s="43" t="s">
        <v>16</v>
      </c>
      <c r="J15" s="41" t="s">
        <v>15</v>
      </c>
      <c r="K15" s="43" t="s">
        <v>16</v>
      </c>
      <c r="L15" s="44" t="s">
        <v>15</v>
      </c>
      <c r="M15" s="45" t="s">
        <v>16</v>
      </c>
    </row>
    <row r="16" spans="2:13" x14ac:dyDescent="0.3">
      <c r="B16" s="97"/>
      <c r="C16" s="31" t="s">
        <v>17</v>
      </c>
      <c r="D16" s="33">
        <f>IF(SINGLE_FUTURE_OK=C_YES,(IF(Future_Users&gt;LO_USERS,STANDARD_CORE_AT,LO_CORE_AT)),0)</f>
        <v>2</v>
      </c>
      <c r="E16" s="35">
        <f>D16+D16*VM_OVERHEAD</f>
        <v>2.4</v>
      </c>
      <c r="F16" s="33">
        <f>IF(DUAL_FUTURE_OK=C_YES,(IF(Future_Users&gt;MEDIUM_USERS,HI_CORE_AT,MEDIUM_CORE_AT)),0)</f>
        <v>2</v>
      </c>
      <c r="G16" s="36">
        <f>IF(DUAL_FUTURE_OK=C_YES,(IF(Future_Users&gt;MEDIUM_USERS,HI_CORE_DT,MEDIUM_CORE_DT)),0)</f>
        <v>4</v>
      </c>
      <c r="H16" s="37">
        <f>F16+F16*VM_OVERHEAD</f>
        <v>2.4</v>
      </c>
      <c r="I16" s="16">
        <f>IF(G16&lt;&gt;"",ROUNDUP(G16+G16*VM_OVERHEAD,0),0)</f>
        <v>5</v>
      </c>
      <c r="J16" s="33">
        <f>IF(SCALE_FUTURE_OK=C_YES,SCALE_CORE_AT,0)</f>
        <v>0</v>
      </c>
      <c r="K16" s="36">
        <f>IF(SCALE_FUTURE_OK=C_YES,(IF(Future_Users&gt;SCALE_USERS,SCALE_CORE_DT,SCALE_CORE_DT)),0)</f>
        <v>0</v>
      </c>
      <c r="L16" s="37">
        <f>J16+J16*VM_OVERHEAD</f>
        <v>0</v>
      </c>
      <c r="M16" s="38">
        <f>IF(K16&lt;&gt;"",ROUNDUP(K16+K16*VM_OVERHEAD,0),0)</f>
        <v>0</v>
      </c>
    </row>
    <row r="17" spans="2:13" x14ac:dyDescent="0.3">
      <c r="B17" s="97"/>
      <c r="C17" s="31" t="s">
        <v>20</v>
      </c>
      <c r="D17" s="33">
        <f>IF(SINGLE_FUTURE_OK=C_YES,(IF(Future_Users&gt;LO_USERS,STANDARD_RAM_AT,LO_RAM_AT)),0)</f>
        <v>4</v>
      </c>
      <c r="E17" s="35">
        <f>D17+D17*VM_OVERHEAD</f>
        <v>4.8</v>
      </c>
      <c r="F17" s="33">
        <f>IF(DUAL_FUTURE_OK=C_YES,(IF(Future_Users&gt;MEDIUM_USERS,HI_RAM_AT,MEDIUM_RAM_AT)),0)</f>
        <v>8</v>
      </c>
      <c r="G17" s="36">
        <f>IF(DUAL_FUTURE_OK=C_YES,(IF(Future_Users&gt;MEDIUM_USERS,HI_RAM_DT,MEDIUM_RAM_DT)),0)</f>
        <v>8</v>
      </c>
      <c r="H17" s="37">
        <f>F17+F17*VM_OVERHEAD</f>
        <v>9.6</v>
      </c>
      <c r="I17" s="16">
        <f>IF(G17&lt;&gt;"",ROUNDUP(G17+G17*VM_OVERHEAD,0),0)</f>
        <v>10</v>
      </c>
      <c r="J17" s="33">
        <f>IF(SCALE_FUTURE_OK=C_YES,SCALE_RAM_AT,0)</f>
        <v>0</v>
      </c>
      <c r="K17" s="36">
        <f>IF(SCALE_FUTURE_OK=C_YES,(IF(Future_Users&gt;SCALE_USERS,SCALE_RAM_DT,SCALE_RAM_DT)),0)</f>
        <v>0</v>
      </c>
      <c r="L17" s="37">
        <f>J17+J17*VM_OVERHEAD</f>
        <v>0</v>
      </c>
      <c r="M17" s="38">
        <f>IF(K17&lt;&gt;"",ROUNDUP(K17+K17*VM_OVERHEAD,0),0)</f>
        <v>0</v>
      </c>
    </row>
    <row r="18" spans="2:13" ht="15" thickBot="1" x14ac:dyDescent="0.35">
      <c r="B18" s="98"/>
      <c r="C18" s="32" t="s">
        <v>19</v>
      </c>
      <c r="D18" s="34">
        <f>IF(SINGLE_FUTURE_OK=C_YES,(IF(Future_Users&gt;LO_USERS,STANDARD_DISK_AT,LO_DISK_AT)),0)</f>
        <v>125</v>
      </c>
      <c r="E18" s="47">
        <f>D18</f>
        <v>125</v>
      </c>
      <c r="F18" s="34">
        <f>IF(DUAL_FUTURE_OK=C_YES,(IF(Future_Users&gt;MEDIUM_USERS,MEDIUM_DISK_AT,HI_DISK_AT)),0)</f>
        <v>500</v>
      </c>
      <c r="G18" s="39">
        <f>IF(DUAL_FUTURE_OK=C_YES,(IF(Future_Users&gt;MEDIUM_USERS,HI_DISK_DT,MEDIUM_DISK_DT)),0)</f>
        <v>2000</v>
      </c>
      <c r="H18" s="48">
        <f>F18</f>
        <v>500</v>
      </c>
      <c r="I18" s="17">
        <f>IF(G18&lt;&gt;"",G18,0)</f>
        <v>2000</v>
      </c>
      <c r="J18" s="34">
        <f>IF(SCALE_FUTURE_OK=C_YES,SCALE_DISK_AT,0)</f>
        <v>0</v>
      </c>
      <c r="K18" s="39">
        <f>IF(SCALE_FUTURE_OK=C_YES,(IF(Future_Users&gt;SCALE_USERS,SCALE_DISK_DT,SCALE_DISK_DT)),0)</f>
        <v>0</v>
      </c>
      <c r="L18" s="48">
        <f>J18</f>
        <v>0</v>
      </c>
      <c r="M18" s="40">
        <f>IF(K18&lt;&gt;"",K18,0)</f>
        <v>0</v>
      </c>
    </row>
    <row r="20" spans="2:13" ht="15" thickBot="1" x14ac:dyDescent="0.35"/>
    <row r="21" spans="2:13" x14ac:dyDescent="0.3">
      <c r="B21" s="99" t="s">
        <v>47</v>
      </c>
      <c r="C21" s="2" t="s">
        <v>23</v>
      </c>
      <c r="D21" s="102" t="s">
        <v>5</v>
      </c>
      <c r="E21" s="103"/>
      <c r="F21" s="102" t="s">
        <v>6</v>
      </c>
      <c r="G21" s="104"/>
      <c r="H21" s="104"/>
      <c r="I21" s="103"/>
      <c r="J21" s="102" t="s">
        <v>7</v>
      </c>
      <c r="K21" s="104"/>
      <c r="L21" s="104"/>
      <c r="M21" s="103"/>
    </row>
    <row r="22" spans="2:13" x14ac:dyDescent="0.3">
      <c r="B22" s="100"/>
      <c r="C22" s="3"/>
      <c r="D22" s="41" t="s">
        <v>13</v>
      </c>
      <c r="E22" s="42" t="s">
        <v>14</v>
      </c>
      <c r="F22" s="105" t="s">
        <v>13</v>
      </c>
      <c r="G22" s="106"/>
      <c r="H22" s="107" t="s">
        <v>14</v>
      </c>
      <c r="I22" s="108"/>
      <c r="J22" s="105" t="s">
        <v>13</v>
      </c>
      <c r="K22" s="106"/>
      <c r="L22" s="107" t="s">
        <v>14</v>
      </c>
      <c r="M22" s="108"/>
    </row>
    <row r="23" spans="2:13" x14ac:dyDescent="0.3">
      <c r="B23" s="100"/>
      <c r="C23" s="3"/>
      <c r="D23" s="41" t="s">
        <v>8</v>
      </c>
      <c r="E23" s="42" t="s">
        <v>8</v>
      </c>
      <c r="F23" s="41" t="s">
        <v>15</v>
      </c>
      <c r="G23" s="43" t="s">
        <v>16</v>
      </c>
      <c r="H23" s="44" t="s">
        <v>15</v>
      </c>
      <c r="I23" s="45" t="s">
        <v>16</v>
      </c>
      <c r="J23" s="41" t="s">
        <v>15</v>
      </c>
      <c r="K23" s="43" t="s">
        <v>16</v>
      </c>
      <c r="L23" s="44" t="s">
        <v>15</v>
      </c>
      <c r="M23" s="45" t="s">
        <v>16</v>
      </c>
    </row>
    <row r="24" spans="2:13" x14ac:dyDescent="0.3">
      <c r="B24" s="100"/>
      <c r="C24" s="4" t="s">
        <v>17</v>
      </c>
      <c r="D24" s="33">
        <f t="shared" ref="D24:M24" si="0">ROUNDUP(D9+D9*BEEF_FACTOR,0)</f>
        <v>3</v>
      </c>
      <c r="E24" s="35">
        <f t="shared" si="0"/>
        <v>1</v>
      </c>
      <c r="F24" s="33">
        <f t="shared" si="0"/>
        <v>3</v>
      </c>
      <c r="G24" s="16">
        <f t="shared" si="0"/>
        <v>5</v>
      </c>
      <c r="H24" s="37">
        <f t="shared" si="0"/>
        <v>3</v>
      </c>
      <c r="I24" s="38">
        <f t="shared" si="0"/>
        <v>7</v>
      </c>
      <c r="J24" s="33">
        <f t="shared" si="0"/>
        <v>0</v>
      </c>
      <c r="K24" s="16">
        <f t="shared" si="0"/>
        <v>0</v>
      </c>
      <c r="L24" s="37">
        <f t="shared" si="0"/>
        <v>0</v>
      </c>
      <c r="M24" s="38">
        <f t="shared" si="0"/>
        <v>0</v>
      </c>
    </row>
    <row r="25" spans="2:13" x14ac:dyDescent="0.3">
      <c r="B25" s="100"/>
      <c r="C25" s="4" t="s">
        <v>18</v>
      </c>
      <c r="D25" s="33">
        <f t="shared" ref="D25:M25" si="1">ROUNDUP(D10+D10*BEEF_FACTOR,0)</f>
        <v>5</v>
      </c>
      <c r="E25" s="35">
        <f t="shared" si="1"/>
        <v>6</v>
      </c>
      <c r="F25" s="33">
        <f t="shared" si="1"/>
        <v>10</v>
      </c>
      <c r="G25" s="16">
        <f t="shared" si="1"/>
        <v>10</v>
      </c>
      <c r="H25" s="37">
        <f t="shared" si="1"/>
        <v>12</v>
      </c>
      <c r="I25" s="38">
        <f t="shared" si="1"/>
        <v>13</v>
      </c>
      <c r="J25" s="33">
        <f t="shared" si="1"/>
        <v>0</v>
      </c>
      <c r="K25" s="16">
        <f t="shared" si="1"/>
        <v>0</v>
      </c>
      <c r="L25" s="37">
        <f t="shared" si="1"/>
        <v>0</v>
      </c>
      <c r="M25" s="38">
        <f t="shared" si="1"/>
        <v>0</v>
      </c>
    </row>
    <row r="26" spans="2:13" ht="15" thickBot="1" x14ac:dyDescent="0.35">
      <c r="B26" s="100"/>
      <c r="C26" s="5" t="s">
        <v>19</v>
      </c>
      <c r="D26" s="34">
        <f t="shared" ref="D26:M26" si="2">ROUNDUP(D11+D11*BEEF_FACTOR,0)</f>
        <v>157</v>
      </c>
      <c r="E26" s="47">
        <f t="shared" si="2"/>
        <v>157</v>
      </c>
      <c r="F26" s="34">
        <f t="shared" si="2"/>
        <v>625</v>
      </c>
      <c r="G26" s="17">
        <f t="shared" si="2"/>
        <v>2500</v>
      </c>
      <c r="H26" s="48">
        <f t="shared" si="2"/>
        <v>625</v>
      </c>
      <c r="I26" s="40">
        <f t="shared" si="2"/>
        <v>2500</v>
      </c>
      <c r="J26" s="34">
        <f t="shared" si="2"/>
        <v>0</v>
      </c>
      <c r="K26" s="17">
        <f t="shared" si="2"/>
        <v>0</v>
      </c>
      <c r="L26" s="48">
        <f t="shared" si="2"/>
        <v>0</v>
      </c>
      <c r="M26" s="40">
        <f t="shared" si="2"/>
        <v>0</v>
      </c>
    </row>
    <row r="27" spans="2:13" ht="15" thickBot="1" x14ac:dyDescent="0.35">
      <c r="B27" s="100"/>
      <c r="D27" s="46"/>
      <c r="E27" s="46"/>
      <c r="F27" s="46"/>
      <c r="G27" s="46"/>
      <c r="H27" s="46"/>
      <c r="I27" s="46"/>
      <c r="J27" s="46"/>
      <c r="K27" s="46"/>
      <c r="L27" s="46"/>
      <c r="M27" s="46"/>
    </row>
    <row r="28" spans="2:13" x14ac:dyDescent="0.3">
      <c r="B28" s="100"/>
      <c r="C28" s="2" t="s">
        <v>24</v>
      </c>
      <c r="D28" s="102" t="s">
        <v>5</v>
      </c>
      <c r="E28" s="103"/>
      <c r="F28" s="102" t="s">
        <v>6</v>
      </c>
      <c r="G28" s="104"/>
      <c r="H28" s="104"/>
      <c r="I28" s="103"/>
      <c r="J28" s="102" t="s">
        <v>7</v>
      </c>
      <c r="K28" s="104"/>
      <c r="L28" s="104"/>
      <c r="M28" s="103"/>
    </row>
    <row r="29" spans="2:13" x14ac:dyDescent="0.3">
      <c r="B29" s="100"/>
      <c r="C29" s="3"/>
      <c r="D29" s="41" t="s">
        <v>13</v>
      </c>
      <c r="E29" s="42" t="s">
        <v>14</v>
      </c>
      <c r="F29" s="105" t="s">
        <v>13</v>
      </c>
      <c r="G29" s="106"/>
      <c r="H29" s="107" t="s">
        <v>14</v>
      </c>
      <c r="I29" s="108"/>
      <c r="J29" s="105" t="s">
        <v>13</v>
      </c>
      <c r="K29" s="106"/>
      <c r="L29" s="107" t="s">
        <v>14</v>
      </c>
      <c r="M29" s="108"/>
    </row>
    <row r="30" spans="2:13" x14ac:dyDescent="0.3">
      <c r="B30" s="100"/>
      <c r="C30" s="3"/>
      <c r="D30" s="41" t="s">
        <v>8</v>
      </c>
      <c r="E30" s="42" t="s">
        <v>8</v>
      </c>
      <c r="F30" s="41" t="s">
        <v>15</v>
      </c>
      <c r="G30" s="43" t="s">
        <v>16</v>
      </c>
      <c r="H30" s="44" t="s">
        <v>15</v>
      </c>
      <c r="I30" s="45" t="s">
        <v>16</v>
      </c>
      <c r="J30" s="41" t="s">
        <v>15</v>
      </c>
      <c r="K30" s="43" t="s">
        <v>16</v>
      </c>
      <c r="L30" s="44" t="s">
        <v>15</v>
      </c>
      <c r="M30" s="45" t="s">
        <v>16</v>
      </c>
    </row>
    <row r="31" spans="2:13" x14ac:dyDescent="0.3">
      <c r="B31" s="100"/>
      <c r="C31" s="4" t="s">
        <v>17</v>
      </c>
      <c r="D31" s="33">
        <f t="shared" ref="D31:M31" si="3">ROUNDUP(D16+D16*BEEF_FACTOR,0)</f>
        <v>3</v>
      </c>
      <c r="E31" s="35">
        <f t="shared" si="3"/>
        <v>3</v>
      </c>
      <c r="F31" s="33">
        <f t="shared" si="3"/>
        <v>3</v>
      </c>
      <c r="G31" s="16">
        <f t="shared" si="3"/>
        <v>5</v>
      </c>
      <c r="H31" s="37">
        <f t="shared" si="3"/>
        <v>3</v>
      </c>
      <c r="I31" s="38">
        <f t="shared" si="3"/>
        <v>7</v>
      </c>
      <c r="J31" s="33">
        <f t="shared" si="3"/>
        <v>0</v>
      </c>
      <c r="K31" s="16">
        <f t="shared" si="3"/>
        <v>0</v>
      </c>
      <c r="L31" s="37">
        <f t="shared" si="3"/>
        <v>0</v>
      </c>
      <c r="M31" s="38">
        <f t="shared" si="3"/>
        <v>0</v>
      </c>
    </row>
    <row r="32" spans="2:13" x14ac:dyDescent="0.3">
      <c r="B32" s="100"/>
      <c r="C32" s="4" t="s">
        <v>20</v>
      </c>
      <c r="D32" s="33">
        <f t="shared" ref="D32:M32" si="4">ROUNDUP(D17+D17*BEEF_FACTOR,0)</f>
        <v>5</v>
      </c>
      <c r="E32" s="35">
        <f t="shared" si="4"/>
        <v>6</v>
      </c>
      <c r="F32" s="33">
        <f t="shared" si="4"/>
        <v>10</v>
      </c>
      <c r="G32" s="16">
        <f t="shared" si="4"/>
        <v>10</v>
      </c>
      <c r="H32" s="37">
        <f t="shared" si="4"/>
        <v>12</v>
      </c>
      <c r="I32" s="38">
        <f t="shared" si="4"/>
        <v>13</v>
      </c>
      <c r="J32" s="33">
        <f t="shared" si="4"/>
        <v>0</v>
      </c>
      <c r="K32" s="16">
        <f t="shared" si="4"/>
        <v>0</v>
      </c>
      <c r="L32" s="37">
        <f t="shared" si="4"/>
        <v>0</v>
      </c>
      <c r="M32" s="38">
        <f t="shared" si="4"/>
        <v>0</v>
      </c>
    </row>
    <row r="33" spans="2:13" ht="15" thickBot="1" x14ac:dyDescent="0.35">
      <c r="B33" s="101"/>
      <c r="C33" s="5" t="s">
        <v>19</v>
      </c>
      <c r="D33" s="34">
        <f t="shared" ref="D33:M33" si="5">ROUNDUP(D18+D18*BEEF_FACTOR,0)</f>
        <v>157</v>
      </c>
      <c r="E33" s="47">
        <f t="shared" si="5"/>
        <v>157</v>
      </c>
      <c r="F33" s="34">
        <f t="shared" si="5"/>
        <v>625</v>
      </c>
      <c r="G33" s="17">
        <f t="shared" si="5"/>
        <v>2500</v>
      </c>
      <c r="H33" s="48">
        <f t="shared" si="5"/>
        <v>625</v>
      </c>
      <c r="I33" s="40">
        <f t="shared" si="5"/>
        <v>2500</v>
      </c>
      <c r="J33" s="34">
        <f t="shared" si="5"/>
        <v>0</v>
      </c>
      <c r="K33" s="17">
        <f t="shared" si="5"/>
        <v>0</v>
      </c>
      <c r="L33" s="48">
        <f t="shared" si="5"/>
        <v>0</v>
      </c>
      <c r="M33" s="40">
        <f t="shared" si="5"/>
        <v>0</v>
      </c>
    </row>
  </sheetData>
  <sheetProtection sheet="1" objects="1" scenarios="1"/>
  <mergeCells count="31">
    <mergeCell ref="D6:E6"/>
    <mergeCell ref="F6:I6"/>
    <mergeCell ref="J6:M6"/>
    <mergeCell ref="F7:G7"/>
    <mergeCell ref="H7:I7"/>
    <mergeCell ref="J7:K7"/>
    <mergeCell ref="L7:M7"/>
    <mergeCell ref="L22:M22"/>
    <mergeCell ref="D13:E13"/>
    <mergeCell ref="F13:I13"/>
    <mergeCell ref="J13:M13"/>
    <mergeCell ref="F14:G14"/>
    <mergeCell ref="H14:I14"/>
    <mergeCell ref="J14:K14"/>
    <mergeCell ref="L14:M14"/>
    <mergeCell ref="B6:B18"/>
    <mergeCell ref="B21:B33"/>
    <mergeCell ref="B2:M2"/>
    <mergeCell ref="D28:E28"/>
    <mergeCell ref="F28:I28"/>
    <mergeCell ref="J28:M28"/>
    <mergeCell ref="F29:G29"/>
    <mergeCell ref="H29:I29"/>
    <mergeCell ref="J29:K29"/>
    <mergeCell ref="L29:M29"/>
    <mergeCell ref="D21:E21"/>
    <mergeCell ref="F21:I21"/>
    <mergeCell ref="J21:M21"/>
    <mergeCell ref="F22:G22"/>
    <mergeCell ref="H22:I22"/>
    <mergeCell ref="J22:K22"/>
  </mergeCells>
  <conditionalFormatting sqref="D6:M33">
    <cfRule type="cellIs" dxfId="13" priority="1" operator="equal">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24151-BCDB-4D54-B778-984CD476EECE}">
  <dimension ref="A1:K32"/>
  <sheetViews>
    <sheetView zoomScaleNormal="100" workbookViewId="0">
      <selection activeCell="C7" sqref="C7"/>
    </sheetView>
  </sheetViews>
  <sheetFormatPr defaultRowHeight="14.4" x14ac:dyDescent="0.3"/>
  <cols>
    <col min="2" max="2" width="20.33203125" customWidth="1"/>
    <col min="3" max="3" width="14.33203125" customWidth="1"/>
    <col min="4" max="4" width="12.21875" customWidth="1"/>
    <col min="5" max="5" width="18.21875" customWidth="1"/>
    <col min="6" max="6" width="14.33203125" customWidth="1"/>
    <col min="7" max="7" width="15.21875" customWidth="1"/>
    <col min="8" max="8" width="17.5546875" customWidth="1"/>
    <col min="9" max="10" width="14" customWidth="1"/>
  </cols>
  <sheetData>
    <row r="1" spans="1:10" ht="18" x14ac:dyDescent="0.35">
      <c r="B1" s="1" t="s">
        <v>67</v>
      </c>
      <c r="J1" t="s">
        <v>80</v>
      </c>
    </row>
    <row r="2" spans="1:10" x14ac:dyDescent="0.3">
      <c r="B2" s="88" t="str">
        <f>'Server Scenarios'!B2:K2</f>
        <v>Version 2019.04.21</v>
      </c>
      <c r="C2" s="88"/>
      <c r="D2" s="88"/>
      <c r="E2" s="88"/>
      <c r="F2" s="88"/>
      <c r="G2" s="88"/>
      <c r="H2" s="88"/>
      <c r="I2" s="88"/>
      <c r="J2" s="88"/>
    </row>
    <row r="3" spans="1:10" x14ac:dyDescent="0.3">
      <c r="B3" t="s">
        <v>50</v>
      </c>
    </row>
    <row r="4" spans="1:10" x14ac:dyDescent="0.3">
      <c r="B4" t="s">
        <v>84</v>
      </c>
    </row>
    <row r="6" spans="1:10" ht="14.4" customHeight="1" x14ac:dyDescent="0.3">
      <c r="A6" s="90" t="s">
        <v>0</v>
      </c>
      <c r="B6" s="120" t="s">
        <v>69</v>
      </c>
      <c r="C6" s="121"/>
      <c r="D6" s="131" t="s">
        <v>0</v>
      </c>
      <c r="E6" s="120" t="s">
        <v>65</v>
      </c>
      <c r="F6" s="121"/>
      <c r="H6" s="120" t="s">
        <v>76</v>
      </c>
      <c r="I6" s="121"/>
    </row>
    <row r="7" spans="1:10" ht="14.4" customHeight="1" x14ac:dyDescent="0.3">
      <c r="A7" s="90"/>
      <c r="B7" s="49" t="s">
        <v>57</v>
      </c>
      <c r="C7" s="50">
        <v>0</v>
      </c>
      <c r="D7" s="131"/>
      <c r="E7" s="49" t="s">
        <v>57</v>
      </c>
      <c r="F7" s="50">
        <v>0</v>
      </c>
      <c r="H7" s="49" t="s">
        <v>77</v>
      </c>
      <c r="I7" s="63">
        <f>Future_Users</f>
        <v>0</v>
      </c>
    </row>
    <row r="8" spans="1:10" ht="15" customHeight="1" thickBot="1" x14ac:dyDescent="0.35">
      <c r="A8" s="91"/>
      <c r="B8" s="51" t="s">
        <v>58</v>
      </c>
      <c r="C8" s="52">
        <v>0</v>
      </c>
      <c r="D8" s="131"/>
      <c r="E8" s="51" t="s">
        <v>58</v>
      </c>
      <c r="F8" s="52">
        <v>0</v>
      </c>
      <c r="H8" s="51" t="s">
        <v>58</v>
      </c>
      <c r="I8" s="62">
        <f>Current_Users</f>
        <v>0</v>
      </c>
    </row>
    <row r="9" spans="1:10" x14ac:dyDescent="0.3">
      <c r="B9" s="18" t="s">
        <v>81</v>
      </c>
      <c r="E9" s="18" t="s">
        <v>82</v>
      </c>
    </row>
    <row r="10" spans="1:10" ht="15" thickBot="1" x14ac:dyDescent="0.35"/>
    <row r="11" spans="1:10" x14ac:dyDescent="0.3">
      <c r="B11" s="119" t="s">
        <v>59</v>
      </c>
      <c r="C11" s="128" t="s">
        <v>23</v>
      </c>
      <c r="D11" s="129"/>
      <c r="E11" s="129"/>
      <c r="F11" s="130"/>
      <c r="G11" s="109" t="s">
        <v>53</v>
      </c>
      <c r="H11" s="110"/>
      <c r="I11" s="109" t="s">
        <v>60</v>
      </c>
      <c r="J11" s="110"/>
    </row>
    <row r="12" spans="1:10" x14ac:dyDescent="0.3">
      <c r="B12" s="97"/>
      <c r="C12" s="116"/>
      <c r="D12" s="117"/>
      <c r="E12" s="117"/>
      <c r="F12" s="118"/>
      <c r="G12" s="13" t="s">
        <v>13</v>
      </c>
      <c r="H12" s="6" t="s">
        <v>14</v>
      </c>
      <c r="I12" s="41" t="s">
        <v>13</v>
      </c>
      <c r="J12" s="42" t="s">
        <v>14</v>
      </c>
    </row>
    <row r="13" spans="1:10" x14ac:dyDescent="0.3">
      <c r="B13" s="97"/>
      <c r="C13" s="122" t="s">
        <v>17</v>
      </c>
      <c r="D13" s="123"/>
      <c r="E13" s="123"/>
      <c r="F13" s="124"/>
      <c r="G13" s="33">
        <f>IF(Current_Users&lt;=PROXY_LOW_USERS,PROXY_LOW_CORES, IF(Current_Users&gt;PROXY_MEDIUM_USERS,PROXY_HIGH_CORES,PROXY_MEDIUM_CORES))</f>
        <v>1</v>
      </c>
      <c r="H13" s="35">
        <f>G13*(1+VM_OVERHEAD)</f>
        <v>1.2</v>
      </c>
      <c r="I13" s="33">
        <f>IF(Current_Users&lt;=PROXY_LOW_USERS,PROXY_LOW_CORES, IF(Current_Users&gt;PROXY_MEDIUM_USERS,PROXY_HIGH_CORES,PROXY_MEDIUM_CORES))</f>
        <v>1</v>
      </c>
      <c r="J13" s="35">
        <f>I13*(1+VM_OVERHEAD)</f>
        <v>1.2</v>
      </c>
    </row>
    <row r="14" spans="1:10" x14ac:dyDescent="0.3">
      <c r="B14" s="97"/>
      <c r="C14" s="122" t="s">
        <v>18</v>
      </c>
      <c r="D14" s="123"/>
      <c r="E14" s="123"/>
      <c r="F14" s="124"/>
      <c r="G14" s="33">
        <f>IF(Current_Users&lt;=PROXY_LOW_USERS,PROXY_LOW_RAM, IF(Current_Users&gt;PROXY_MEDIUM_USERS,PROXY_HIGH_RAM,PROXY_MEDIUM_RAM))</f>
        <v>2</v>
      </c>
      <c r="H14" s="35">
        <f>G14*(1+VM_OVERHEAD)</f>
        <v>2.4</v>
      </c>
      <c r="I14" s="33">
        <f>G14+(Current_BranchTip)</f>
        <v>2</v>
      </c>
      <c r="J14" s="35">
        <f>I14*(1+VM_OVERHEAD)</f>
        <v>2.4</v>
      </c>
    </row>
    <row r="15" spans="1:10" ht="15" thickBot="1" x14ac:dyDescent="0.35">
      <c r="B15" s="97"/>
      <c r="C15" s="125" t="s">
        <v>19</v>
      </c>
      <c r="D15" s="126"/>
      <c r="E15" s="126"/>
      <c r="F15" s="127"/>
      <c r="G15" s="34">
        <f>Current_BranchTip</f>
        <v>0</v>
      </c>
      <c r="H15" s="47">
        <f>G15</f>
        <v>0</v>
      </c>
      <c r="I15" s="34">
        <f>Current_Storage*GVFS_SCALE_FACTOR</f>
        <v>0</v>
      </c>
      <c r="J15" s="47">
        <f>I15</f>
        <v>0</v>
      </c>
    </row>
    <row r="16" spans="1:10" ht="15" thickBot="1" x14ac:dyDescent="0.35">
      <c r="B16" s="97"/>
    </row>
    <row r="17" spans="2:11" x14ac:dyDescent="0.3">
      <c r="B17" s="97"/>
      <c r="C17" s="128" t="s">
        <v>24</v>
      </c>
      <c r="D17" s="129"/>
      <c r="E17" s="129"/>
      <c r="F17" s="130"/>
      <c r="G17" s="109" t="s">
        <v>53</v>
      </c>
      <c r="H17" s="110"/>
      <c r="I17" s="109" t="s">
        <v>60</v>
      </c>
      <c r="J17" s="110"/>
    </row>
    <row r="18" spans="2:11" x14ac:dyDescent="0.3">
      <c r="B18" s="97"/>
      <c r="C18" s="116"/>
      <c r="D18" s="117"/>
      <c r="E18" s="117"/>
      <c r="F18" s="118"/>
      <c r="G18" s="41" t="s">
        <v>13</v>
      </c>
      <c r="H18" s="42" t="s">
        <v>14</v>
      </c>
      <c r="I18" s="41" t="s">
        <v>13</v>
      </c>
      <c r="J18" s="42" t="s">
        <v>14</v>
      </c>
    </row>
    <row r="19" spans="2:11" x14ac:dyDescent="0.3">
      <c r="B19" s="97"/>
      <c r="C19" s="122" t="s">
        <v>17</v>
      </c>
      <c r="D19" s="123"/>
      <c r="E19" s="123"/>
      <c r="F19" s="124"/>
      <c r="G19" s="33">
        <f>IF(Future_Users&lt;=PROXY_LOW_USERS,PROXY_LOW_CORES, IF(Future_Users&gt;PROXY_MEDIUM_USERS,PROXY_HIGH_CORES,PROXY_MEDIUM_CORES))</f>
        <v>1</v>
      </c>
      <c r="H19" s="35">
        <f>G19*(1+VM_OVERHEAD)</f>
        <v>1.2</v>
      </c>
      <c r="I19" s="33">
        <f>IF(Future_Users&lt;=PROXY_LOW_USERS,PROXY_LOW_CORES, IF(Future_Users&gt;PROXY_MEDIUM_USERS,PROXY_HIGH_CORES,PROXY_MEDIUM_CORES))</f>
        <v>1</v>
      </c>
      <c r="J19" s="35">
        <f>I19*(1+VM_OVERHEAD)</f>
        <v>1.2</v>
      </c>
    </row>
    <row r="20" spans="2:11" x14ac:dyDescent="0.3">
      <c r="B20" s="97"/>
      <c r="C20" s="122" t="s">
        <v>18</v>
      </c>
      <c r="D20" s="123"/>
      <c r="E20" s="123"/>
      <c r="F20" s="124"/>
      <c r="G20" s="33">
        <f>IF(Future_Users&lt;=PROXY_LOW_USERS,PROXY_LOW_RAM, IF(Future_Users&gt;PROXY_MEDIUM_USERS,PROXY_HIGH_RAM,PROXY_MEDIUM_RAM))</f>
        <v>2</v>
      </c>
      <c r="H20" s="35">
        <f>G20*(1+VM_OVERHEAD)</f>
        <v>2.4</v>
      </c>
      <c r="I20" s="33">
        <f>G20+Future_BranchTip</f>
        <v>2</v>
      </c>
      <c r="J20" s="35">
        <f>I20*(1+VM_OVERHEAD)</f>
        <v>2.4</v>
      </c>
    </row>
    <row r="21" spans="2:11" ht="15" thickBot="1" x14ac:dyDescent="0.35">
      <c r="B21" s="98"/>
      <c r="C21" s="125" t="s">
        <v>19</v>
      </c>
      <c r="D21" s="126"/>
      <c r="E21" s="126"/>
      <c r="F21" s="127"/>
      <c r="G21" s="34">
        <f>Future_BranchTip</f>
        <v>0</v>
      </c>
      <c r="H21" s="47">
        <f>G21</f>
        <v>0</v>
      </c>
      <c r="I21" s="34">
        <f>Future_Storage*GVFS_SCALE_FACTOR</f>
        <v>0</v>
      </c>
      <c r="J21" s="47">
        <f>I21</f>
        <v>0</v>
      </c>
    </row>
    <row r="22" spans="2:11" ht="15" thickBot="1" x14ac:dyDescent="0.35"/>
    <row r="23" spans="2:11" ht="15" thickBot="1" x14ac:dyDescent="0.35">
      <c r="B23" s="73" t="s">
        <v>86</v>
      </c>
      <c r="C23" s="74"/>
      <c r="D23" s="74"/>
      <c r="E23" s="74"/>
      <c r="F23" s="74"/>
      <c r="G23" s="74"/>
      <c r="H23" s="74"/>
      <c r="I23" s="74"/>
      <c r="J23" s="74"/>
      <c r="K23" s="75"/>
    </row>
    <row r="24" spans="2:11" x14ac:dyDescent="0.3">
      <c r="B24" s="64" t="s">
        <v>90</v>
      </c>
      <c r="C24" s="65"/>
      <c r="D24" s="65"/>
      <c r="E24" s="65"/>
      <c r="F24" s="65"/>
      <c r="G24" s="65"/>
      <c r="H24" s="65"/>
      <c r="I24" s="65"/>
      <c r="J24" s="65"/>
      <c r="K24" s="66"/>
    </row>
    <row r="25" spans="2:11" x14ac:dyDescent="0.3">
      <c r="B25" s="67"/>
      <c r="C25" s="68"/>
      <c r="D25" s="68"/>
      <c r="E25" s="68"/>
      <c r="F25" s="68"/>
      <c r="G25" s="68"/>
      <c r="H25" s="68"/>
      <c r="I25" s="68"/>
      <c r="J25" s="68"/>
      <c r="K25" s="69"/>
    </row>
    <row r="26" spans="2:11" x14ac:dyDescent="0.3">
      <c r="B26" s="67"/>
      <c r="C26" s="68"/>
      <c r="D26" s="68"/>
      <c r="E26" s="68"/>
      <c r="F26" s="68"/>
      <c r="G26" s="68"/>
      <c r="H26" s="68"/>
      <c r="I26" s="68"/>
      <c r="J26" s="68"/>
      <c r="K26" s="69"/>
    </row>
    <row r="27" spans="2:11" x14ac:dyDescent="0.3">
      <c r="B27" s="67"/>
      <c r="C27" s="68"/>
      <c r="D27" s="68"/>
      <c r="E27" s="68"/>
      <c r="F27" s="68"/>
      <c r="G27" s="68"/>
      <c r="H27" s="68"/>
      <c r="I27" s="68"/>
      <c r="J27" s="68"/>
      <c r="K27" s="69"/>
    </row>
    <row r="28" spans="2:11" x14ac:dyDescent="0.3">
      <c r="B28" s="67"/>
      <c r="C28" s="68"/>
      <c r="D28" s="68"/>
      <c r="E28" s="68"/>
      <c r="F28" s="68"/>
      <c r="G28" s="68"/>
      <c r="H28" s="68"/>
      <c r="I28" s="68"/>
      <c r="J28" s="68"/>
      <c r="K28" s="69"/>
    </row>
    <row r="29" spans="2:11" x14ac:dyDescent="0.3">
      <c r="B29" s="67"/>
      <c r="C29" s="68"/>
      <c r="D29" s="68"/>
      <c r="E29" s="68"/>
      <c r="F29" s="68"/>
      <c r="G29" s="68"/>
      <c r="H29" s="68"/>
      <c r="I29" s="68"/>
      <c r="J29" s="68"/>
      <c r="K29" s="69"/>
    </row>
    <row r="30" spans="2:11" x14ac:dyDescent="0.3">
      <c r="B30" s="67"/>
      <c r="C30" s="68"/>
      <c r="D30" s="68"/>
      <c r="E30" s="68"/>
      <c r="F30" s="68"/>
      <c r="G30" s="68"/>
      <c r="H30" s="68"/>
      <c r="I30" s="68"/>
      <c r="J30" s="68"/>
      <c r="K30" s="69"/>
    </row>
    <row r="31" spans="2:11" x14ac:dyDescent="0.3">
      <c r="B31" s="67"/>
      <c r="C31" s="68"/>
      <c r="D31" s="68"/>
      <c r="E31" s="68"/>
      <c r="F31" s="68"/>
      <c r="G31" s="68"/>
      <c r="H31" s="68"/>
      <c r="I31" s="68"/>
      <c r="J31" s="68"/>
      <c r="K31" s="69"/>
    </row>
    <row r="32" spans="2:11" ht="30.6" customHeight="1" thickBot="1" x14ac:dyDescent="0.35">
      <c r="B32" s="70"/>
      <c r="C32" s="71"/>
      <c r="D32" s="71"/>
      <c r="E32" s="71"/>
      <c r="F32" s="71"/>
      <c r="G32" s="71"/>
      <c r="H32" s="71"/>
      <c r="I32" s="71"/>
      <c r="J32" s="71"/>
      <c r="K32" s="72"/>
    </row>
  </sheetData>
  <sheetProtection sheet="1" objects="1" scenarios="1"/>
  <mergeCells count="23">
    <mergeCell ref="C19:F19"/>
    <mergeCell ref="C20:F20"/>
    <mergeCell ref="H6:I6"/>
    <mergeCell ref="C11:F11"/>
    <mergeCell ref="C12:F12"/>
    <mergeCell ref="D6:D8"/>
    <mergeCell ref="C17:F17"/>
    <mergeCell ref="B23:K23"/>
    <mergeCell ref="B24:K32"/>
    <mergeCell ref="A6:A8"/>
    <mergeCell ref="C18:F18"/>
    <mergeCell ref="B2:J2"/>
    <mergeCell ref="B11:B21"/>
    <mergeCell ref="G11:H11"/>
    <mergeCell ref="G17:H17"/>
    <mergeCell ref="I11:J11"/>
    <mergeCell ref="I17:J17"/>
    <mergeCell ref="E6:F6"/>
    <mergeCell ref="C13:F13"/>
    <mergeCell ref="B6:C6"/>
    <mergeCell ref="C14:F14"/>
    <mergeCell ref="C15:F15"/>
    <mergeCell ref="C21:F21"/>
  </mergeCells>
  <conditionalFormatting sqref="G10:H10">
    <cfRule type="cellIs" dxfId="12" priority="13" operator="equal">
      <formula>0</formula>
    </cfRule>
  </conditionalFormatting>
  <conditionalFormatting sqref="G18:H21 G12:H16">
    <cfRule type="cellIs" dxfId="11" priority="12" operator="equal">
      <formula>0</formula>
    </cfRule>
  </conditionalFormatting>
  <conditionalFormatting sqref="G11:H11">
    <cfRule type="cellIs" dxfId="10" priority="11" operator="equal">
      <formula>0</formula>
    </cfRule>
  </conditionalFormatting>
  <conditionalFormatting sqref="G17:H17">
    <cfRule type="cellIs" dxfId="9" priority="10" operator="equal">
      <formula>0</formula>
    </cfRule>
  </conditionalFormatting>
  <conditionalFormatting sqref="I12:J12 J13:J15">
    <cfRule type="cellIs" dxfId="8" priority="9" operator="equal">
      <formula>0</formula>
    </cfRule>
  </conditionalFormatting>
  <conditionalFormatting sqref="I11:J11">
    <cfRule type="cellIs" dxfId="7" priority="8" operator="equal">
      <formula>0</formula>
    </cfRule>
  </conditionalFormatting>
  <conditionalFormatting sqref="I18:J18 J19:J21">
    <cfRule type="cellIs" dxfId="6" priority="7" operator="equal">
      <formula>0</formula>
    </cfRule>
  </conditionalFormatting>
  <conditionalFormatting sqref="I19:I21">
    <cfRule type="cellIs" dxfId="5" priority="3" operator="equal">
      <formula>0</formula>
    </cfRule>
  </conditionalFormatting>
  <conditionalFormatting sqref="I17:J17">
    <cfRule type="cellIs" dxfId="4" priority="5" operator="equal">
      <formula>0</formula>
    </cfRule>
  </conditionalFormatting>
  <conditionalFormatting sqref="I13:I15">
    <cfRule type="cellIs" dxfId="3" priority="4" operator="equal">
      <formula>0</formula>
    </cfRule>
  </conditionalFormatting>
  <conditionalFormatting sqref="B9">
    <cfRule type="expression" dxfId="2" priority="2">
      <formula>Current_Storage&lt;=Future_Storage</formula>
    </cfRule>
  </conditionalFormatting>
  <conditionalFormatting sqref="E9">
    <cfRule type="expression" dxfId="1" priority="1">
      <formula>Current_BranchTip &lt;= Future_BranchTip</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C01BD-A0E7-4C75-963D-65D4B351A825}">
  <dimension ref="A1:K30"/>
  <sheetViews>
    <sheetView zoomScaleNormal="100" workbookViewId="0">
      <selection activeCell="C8" sqref="C8"/>
    </sheetView>
  </sheetViews>
  <sheetFormatPr defaultRowHeight="14.4" x14ac:dyDescent="0.3"/>
  <cols>
    <col min="2" max="2" width="20.33203125" customWidth="1"/>
    <col min="3" max="3" width="14.33203125" customWidth="1"/>
    <col min="4" max="4" width="12.21875" customWidth="1"/>
    <col min="5" max="5" width="18.21875" customWidth="1"/>
    <col min="6" max="6" width="14.33203125" customWidth="1"/>
    <col min="7" max="7" width="15.21875" customWidth="1"/>
    <col min="8" max="8" width="17.5546875" customWidth="1"/>
    <col min="9" max="10" width="14" customWidth="1"/>
  </cols>
  <sheetData>
    <row r="1" spans="1:10" ht="18" x14ac:dyDescent="0.35">
      <c r="B1" s="1" t="s">
        <v>67</v>
      </c>
      <c r="J1" t="s">
        <v>80</v>
      </c>
    </row>
    <row r="2" spans="1:10" x14ac:dyDescent="0.3">
      <c r="B2" s="88" t="str">
        <f>'Server Scenarios'!B2:K2</f>
        <v>Version 2019.04.21</v>
      </c>
      <c r="C2" s="88"/>
      <c r="D2" s="88"/>
      <c r="E2" s="88"/>
      <c r="F2" s="88"/>
      <c r="G2" s="88"/>
      <c r="H2" s="88"/>
      <c r="I2" s="88"/>
      <c r="J2" s="88"/>
    </row>
    <row r="3" spans="1:10" x14ac:dyDescent="0.3">
      <c r="B3" t="s">
        <v>50</v>
      </c>
    </row>
    <row r="4" spans="1:10" x14ac:dyDescent="0.3">
      <c r="B4" t="s">
        <v>84</v>
      </c>
    </row>
    <row r="5" spans="1:10" x14ac:dyDescent="0.3">
      <c r="B5" t="s">
        <v>85</v>
      </c>
    </row>
    <row r="7" spans="1:10" ht="14.4" customHeight="1" x14ac:dyDescent="0.3">
      <c r="A7" s="90" t="s">
        <v>0</v>
      </c>
      <c r="B7" s="120" t="s">
        <v>69</v>
      </c>
      <c r="C7" s="121"/>
      <c r="E7" s="120" t="s">
        <v>76</v>
      </c>
      <c r="F7" s="121"/>
    </row>
    <row r="8" spans="1:10" ht="14.4" customHeight="1" x14ac:dyDescent="0.3">
      <c r="A8" s="90"/>
      <c r="B8" s="49" t="s">
        <v>57</v>
      </c>
      <c r="C8" s="50">
        <v>0</v>
      </c>
      <c r="E8" s="49" t="s">
        <v>77</v>
      </c>
      <c r="F8" s="63">
        <f>Future_Users</f>
        <v>0</v>
      </c>
    </row>
    <row r="9" spans="1:10" ht="15" customHeight="1" thickBot="1" x14ac:dyDescent="0.35">
      <c r="A9" s="91"/>
      <c r="B9" s="51" t="s">
        <v>58</v>
      </c>
      <c r="C9" s="52">
        <v>0</v>
      </c>
      <c r="E9" s="51" t="s">
        <v>58</v>
      </c>
      <c r="F9" s="62">
        <f>Current_Users</f>
        <v>0</v>
      </c>
    </row>
    <row r="10" spans="1:10" ht="15" customHeight="1" x14ac:dyDescent="0.3"/>
    <row r="11" spans="1:10" ht="15" thickBot="1" x14ac:dyDescent="0.35"/>
    <row r="12" spans="1:10" x14ac:dyDescent="0.3">
      <c r="B12" s="119" t="s">
        <v>52</v>
      </c>
      <c r="C12" s="128" t="s">
        <v>23</v>
      </c>
      <c r="D12" s="129"/>
      <c r="E12" s="129"/>
      <c r="F12" s="130"/>
      <c r="G12" s="109" t="s">
        <v>53</v>
      </c>
      <c r="H12" s="110"/>
    </row>
    <row r="13" spans="1:10" x14ac:dyDescent="0.3">
      <c r="B13" s="97"/>
      <c r="C13" s="116"/>
      <c r="D13" s="117"/>
      <c r="E13" s="117"/>
      <c r="F13" s="118"/>
      <c r="G13" s="61" t="s">
        <v>13</v>
      </c>
      <c r="H13" s="6" t="s">
        <v>14</v>
      </c>
    </row>
    <row r="14" spans="1:10" x14ac:dyDescent="0.3">
      <c r="B14" s="97"/>
      <c r="C14" s="122" t="s">
        <v>17</v>
      </c>
      <c r="D14" s="123"/>
      <c r="E14" s="123"/>
      <c r="F14" s="124"/>
      <c r="G14" s="33">
        <f>IF(Current_Users&gt;CS_LOW_USERS,CS_HIGH_CORES,CS_LOW_CORES)</f>
        <v>2</v>
      </c>
      <c r="H14" s="35">
        <f>G14*(1+VM_OVERHEAD)</f>
        <v>2.4</v>
      </c>
    </row>
    <row r="15" spans="1:10" x14ac:dyDescent="0.3">
      <c r="B15" s="97"/>
      <c r="C15" s="122" t="s">
        <v>18</v>
      </c>
      <c r="D15" s="123"/>
      <c r="E15" s="123"/>
      <c r="F15" s="124"/>
      <c r="G15" s="33">
        <f>IF(Current_Users&gt;CS_LOW_USERS,CS_HIGH_RAM,CS_LOW_RAM)</f>
        <v>8</v>
      </c>
      <c r="H15" s="35">
        <f>G15*(1+VM_OVERHEAD)</f>
        <v>9.6</v>
      </c>
    </row>
    <row r="16" spans="1:10" ht="15" thickBot="1" x14ac:dyDescent="0.35">
      <c r="B16" s="97"/>
      <c r="C16" s="125" t="s">
        <v>19</v>
      </c>
      <c r="D16" s="126"/>
      <c r="E16" s="126"/>
      <c r="F16" s="127"/>
      <c r="G16" s="34">
        <f>Current_Storage*CS_STORAGE_FACTOR</f>
        <v>0</v>
      </c>
      <c r="H16" s="47">
        <f>G16</f>
        <v>0</v>
      </c>
    </row>
    <row r="17" spans="2:11" ht="15" thickBot="1" x14ac:dyDescent="0.35">
      <c r="B17" s="97"/>
    </row>
    <row r="18" spans="2:11" x14ac:dyDescent="0.3">
      <c r="B18" s="97"/>
      <c r="C18" s="128" t="s">
        <v>24</v>
      </c>
      <c r="D18" s="129"/>
      <c r="E18" s="129"/>
      <c r="F18" s="130"/>
      <c r="G18" s="109" t="s">
        <v>53</v>
      </c>
      <c r="H18" s="110"/>
    </row>
    <row r="19" spans="2:11" x14ac:dyDescent="0.3">
      <c r="B19" s="97"/>
      <c r="C19" s="116"/>
      <c r="D19" s="117"/>
      <c r="E19" s="117"/>
      <c r="F19" s="118"/>
      <c r="G19" s="60" t="s">
        <v>13</v>
      </c>
      <c r="H19" s="42" t="s">
        <v>14</v>
      </c>
    </row>
    <row r="20" spans="2:11" x14ac:dyDescent="0.3">
      <c r="B20" s="97"/>
      <c r="C20" s="122" t="s">
        <v>17</v>
      </c>
      <c r="D20" s="123"/>
      <c r="E20" s="123"/>
      <c r="F20" s="124"/>
      <c r="G20" s="33">
        <f>IF(Future_Users&gt;CS_LOW_USERS,CS_HIGH_CORES,CS_LOW_CORES)</f>
        <v>2</v>
      </c>
      <c r="H20" s="35">
        <f>G20*(1+VM_OVERHEAD)</f>
        <v>2.4</v>
      </c>
    </row>
    <row r="21" spans="2:11" x14ac:dyDescent="0.3">
      <c r="B21" s="97"/>
      <c r="C21" s="122" t="s">
        <v>18</v>
      </c>
      <c r="D21" s="123"/>
      <c r="E21" s="123"/>
      <c r="F21" s="124"/>
      <c r="G21" s="33">
        <f>IF(Future_Users&gt;CS_LOW_USERS,CS_HIGH_RAM,CS_LOW_RAM)</f>
        <v>8</v>
      </c>
      <c r="H21" s="35">
        <f>G21*(1+VM_OVERHEAD)</f>
        <v>9.6</v>
      </c>
    </row>
    <row r="22" spans="2:11" ht="15" thickBot="1" x14ac:dyDescent="0.35">
      <c r="B22" s="98"/>
      <c r="C22" s="125" t="s">
        <v>19</v>
      </c>
      <c r="D22" s="126"/>
      <c r="E22" s="126"/>
      <c r="F22" s="127"/>
      <c r="G22" s="34">
        <f>Future_Storage*CS_STORAGE_FACTOR</f>
        <v>0</v>
      </c>
      <c r="H22" s="47">
        <f>G22</f>
        <v>0</v>
      </c>
    </row>
    <row r="23" spans="2:11" ht="15" thickBot="1" x14ac:dyDescent="0.35"/>
    <row r="24" spans="2:11" ht="15" thickBot="1" x14ac:dyDescent="0.35">
      <c r="B24" s="73" t="s">
        <v>86</v>
      </c>
      <c r="C24" s="74"/>
      <c r="D24" s="74"/>
      <c r="E24" s="74"/>
      <c r="F24" s="74"/>
      <c r="G24" s="74"/>
      <c r="H24" s="74"/>
      <c r="I24" s="74"/>
      <c r="J24" s="74"/>
      <c r="K24" s="75"/>
    </row>
    <row r="25" spans="2:11" x14ac:dyDescent="0.3">
      <c r="B25" s="64" t="s">
        <v>89</v>
      </c>
      <c r="C25" s="65"/>
      <c r="D25" s="65"/>
      <c r="E25" s="65"/>
      <c r="F25" s="65"/>
      <c r="G25" s="65"/>
      <c r="H25" s="65"/>
      <c r="I25" s="65"/>
      <c r="J25" s="65"/>
      <c r="K25" s="66"/>
    </row>
    <row r="26" spans="2:11" x14ac:dyDescent="0.3">
      <c r="B26" s="67"/>
      <c r="C26" s="68"/>
      <c r="D26" s="68"/>
      <c r="E26" s="68"/>
      <c r="F26" s="68"/>
      <c r="G26" s="68"/>
      <c r="H26" s="68"/>
      <c r="I26" s="68"/>
      <c r="J26" s="68"/>
      <c r="K26" s="69"/>
    </row>
    <row r="27" spans="2:11" x14ac:dyDescent="0.3">
      <c r="B27" s="67"/>
      <c r="C27" s="68"/>
      <c r="D27" s="68"/>
      <c r="E27" s="68"/>
      <c r="F27" s="68"/>
      <c r="G27" s="68"/>
      <c r="H27" s="68"/>
      <c r="I27" s="68"/>
      <c r="J27" s="68"/>
      <c r="K27" s="69"/>
    </row>
    <row r="28" spans="2:11" x14ac:dyDescent="0.3">
      <c r="B28" s="67"/>
      <c r="C28" s="68"/>
      <c r="D28" s="68"/>
      <c r="E28" s="68"/>
      <c r="F28" s="68"/>
      <c r="G28" s="68"/>
      <c r="H28" s="68"/>
      <c r="I28" s="68"/>
      <c r="J28" s="68"/>
      <c r="K28" s="69"/>
    </row>
    <row r="29" spans="2:11" x14ac:dyDescent="0.3">
      <c r="B29" s="67"/>
      <c r="C29" s="68"/>
      <c r="D29" s="68"/>
      <c r="E29" s="68"/>
      <c r="F29" s="68"/>
      <c r="G29" s="68"/>
      <c r="H29" s="68"/>
      <c r="I29" s="68"/>
      <c r="J29" s="68"/>
      <c r="K29" s="69"/>
    </row>
    <row r="30" spans="2:11" ht="15" thickBot="1" x14ac:dyDescent="0.35">
      <c r="B30" s="70"/>
      <c r="C30" s="71"/>
      <c r="D30" s="71"/>
      <c r="E30" s="71"/>
      <c r="F30" s="71"/>
      <c r="G30" s="71"/>
      <c r="H30" s="71"/>
      <c r="I30" s="71"/>
      <c r="J30" s="71"/>
      <c r="K30" s="72"/>
    </row>
  </sheetData>
  <sheetProtection sheet="1" objects="1" scenarios="1"/>
  <mergeCells count="19">
    <mergeCell ref="B2:J2"/>
    <mergeCell ref="A7:A9"/>
    <mergeCell ref="B7:C7"/>
    <mergeCell ref="E7:F7"/>
    <mergeCell ref="B24:K24"/>
    <mergeCell ref="B25:K30"/>
    <mergeCell ref="C20:F20"/>
    <mergeCell ref="C21:F21"/>
    <mergeCell ref="C22:F22"/>
    <mergeCell ref="B12:B22"/>
    <mergeCell ref="C12:F12"/>
    <mergeCell ref="G12:H12"/>
    <mergeCell ref="C13:F13"/>
    <mergeCell ref="C14:F14"/>
    <mergeCell ref="C15:F15"/>
    <mergeCell ref="C16:F16"/>
    <mergeCell ref="C18:F18"/>
    <mergeCell ref="G18:H18"/>
    <mergeCell ref="C19:F19"/>
  </mergeCells>
  <conditionalFormatting sqref="G12:H23">
    <cfRule type="cellIs" dxfId="0" priority="12" operator="equal">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roject xmlns="d4f1fd26-cd3f-48df-8559-6269d85163e3">45</Project>
    <Priority xmlns="d4f1fd26-cd3f-48df-8559-6269d85163e3">2 - Cheat sheet / posters (high)</Priority>
    <Notes0 xmlns="d4f1fd26-cd3f-48df-8559-6269d85163e3" xsi:nil="true"/>
    <Review_x0020_Status xmlns="d4f1fd26-cd3f-48df-8559-6269d85163e3">Review Completed</Review_x0020_Statu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8AB984F9AFA14087035BD77D90A626" ma:contentTypeVersion="5" ma:contentTypeDescription="Create a new document." ma:contentTypeScope="" ma:versionID="587f6fb58f55cab20468d5767da9b76d">
  <xsd:schema xmlns:xsd="http://www.w3.org/2001/XMLSchema" xmlns:p="http://schemas.microsoft.com/office/2006/metadata/properties" xmlns:ns1="d4f1fd26-cd3f-48df-8559-6269d85163e3" targetNamespace="http://schemas.microsoft.com/office/2006/metadata/properties" ma:root="true" ma:fieldsID="2d45bfae41b7a5cd5eac582b346e06dc" ns1:_="">
    <xsd:import namespace="d4f1fd26-cd3f-48df-8559-6269d85163e3"/>
    <xsd:element name="properties">
      <xsd:complexType>
        <xsd:sequence>
          <xsd:element name="documentManagement">
            <xsd:complexType>
              <xsd:all>
                <xsd:element ref="ns1:Project"/>
                <xsd:element ref="ns1:Review_x0020_Status" minOccurs="0"/>
                <xsd:element ref="ns1:Notes0" minOccurs="0"/>
                <xsd:element ref="ns1:Priority" minOccurs="0"/>
              </xsd:all>
            </xsd:complexType>
          </xsd:element>
        </xsd:sequence>
      </xsd:complexType>
    </xsd:element>
  </xsd:schema>
  <xsd:schema xmlns:xsd="http://www.w3.org/2001/XMLSchema" xmlns:dms="http://schemas.microsoft.com/office/2006/documentManagement/types" targetNamespace="d4f1fd26-cd3f-48df-8559-6269d85163e3" elementFormDefault="qualified">
    <xsd:import namespace="http://schemas.microsoft.com/office/2006/documentManagement/types"/>
    <xsd:element name="Project" ma:index="0" ma:displayName="Project" ma:list="{531e57d1-1a88-499e-a615-7e0bd53470b9}" ma:internalName="Project" ma:showField="Title">
      <xsd:simpleType>
        <xsd:restriction base="dms:Lookup"/>
      </xsd:simpleType>
    </xsd:element>
    <xsd:element name="Review_x0020_Status" ma:index="3" nillable="true" ma:displayName="Review Status" ma:default="Queued" ma:format="Dropdown" ma:internalName="Review_x0020_Status">
      <xsd:simpleType>
        <xsd:restriction base="dms:Choice">
          <xsd:enumeration value="Queued"/>
          <xsd:enumeration value="Rejected"/>
          <xsd:enumeration value="Review Completed"/>
        </xsd:restriction>
      </xsd:simpleType>
    </xsd:element>
    <xsd:element name="Notes0" ma:index="4" nillable="true" ma:displayName="Notes" ma:description="Brief notes to or from reviewer" ma:internalName="Notes0">
      <xsd:simpleType>
        <xsd:restriction base="dms:Text">
          <xsd:maxLength value="255"/>
        </xsd:restriction>
      </xsd:simpleType>
    </xsd:element>
    <xsd:element name="Priority" ma:index="11" nillable="true" ma:displayName="Priority" ma:default="4 - Other (low)" ma:format="Dropdown" ma:internalName="Priority">
      <xsd:simpleType>
        <xsd:restriction base="dms:Choice">
          <xsd:enumeration value="1 - Guide (critical)"/>
          <xsd:enumeration value="2 - Cheat sheet / posters (high)"/>
          <xsd:enumeration value="3 - HOL (normal)"/>
          <xsd:enumeration value="4 - Other (low)"/>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Document Nam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12B28CD-EB51-4560-8E58-B9E03DAFD80D}">
  <ds:schemaRefs>
    <ds:schemaRef ds:uri="http://purl.org/dc/elements/1.1/"/>
    <ds:schemaRef ds:uri="http://schemas.microsoft.com/office/2006/metadata/properties"/>
    <ds:schemaRef ds:uri="http://purl.org/dc/terms/"/>
    <ds:schemaRef ds:uri="d4f1fd26-cd3f-48df-8559-6269d85163e3"/>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3C0D350-2871-401C-8D5C-791C478D9E13}">
  <ds:schemaRefs>
    <ds:schemaRef ds:uri="http://schemas.microsoft.com/sharepoint/v3/contenttype/forms"/>
  </ds:schemaRefs>
</ds:datastoreItem>
</file>

<file path=customXml/itemProps3.xml><?xml version="1.0" encoding="utf-8"?>
<ds:datastoreItem xmlns:ds="http://schemas.openxmlformats.org/officeDocument/2006/customXml" ds:itemID="{8E2C743B-52BB-4B93-BC7B-301A591373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1fd26-cd3f-48df-8559-6269d85163e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82</vt:i4>
      </vt:variant>
    </vt:vector>
  </HeadingPairs>
  <TitlesOfParts>
    <vt:vector size="87" baseType="lpstr">
      <vt:lpstr>Server Scenarios</vt:lpstr>
      <vt:lpstr>Constants</vt:lpstr>
      <vt:lpstr>Hardware Configurations</vt:lpstr>
      <vt:lpstr>Proxy Server</vt:lpstr>
      <vt:lpstr>Code Search Server</vt:lpstr>
      <vt:lpstr>BEEF_FACTOR</vt:lpstr>
      <vt:lpstr>C_NO</vt:lpstr>
      <vt:lpstr>C_YES</vt:lpstr>
      <vt:lpstr>CS_DEMO_CORES</vt:lpstr>
      <vt:lpstr>CS_DEMO_RAM</vt:lpstr>
      <vt:lpstr>CS_DEMO_USERS</vt:lpstr>
      <vt:lpstr>CS_HIGH_CORES</vt:lpstr>
      <vt:lpstr>CS_HIGH_RAM</vt:lpstr>
      <vt:lpstr>CS_HIGH_USERS</vt:lpstr>
      <vt:lpstr>CS_LOW_CORES</vt:lpstr>
      <vt:lpstr>CS_LOW_RAM</vt:lpstr>
      <vt:lpstr>CS_LOW_USERS</vt:lpstr>
      <vt:lpstr>CS_STORAGE_FACTOR</vt:lpstr>
      <vt:lpstr>Current_BranchTip</vt:lpstr>
      <vt:lpstr>'Code Search Server'!Current_Storage</vt:lpstr>
      <vt:lpstr>Current_Storage</vt:lpstr>
      <vt:lpstr>Current_Users</vt:lpstr>
      <vt:lpstr>DUAL_CURRENT_OK</vt:lpstr>
      <vt:lpstr>DUAL_FUTURE_OK</vt:lpstr>
      <vt:lpstr>Future_BranchTip</vt:lpstr>
      <vt:lpstr>'Code Search Server'!Future_Storage</vt:lpstr>
      <vt:lpstr>Future_Storage</vt:lpstr>
      <vt:lpstr>Future_Users</vt:lpstr>
      <vt:lpstr>GVFS_SCALE_FACTOR</vt:lpstr>
      <vt:lpstr>HI_CORE_AT</vt:lpstr>
      <vt:lpstr>HI_CORE_DT</vt:lpstr>
      <vt:lpstr>HI_DISK_AT</vt:lpstr>
      <vt:lpstr>HI_DISK_DT</vt:lpstr>
      <vt:lpstr>HI_FACTOR</vt:lpstr>
      <vt:lpstr>HI_RAM_AT</vt:lpstr>
      <vt:lpstr>HI_RAM_DT</vt:lpstr>
      <vt:lpstr>HI_RPS</vt:lpstr>
      <vt:lpstr>HI_USERS</vt:lpstr>
      <vt:lpstr>HIGH_TPC</vt:lpstr>
      <vt:lpstr>LO_CORE_AT</vt:lpstr>
      <vt:lpstr>LO_DISK_AT</vt:lpstr>
      <vt:lpstr>LO_FACTOR</vt:lpstr>
      <vt:lpstr>LO_RAM_AT</vt:lpstr>
      <vt:lpstr>LO_RPS</vt:lpstr>
      <vt:lpstr>LO_TPC</vt:lpstr>
      <vt:lpstr>LO_USERS</vt:lpstr>
      <vt:lpstr>MEDIUM_CORE_AT</vt:lpstr>
      <vt:lpstr>MEDIUM_CORE_DT</vt:lpstr>
      <vt:lpstr>MEDIUM_DISK_AT</vt:lpstr>
      <vt:lpstr>MEDIUM_DISK_DT</vt:lpstr>
      <vt:lpstr>MEDIUM_RAM_AT</vt:lpstr>
      <vt:lpstr>MEDIUM_RAM_DT</vt:lpstr>
      <vt:lpstr>MEDIUM_RPS</vt:lpstr>
      <vt:lpstr>MEDIUM_TPC</vt:lpstr>
      <vt:lpstr>MEDIUM_USERS</vt:lpstr>
      <vt:lpstr>PROXY_HIGH_CORES</vt:lpstr>
      <vt:lpstr>PROXY_HIGH_RAM</vt:lpstr>
      <vt:lpstr>PROXY_HIGH_USERS</vt:lpstr>
      <vt:lpstr>PROXY_LOW_CORES</vt:lpstr>
      <vt:lpstr>PROXY_LOW_RAM</vt:lpstr>
      <vt:lpstr>PROXY_LOW_USERS</vt:lpstr>
      <vt:lpstr>PROXY_MEDIUM_CORES</vt:lpstr>
      <vt:lpstr>PROXY_MEDIUM_RAM</vt:lpstr>
      <vt:lpstr>PROXY_MEDIUM_USERS</vt:lpstr>
      <vt:lpstr>SCALE_CORE_AT</vt:lpstr>
      <vt:lpstr>SCALE_CORE_DT</vt:lpstr>
      <vt:lpstr>SCALE_CURRENT_OK</vt:lpstr>
      <vt:lpstr>SCALE_DISK_AT</vt:lpstr>
      <vt:lpstr>SCALE_DISK_DT</vt:lpstr>
      <vt:lpstr>SCALE_FACTOR</vt:lpstr>
      <vt:lpstr>SCALE_FUTURE_OK</vt:lpstr>
      <vt:lpstr>SCALE_RAM_AT</vt:lpstr>
      <vt:lpstr>SCALE_RAM_DT</vt:lpstr>
      <vt:lpstr>SCALE_RPS</vt:lpstr>
      <vt:lpstr>SCALE_TPC</vt:lpstr>
      <vt:lpstr>SCALE_USERS</vt:lpstr>
      <vt:lpstr>SINGLE_CURRENT_OK</vt:lpstr>
      <vt:lpstr>SINGLE_FUTURE_OK</vt:lpstr>
      <vt:lpstr>SINGLE_PREFERRED</vt:lpstr>
      <vt:lpstr>STANDARD_CORE_AT</vt:lpstr>
      <vt:lpstr>STANDARD_DISK_AT</vt:lpstr>
      <vt:lpstr>STANDARD_FACTOR</vt:lpstr>
      <vt:lpstr>STANDARD_RAM_AT</vt:lpstr>
      <vt:lpstr>STANDARD_RPD</vt:lpstr>
      <vt:lpstr>STANDARD_TPC</vt:lpstr>
      <vt:lpstr>STANDARD_USERS</vt:lpstr>
      <vt:lpstr>VM_OVERHEAD</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Willy-Peter Schaub</dc:creator>
  <cp:lastModifiedBy>Ken Muse</cp:lastModifiedBy>
  <cp:lastPrinted>2010-09-10T16:11:02Z</cp:lastPrinted>
  <dcterms:created xsi:type="dcterms:W3CDTF">2010-09-10T16:03:03Z</dcterms:created>
  <dcterms:modified xsi:type="dcterms:W3CDTF">2019-07-08T16:54:16Z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0x010100CC8AB984F9AFA14087035BD77D90A626</vt:lpwstr>
  </property>
  <property fmtid="{D5CDD505-2E9C-101B-9397-08002B2CF9AE}" pid="3" name="Order">
    <vt:r8>2400</vt:r8>
  </property>
</Properties>
</file>