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TimerCalculation" sheetId="2" state="visible" r:id="rId3"/>
    <sheet name="BitstreamLengths" sheetId="3" state="visible" r:id="rId4"/>
    <sheet name="CclkVsMclk" sheetId="4" state="visible" r:id="rId5"/>
    <sheet name="ExtraStartupBits" sheetId="5" state="visible" r:id="rId6"/>
  </sheets>
  <definedNames>
    <definedName function="false" hidden="false" name="CheckTIMER" vbProcedure="false">TimerCalculation!$F$47</definedName>
    <definedName function="false" hidden="false" name="CheckWBSTAR" vbProcedure="false">TimerCalculation!$B$21</definedName>
    <definedName function="false" hidden="false" name="ConfigRate" vbProcedure="false">TimerCalculation!$B$3</definedName>
    <definedName function="false" hidden="false" name="ConfigRatec" vbProcedure="false">TimerCalculation!$A$3</definedName>
    <definedName function="false" hidden="false" name="configrate_c" vbProcedure="false">TimerCalculation!$A$3</definedName>
    <definedName function="false" hidden="false" name="dci_c" vbProcedure="false">TimerCalculation!$A$7</definedName>
    <definedName function="false" hidden="false" name="fpga_c" vbProcedure="false">TimerCalculation!$A$2</definedName>
    <definedName function="false" hidden="false" name="mmcm_c" vbProcedure="false">TimerCalculation!$A$8</definedName>
    <definedName function="false" hidden="false" name="next_config_addr" vbProcedure="false">TimerCalculation!$C$20</definedName>
    <definedName function="false" hidden="false" name="pll_c" vbProcedure="false">TimerCalculation!$A$9</definedName>
    <definedName function="false" hidden="false" name="Results" vbProcedure="false">TimerCalculation!$A$53</definedName>
    <definedName function="false" hidden="false" name="sector_c" vbProcedure="false">TimerCalculation!$A$6</definedName>
    <definedName function="false" hidden="false" name="Size_c" vbProcedure="false">TimerCalculation!$A$4</definedName>
    <definedName function="false" hidden="false" name="TIMER_CFG" vbProcedure="false">TimerCalculation!$F$46</definedName>
    <definedName function="false" hidden="false" name="wbstar_c" vbProcedure="false">TimerCalculation!$A$10</definedName>
    <definedName function="false" hidden="false" name="width_c" vbProcedure="false">TimerCalculation!$A$5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<sst xmlns="http://schemas.openxmlformats.org/spreadsheetml/2006/main" count="135" uniqueCount="121">
  <si>
    <t xml:space="preserve">Enter design parameters </t>
  </si>
  <si>
    <t xml:space="preserve">Enter appropriate values for the following parameters your design in TimerCalculation Sheet </t>
  </si>
  <si>
    <t xml:space="preserve">FPGA</t>
  </si>
  <si>
    <t xml:space="preserve">Specify the part name as seen in the BitstreamLengths sheet. Add a new FPGA and it bitstream size here if needed</t>
  </si>
  <si>
    <t xml:space="preserve">ConfigRate</t>
  </si>
  <si>
    <t xml:space="preserve">Enter a 7 series supported configuration rate. The recommended rates are 22, 40, 50, and 66 as these will give bettern CCLK to MCLK correlation. Other value rates are listed in the CclkVsMclk worksheet</t>
  </si>
  <si>
    <t xml:space="preserve">Flash size (Mib)</t>
  </si>
  <si>
    <t xml:space="preserve">Enter the flash size in Mib</t>
  </si>
  <si>
    <t xml:space="preserve">Flash width (bits)</t>
  </si>
  <si>
    <t xml:space="preserve">Enter the SPI width. This has little if any change over the worst case timer calculations. However, it can be helpful for estimating how long configuration will take</t>
  </si>
  <si>
    <t xml:space="preserve">Sector size (KiB)</t>
  </si>
  <si>
    <t xml:space="preserve">Enter the largest sector erase size of the SPI Flash. For example, if a SPI flash has both 4kB erase sectors and 64 kB erase sectors, enter 64.</t>
  </si>
  <si>
    <t xml:space="preserve">SelectIO interface DCI?</t>
  </si>
  <si>
    <t xml:space="preserve">Enter "yes" if using SelectIO interface with digitally-controlled impedance (DCI) and the BitGen -g Match_cycle is not set to NoWait.</t>
  </si>
  <si>
    <t xml:space="preserve">MMCM STARTUP_WAIT</t>
  </si>
  <si>
    <t xml:space="preserve">Enter "yes" if the mixed-mode clock manager (MMCM) has its STARTUP_WAIT attribute set to TRUE and the BitGen -g LCK_cycle is not set to NoWait.</t>
  </si>
  <si>
    <t xml:space="preserve">PLL STARTUP_WAIT</t>
  </si>
  <si>
    <t xml:space="preserve">Enter "yes" if the phase-locked loop (PLL) has its STARTUP_WAIT attribute set to TRUE and the BitGen -g LCK_cycle is not set to NoWait</t>
  </si>
  <si>
    <t xml:space="preserve">Set WBSTAR to 1/2 Flash</t>
  </si>
  <si>
    <t xml:space="preserve">Enter "yes" if placing the multiboot bitstream at the flash midpoint. Entering "no" will allow the worksheet to find an optimal placement for the multiboot bitstream. Be sure to use this value to set BitGen -g next_config_addr when generating the golden bitstream</t>
  </si>
  <si>
    <t xml:space="preserve">The Workbook should generate an appropriate TIMER_CFG value if given valid input parameters. The recommended Bitgen options are in bold and are also at the bottom of the TimerCalculation worksheet below the Results cell</t>
  </si>
  <si>
    <t xml:space="preserve">Recommendations</t>
  </si>
  <si>
    <t xml:space="preserve">Use 22, 40, 50, or 66 for the ConfigRate. See the "Determining the Maximum Configuration Clock Frequency" section of UG470 for calculating the maximum CCLK rate for a specific SPI flash</t>
  </si>
  <si>
    <t xml:space="preserve">The "Address map of bitstreams and buffer space" graph in the upper right of the TimerCalculation worksheet is a simple plot to show the placement of the bitstreams and how much "buffer" space is available</t>
  </si>
  <si>
    <t xml:space="preserve">The </t>
  </si>
  <si>
    <t xml:space="preserve">Hex</t>
  </si>
  <si>
    <t xml:space="preserve">xc7a35t</t>
  </si>
  <si>
    <t xml:space="preserve">Flash address map </t>
  </si>
  <si>
    <t xml:space="preserve">golden</t>
  </si>
  <si>
    <t xml:space="preserve">buffer1</t>
  </si>
  <si>
    <t xml:space="preserve">multiboot</t>
  </si>
  <si>
    <t xml:space="preserve">no</t>
  </si>
  <si>
    <t xml:space="preserve">buffer2</t>
  </si>
  <si>
    <t xml:space="preserve">total</t>
  </si>
  <si>
    <t xml:space="preserve">yes</t>
  </si>
  <si>
    <t xml:space="preserve">Configuration Bitstream size (bits)</t>
  </si>
  <si>
    <t xml:space="preserve">Configuration Bitstream size (bytes)</t>
  </si>
  <si>
    <t xml:space="preserve">Extra Configuration size (bytes)</t>
  </si>
  <si>
    <t xml:space="preserve">Combined Configuration image size (bytes)</t>
  </si>
  <si>
    <t xml:space="preserve">Sector (bytes)</t>
  </si>
  <si>
    <t xml:space="preserve">Next sector (bytes)</t>
  </si>
  <si>
    <t xml:space="preserve">flash size (bytes)</t>
  </si>
  <si>
    <t xml:space="preserve">1/2 flash (bytes)</t>
  </si>
  <si>
    <t xml:space="preserve">WBSTAR (bytes)</t>
  </si>
  <si>
    <t xml:space="preserve">Check WBSTAR (bytes)</t>
  </si>
  <si>
    <t xml:space="preserve">Bytes from WBSTAR to end of flash (bytes)</t>
  </si>
  <si>
    <t xml:space="preserve">Bits from WBSTAR to end of flash (bits)</t>
  </si>
  <si>
    <t xml:space="preserve">ERROR Margin (%)</t>
  </si>
  <si>
    <t xml:space="preserve">Slope</t>
  </si>
  <si>
    <t xml:space="preserve">intercept</t>
  </si>
  <si>
    <t xml:space="preserve">Tyipcal</t>
  </si>
  <si>
    <t xml:space="preserve">Slowest MCLK</t>
  </si>
  <si>
    <t xml:space="preserve">Fastest MCLK</t>
  </si>
  <si>
    <t xml:space="preserve">MCCLK (MHz)</t>
  </si>
  <si>
    <t xml:space="preserve">CCLK -20%</t>
  </si>
  <si>
    <t xml:space="preserve">CCLK (MHz)</t>
  </si>
  <si>
    <t xml:space="preserve">CCLK +20%</t>
  </si>
  <si>
    <t xml:space="preserve">Slowest Configuration Rate (bits/s)</t>
  </si>
  <si>
    <t xml:space="preserve">Typical Configuration Rate (bits/s)</t>
  </si>
  <si>
    <t xml:space="preserve">Fastest Configuration Rate (bits/s)</t>
  </si>
  <si>
    <t xml:space="preserve">Slowest Configuration Time (s)</t>
  </si>
  <si>
    <t xml:space="preserve">Typical Configuration Time (s)</t>
  </si>
  <si>
    <t xml:space="preserve">Fastest Configuration Time (s)</t>
  </si>
  <si>
    <t xml:space="preserve">Slowest SPI Read Time (s)</t>
  </si>
  <si>
    <t xml:space="preserve">Typical SPI Read Time (s)</t>
  </si>
  <si>
    <t xml:space="preserve">Fastest SPI Read Time (s)</t>
  </si>
  <si>
    <t xml:space="preserve">Timer Rate (Hz)</t>
  </si>
  <si>
    <t xml:space="preserve">max/min Timer</t>
  </si>
  <si>
    <t xml:space="preserve">Maximum TIMER value</t>
  </si>
  <si>
    <t xml:space="preserve">Minimum TIMER value</t>
  </si>
  <si>
    <t xml:space="preserve">Margin between max and min timer</t>
  </si>
  <si>
    <t xml:space="preserve">margin</t>
  </si>
  <si>
    <t xml:space="preserve">Recommend TIMER Value</t>
  </si>
  <si>
    <t xml:space="preserve">Check</t>
  </si>
  <si>
    <t xml:space="preserve">Typical</t>
  </si>
  <si>
    <t xml:space="preserve">Worst Case</t>
  </si>
  <si>
    <t xml:space="preserve">Config finishes</t>
  </si>
  <si>
    <t xml:space="preserve">Timer fires</t>
  </si>
  <si>
    <t xml:space="preserve">Read hits end of flash</t>
  </si>
  <si>
    <t xml:space="preserve">Results</t>
  </si>
  <si>
    <t xml:space="preserve">Bitstream size error</t>
  </si>
  <si>
    <t xml:space="preserve">Timer value error</t>
  </si>
  <si>
    <t xml:space="preserve">BitGen option</t>
  </si>
  <si>
    <t xml:space="preserve">Recommend Value</t>
  </si>
  <si>
    <t xml:space="preserve">-g next_config_addr</t>
  </si>
  <si>
    <t xml:space="preserve">-g TIMER_CFG</t>
  </si>
  <si>
    <t xml:space="preserve">-g ConfigRate</t>
  </si>
  <si>
    <t xml:space="preserve">xc7a100t</t>
  </si>
  <si>
    <t xml:space="preserve">xc7a200t</t>
  </si>
  <si>
    <t xml:space="preserve">xc7a350t</t>
  </si>
  <si>
    <t xml:space="preserve">xc7k70t</t>
  </si>
  <si>
    <t xml:space="preserve">xc7k160t</t>
  </si>
  <si>
    <t xml:space="preserve">xc7k325t</t>
  </si>
  <si>
    <t xml:space="preserve">xc7k355t</t>
  </si>
  <si>
    <t xml:space="preserve">xc7k410t</t>
  </si>
  <si>
    <t xml:space="preserve">xc7k420t</t>
  </si>
  <si>
    <t xml:space="preserve">xc7k480t</t>
  </si>
  <si>
    <t xml:space="preserve">xc7vx415t</t>
  </si>
  <si>
    <t xml:space="preserve">xc7vx485t</t>
  </si>
  <si>
    <t xml:space="preserve">xc7vx550t</t>
  </si>
  <si>
    <t xml:space="preserve">xc8vh580t</t>
  </si>
  <si>
    <t xml:space="preserve">xc7v585t</t>
  </si>
  <si>
    <t xml:space="preserve">xc7vx690t</t>
  </si>
  <si>
    <t xml:space="preserve">xc7vx980t</t>
  </si>
  <si>
    <t xml:space="preserve">xc7vx1140t</t>
  </si>
  <si>
    <t xml:space="preserve">xc7v1500t</t>
  </si>
  <si>
    <t xml:space="preserve">xc7v2000t</t>
  </si>
  <si>
    <t xml:space="preserve">slope (m)</t>
  </si>
  <si>
    <t xml:space="preserve">intercept (y)</t>
  </si>
  <si>
    <t xml:space="preserve">CCCLK = m*MCLK + y</t>
  </si>
  <si>
    <t xml:space="preserve">Config Done Delay</t>
  </si>
  <si>
    <t xml:space="preserve">value</t>
  </si>
  <si>
    <t xml:space="preserve">enabled?</t>
  </si>
  <si>
    <t xml:space="preserve">wait time (s)</t>
  </si>
  <si>
    <t xml:space="preserve">width</t>
  </si>
  <si>
    <t xml:space="preserve">CCLK freq (Hz)</t>
  </si>
  <si>
    <t xml:space="preserve">Extra Bytes</t>
  </si>
  <si>
    <t xml:space="preserve">DCI w/Match_cycle (ms)</t>
  </si>
  <si>
    <t xml:space="preserve">MMCM_TLOCKMAX (us)</t>
  </si>
  <si>
    <t xml:space="preserve">PLL_TLOCKMAX (us)</t>
  </si>
  <si>
    <t xml:space="preserve">ExtraBits</t>
  </si>
</sst>
</file>

<file path=xl/styles.xml><?xml version="1.0" encoding="utf-8"?>
<styleSheet xmlns="http://schemas.openxmlformats.org/spreadsheetml/2006/main">
  <numFmts count="8">
    <numFmt numFmtId="164" formatCode="General"/>
    <numFmt numFmtId="165" formatCode="0\x0"/>
    <numFmt numFmtId="166" formatCode="0"/>
    <numFmt numFmtId="167" formatCode="General"/>
    <numFmt numFmtId="168" formatCode="0.00000"/>
    <numFmt numFmtId="169" formatCode="0.00"/>
    <numFmt numFmtId="170" formatCode="0%"/>
    <numFmt numFmtId="171" formatCode="0.00E+00"/>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name val="Lohit Hindi"/>
      <family val="2"/>
      <charset val="1"/>
    </font>
    <font>
      <b val="true"/>
      <sz val="10"/>
      <name val="Arial"/>
      <family val="2"/>
      <charset val="1"/>
    </font>
    <font>
      <sz val="10"/>
      <name val="DejaVu Sans Mono"/>
      <family val="3"/>
      <charset val="1"/>
    </font>
    <font>
      <b val="true"/>
      <sz val="10"/>
      <name val="DejaVu Sans Mono"/>
      <family val="3"/>
      <charset val="1"/>
    </font>
    <font>
      <sz val="10"/>
      <color rgb="FF000000"/>
      <name val="Calibri"/>
      <family val="2"/>
    </font>
  </fonts>
  <fills count="6">
    <fill>
      <patternFill patternType="none"/>
    </fill>
    <fill>
      <patternFill patternType="gray125"/>
    </fill>
    <fill>
      <patternFill patternType="solid">
        <fgColor rgb="FF33CC66"/>
        <bgColor rgb="FF339966"/>
      </patternFill>
    </fill>
    <fill>
      <patternFill patternType="solid">
        <fgColor rgb="FFDCE6F2"/>
        <bgColor rgb="FFD9D9D9"/>
      </patternFill>
    </fill>
    <fill>
      <patternFill patternType="solid">
        <fgColor rgb="FFEBF1DE"/>
        <bgColor rgb="FFDCE6F2"/>
      </patternFill>
    </fill>
    <fill>
      <patternFill patternType="solid">
        <fgColor rgb="FFF2DCDB"/>
        <bgColor rgb="FFD9D9D9"/>
      </patternFill>
    </fill>
  </fills>
  <borders count="5">
    <border diagonalUp="false" diagonalDown="false">
      <left/>
      <right/>
      <top/>
      <bottom/>
      <diagonal/>
    </border>
    <border diagonalUp="false" diagonalDown="false">
      <left/>
      <right/>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true" applyProtection="false">
      <alignment horizontal="right" vertical="bottom" textRotation="0" wrapText="false" indent="0" shrinkToFit="false"/>
      <protection locked="true" hidden="false"/>
    </xf>
    <xf numFmtId="167" fontId="7" fillId="0" borderId="1" xfId="0" applyFont="true" applyBorder="true" applyAlignment="true" applyProtection="false">
      <alignment horizontal="right" vertical="bottom" textRotation="0" wrapText="false" indent="0" shrinkToFit="false"/>
      <protection locked="true" hidden="false"/>
    </xf>
    <xf numFmtId="165" fontId="0" fillId="0" borderId="1" xfId="0" applyFont="true" applyBorder="true" applyAlignment="true" applyProtection="false">
      <alignment horizontal="right"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8" fontId="0" fillId="0" borderId="1"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9" fontId="0" fillId="3" borderId="0" xfId="0" applyFont="false" applyBorder="false" applyAlignment="true" applyProtection="false">
      <alignment horizontal="right" vertical="bottom"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9" fontId="0" fillId="4" borderId="1" xfId="0" applyFont="fals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9" fontId="0" fillId="5"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TableStyleLight1"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66"/>
      <rgbColor rgb="FF9BBB59"/>
      <rgbColor rgb="FFFFCC00"/>
      <rgbColor rgb="FFFF9900"/>
      <rgbColor rgb="FFFF6600"/>
      <rgbColor rgb="FF4F81BD"/>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percentStacked"/>
        <c:varyColors val="0"/>
        <c:ser>
          <c:idx val="0"/>
          <c:order val="0"/>
          <c:tx>
            <c:strRef>
              <c:f>TimerCalculation!$E$4</c:f>
              <c:strCache>
                <c:ptCount val="1"/>
                <c:pt idx="0">
                  <c:v>golden</c:v>
                </c:pt>
              </c:strCache>
            </c:strRef>
          </c:tx>
          <c:spPr>
            <a:solidFill>
              <a:srgbClr val="4f81bd"/>
            </a:solidFill>
            <a:ln w="0">
              <a:noFill/>
            </a:ln>
          </c:spPr>
          <c:invertIfNegative val="0"/>
          <c:dLbls>
            <c:txPr>
              <a:bodyPr wrap="none"/>
              <a:lstStyle/>
              <a:p>
                <a:pPr>
                  <a:defRPr b="0" lang="fr-CA"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TimerCalculation!$F$4</c:f>
              <c:numCache>
                <c:formatCode>General</c:formatCode>
                <c:ptCount val="1"/>
                <c:pt idx="0">
                  <c:v>2192012</c:v>
                </c:pt>
              </c:numCache>
            </c:numRef>
          </c:val>
        </c:ser>
        <c:ser>
          <c:idx val="1"/>
          <c:order val="1"/>
          <c:tx>
            <c:strRef>
              <c:f>TimerCalculation!$E$5</c:f>
              <c:strCache>
                <c:ptCount val="1"/>
                <c:pt idx="0">
                  <c:v>buffer1</c:v>
                </c:pt>
              </c:strCache>
            </c:strRef>
          </c:tx>
          <c:spPr>
            <a:solidFill>
              <a:srgbClr val="808080"/>
            </a:solidFill>
            <a:ln w="0">
              <a:noFill/>
            </a:ln>
          </c:spPr>
          <c:invertIfNegative val="0"/>
          <c:dLbls>
            <c:txPr>
              <a:bodyPr wrap="none"/>
              <a:lstStyle/>
              <a:p>
                <a:pPr>
                  <a:defRPr b="0" lang="fr-CA"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TimerCalculation!$F$5</c:f>
              <c:numCache>
                <c:formatCode>General</c:formatCode>
                <c:ptCount val="1"/>
                <c:pt idx="0">
                  <c:v>2002292</c:v>
                </c:pt>
              </c:numCache>
            </c:numRef>
          </c:val>
        </c:ser>
        <c:ser>
          <c:idx val="2"/>
          <c:order val="2"/>
          <c:tx>
            <c:strRef>
              <c:f>TimerCalculation!$E$6</c:f>
              <c:strCache>
                <c:ptCount val="1"/>
                <c:pt idx="0">
                  <c:v>multiboot</c:v>
                </c:pt>
              </c:strCache>
            </c:strRef>
          </c:tx>
          <c:spPr>
            <a:solidFill>
              <a:srgbClr val="9bbb59"/>
            </a:solidFill>
            <a:ln w="0">
              <a:noFill/>
            </a:ln>
          </c:spPr>
          <c:invertIfNegative val="0"/>
          <c:dLbls>
            <c:txPr>
              <a:bodyPr wrap="none"/>
              <a:lstStyle/>
              <a:p>
                <a:pPr>
                  <a:defRPr b="0" lang="fr-CA"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TimerCalculation!$F$6</c:f>
              <c:numCache>
                <c:formatCode>General</c:formatCode>
                <c:ptCount val="1"/>
                <c:pt idx="0">
                  <c:v>2192012</c:v>
                </c:pt>
              </c:numCache>
            </c:numRef>
          </c:val>
        </c:ser>
        <c:ser>
          <c:idx val="3"/>
          <c:order val="3"/>
          <c:tx>
            <c:strRef>
              <c:f>TimerCalculation!$E$7</c:f>
              <c:strCache>
                <c:ptCount val="1"/>
                <c:pt idx="0">
                  <c:v>buffer2</c:v>
                </c:pt>
              </c:strCache>
            </c:strRef>
          </c:tx>
          <c:spPr>
            <a:solidFill>
              <a:srgbClr val="d9d9d9"/>
            </a:solidFill>
            <a:ln w="0">
              <a:noFill/>
            </a:ln>
          </c:spPr>
          <c:invertIfNegative val="0"/>
          <c:dLbls>
            <c:txPr>
              <a:bodyPr wrap="none"/>
              <a:lstStyle/>
              <a:p>
                <a:pPr>
                  <a:defRPr b="0" lang="fr-CA"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TimerCalculation!$F$7</c:f>
              <c:numCache>
                <c:formatCode>General</c:formatCode>
                <c:ptCount val="1"/>
                <c:pt idx="0">
                  <c:v>2002292</c:v>
                </c:pt>
              </c:numCache>
            </c:numRef>
          </c:val>
        </c:ser>
        <c:gapWidth val="0"/>
        <c:overlap val="100"/>
        <c:axId val="30273077"/>
        <c:axId val="3155495"/>
      </c:barChart>
      <c:catAx>
        <c:axId val="30273077"/>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lang="fr-CA" sz="1000" spc="-1" strike="noStrike">
                <a:solidFill>
                  <a:srgbClr val="000000"/>
                </a:solidFill>
                <a:latin typeface="Calibri"/>
              </a:defRPr>
            </a:pPr>
          </a:p>
        </c:txPr>
        <c:crossAx val="3155495"/>
        <c:crosses val="autoZero"/>
        <c:auto val="1"/>
        <c:lblAlgn val="ctr"/>
        <c:lblOffset val="100"/>
        <c:noMultiLvlLbl val="0"/>
      </c:catAx>
      <c:valAx>
        <c:axId val="3155495"/>
        <c:scaling>
          <c:orientation val="minMax"/>
        </c:scaling>
        <c:delete val="0"/>
        <c:axPos val="l"/>
        <c:majorGridlines>
          <c:spPr>
            <a:ln w="9360">
              <a:solidFill>
                <a:srgbClr val="878787"/>
              </a:solidFill>
              <a:round/>
            </a:ln>
          </c:spPr>
        </c:majorGridlines>
        <c:numFmt formatCode="0%" sourceLinked="0"/>
        <c:majorTickMark val="none"/>
        <c:minorTickMark val="none"/>
        <c:tickLblPos val="none"/>
        <c:spPr>
          <a:ln w="9360">
            <a:solidFill>
              <a:srgbClr val="878787"/>
            </a:solidFill>
            <a:round/>
          </a:ln>
        </c:spPr>
        <c:txPr>
          <a:bodyPr/>
          <a:lstStyle/>
          <a:p>
            <a:pPr>
              <a:defRPr b="0" lang="fr-CA" sz="1000" spc="-1" strike="noStrike">
                <a:solidFill>
                  <a:srgbClr val="000000"/>
                </a:solidFill>
                <a:latin typeface="Calibri"/>
              </a:defRPr>
            </a:pPr>
          </a:p>
        </c:txPr>
        <c:crossAx val="30273077"/>
        <c:crosses val="autoZero"/>
        <c:crossBetween val="between"/>
      </c:valAx>
      <c:spPr>
        <a:solidFill>
          <a:srgbClr val="ffffff"/>
        </a:solidFill>
        <a:ln w="0">
          <a:noFill/>
        </a:ln>
      </c:spPr>
    </c:plotArea>
    <c:legend>
      <c:legendPos val="b"/>
      <c:overlay val="0"/>
      <c:spPr>
        <a:noFill/>
        <a:ln w="0">
          <a:noFill/>
        </a:ln>
      </c:spPr>
      <c:txPr>
        <a:bodyPr/>
        <a:lstStyle/>
        <a:p>
          <a:pPr>
            <a:defRPr b="0" lang="fr-CA"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257040</xdr:colOff>
      <xdr:row>8</xdr:row>
      <xdr:rowOff>114480</xdr:rowOff>
    </xdr:from>
    <xdr:to>
      <xdr:col>5</xdr:col>
      <xdr:colOff>666360</xdr:colOff>
      <xdr:row>39</xdr:row>
      <xdr:rowOff>123480</xdr:rowOff>
    </xdr:to>
    <xdr:graphicFrame>
      <xdr:nvGraphicFramePr>
        <xdr:cNvPr id="0" name="Chart 6"/>
        <xdr:cNvGraphicFramePr/>
      </xdr:nvGraphicFramePr>
      <xdr:xfrm>
        <a:off x="6162840" y="1457280"/>
        <a:ext cx="1356840" cy="51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0" activeCellId="0" sqref="C20"/>
    </sheetView>
  </sheetViews>
  <sheetFormatPr defaultColWidth="8.6875" defaultRowHeight="12.75" zeroHeight="false" outlineLevelRow="0" outlineLevelCol="0"/>
  <cols>
    <col collapsed="false" customWidth="true" hidden="false" outlineLevel="0" max="1" min="1" style="0" width="28.29"/>
    <col collapsed="false" customWidth="true" hidden="false" outlineLevel="0" max="2" min="2" style="1" width="76.57"/>
    <col collapsed="false" customWidth="true" hidden="false" outlineLevel="0" max="3" min="3" style="0" width="34.29"/>
  </cols>
  <sheetData>
    <row r="1" customFormat="false" ht="25.5" hidden="false" customHeight="false" outlineLevel="0" collapsed="false">
      <c r="A1" s="2" t="s">
        <v>0</v>
      </c>
      <c r="B1" s="1" t="s">
        <v>1</v>
      </c>
    </row>
    <row r="2" customFormat="false" ht="12.75" hidden="false" customHeight="false" outlineLevel="0" collapsed="false">
      <c r="A2" s="3"/>
    </row>
    <row r="3" customFormat="false" ht="6" hidden="false" customHeight="true" outlineLevel="0" collapsed="false">
      <c r="A3" s="3"/>
    </row>
    <row r="4" customFormat="false" ht="39.75" hidden="false" customHeight="true" outlineLevel="0" collapsed="false">
      <c r="A4" s="4" t="s">
        <v>2</v>
      </c>
      <c r="B4" s="5" t="s">
        <v>3</v>
      </c>
    </row>
    <row r="5" customFormat="false" ht="39.75" hidden="false" customHeight="true" outlineLevel="0" collapsed="false">
      <c r="A5" s="4" t="s">
        <v>4</v>
      </c>
      <c r="B5" s="5" t="s">
        <v>5</v>
      </c>
    </row>
    <row r="6" customFormat="false" ht="39.75" hidden="false" customHeight="true" outlineLevel="0" collapsed="false">
      <c r="A6" s="4" t="s">
        <v>6</v>
      </c>
      <c r="B6" s="5" t="s">
        <v>7</v>
      </c>
    </row>
    <row r="7" customFormat="false" ht="39.75" hidden="false" customHeight="true" outlineLevel="0" collapsed="false">
      <c r="A7" s="4" t="s">
        <v>8</v>
      </c>
      <c r="B7" s="5" t="s">
        <v>9</v>
      </c>
    </row>
    <row r="8" customFormat="false" ht="39.75" hidden="false" customHeight="true" outlineLevel="0" collapsed="false">
      <c r="A8" s="4" t="s">
        <v>10</v>
      </c>
      <c r="B8" s="5" t="s">
        <v>11</v>
      </c>
    </row>
    <row r="9" customFormat="false" ht="39.75" hidden="false" customHeight="true" outlineLevel="0" collapsed="false">
      <c r="A9" s="4" t="s">
        <v>12</v>
      </c>
      <c r="B9" s="5" t="s">
        <v>13</v>
      </c>
    </row>
    <row r="10" customFormat="false" ht="39.75" hidden="false" customHeight="true" outlineLevel="0" collapsed="false">
      <c r="A10" s="4" t="s">
        <v>14</v>
      </c>
      <c r="B10" s="5" t="s">
        <v>15</v>
      </c>
    </row>
    <row r="11" customFormat="false" ht="39.75" hidden="false" customHeight="true" outlineLevel="0" collapsed="false">
      <c r="A11" s="4" t="s">
        <v>16</v>
      </c>
      <c r="B11" s="5" t="s">
        <v>17</v>
      </c>
    </row>
    <row r="12" customFormat="false" ht="39.75" hidden="false" customHeight="true" outlineLevel="0" collapsed="false">
      <c r="A12" s="4" t="s">
        <v>18</v>
      </c>
      <c r="B12" s="5" t="s">
        <v>19</v>
      </c>
      <c r="C12" s="6"/>
    </row>
    <row r="15" customFormat="false" ht="38.25" hidden="false" customHeight="false" outlineLevel="0" collapsed="false">
      <c r="B15" s="7" t="s">
        <v>20</v>
      </c>
    </row>
    <row r="20" customFormat="false" ht="12.75" hidden="false" customHeight="false" outlineLevel="0" collapsed="false">
      <c r="A20" s="0" t="s">
        <v>21</v>
      </c>
      <c r="B20" s="8"/>
    </row>
    <row r="21" customFormat="false" ht="38.25" hidden="false" customHeight="false" outlineLevel="0" collapsed="false">
      <c r="B21" s="1" t="s">
        <v>22</v>
      </c>
    </row>
    <row r="22" customFormat="false" ht="12.75" hidden="false" customHeight="false" outlineLevel="0" collapsed="false">
      <c r="B22" s="8"/>
    </row>
    <row r="23" customFormat="false" ht="38.25" hidden="false" customHeight="false" outlineLevel="0" collapsed="false">
      <c r="B23" s="1" t="s">
        <v>23</v>
      </c>
    </row>
    <row r="24" customFormat="false" ht="12.75" hidden="false" customHeight="false" outlineLevel="0" collapsed="false">
      <c r="B24" s="8"/>
    </row>
    <row r="25" customFormat="false" ht="12.75" hidden="false" customHeight="false" outlineLevel="0" collapsed="false">
      <c r="B25" s="8" t="s">
        <v>24</v>
      </c>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46" activeCellId="0" sqref="E46"/>
    </sheetView>
  </sheetViews>
  <sheetFormatPr defaultColWidth="8.6875" defaultRowHeight="12.75" zeroHeight="false" outlineLevelRow="0" outlineLevelCol="0"/>
  <cols>
    <col collapsed="false" customWidth="true" hidden="false" outlineLevel="0" max="1" min="1" style="0" width="37.86"/>
    <col collapsed="false" customWidth="true" hidden="false" outlineLevel="0" max="2" min="2" style="0" width="20.42"/>
    <col collapsed="false" customWidth="true" hidden="false" outlineLevel="0" max="3" min="3" style="0" width="13.01"/>
    <col collapsed="false" customWidth="true" hidden="false" outlineLevel="0" max="4" min="4" style="0" width="12.42"/>
    <col collapsed="false" customWidth="true" hidden="false" outlineLevel="0" max="5" min="5" style="0" width="13.43"/>
    <col collapsed="false" customWidth="true" hidden="false" outlineLevel="0" max="6" min="6" style="0" width="10.14"/>
    <col collapsed="false" customWidth="true" hidden="false" outlineLevel="0" max="7" min="7" style="0" width="10"/>
    <col collapsed="false" customWidth="true" hidden="false" outlineLevel="0" max="8" min="8" style="0" width="12.14"/>
  </cols>
  <sheetData>
    <row r="1" customFormat="false" ht="12.75" hidden="false" customHeight="false" outlineLevel="0" collapsed="false">
      <c r="C1" s="9" t="s">
        <v>25</v>
      </c>
      <c r="D1" s="10"/>
      <c r="E1" s="10"/>
      <c r="F1" s="10"/>
      <c r="G1" s="10"/>
      <c r="H1" s="10"/>
      <c r="I1" s="10"/>
    </row>
    <row r="2" customFormat="false" ht="12.75" hidden="false" customHeight="false" outlineLevel="0" collapsed="false">
      <c r="A2" s="11" t="s">
        <v>2</v>
      </c>
      <c r="B2" s="0" t="s">
        <v>26</v>
      </c>
      <c r="D2" s="10"/>
      <c r="E2" s="10" t="s">
        <v>27</v>
      </c>
      <c r="F2" s="10"/>
      <c r="G2" s="10"/>
      <c r="H2" s="10"/>
      <c r="I2" s="10"/>
    </row>
    <row r="3" customFormat="false" ht="12.75" hidden="false" customHeight="false" outlineLevel="0" collapsed="false">
      <c r="A3" s="12" t="s">
        <v>4</v>
      </c>
      <c r="B3" s="13" t="n">
        <v>50</v>
      </c>
      <c r="D3" s="10"/>
      <c r="E3" s="10"/>
      <c r="F3" s="10"/>
      <c r="G3" s="10"/>
      <c r="H3" s="10"/>
    </row>
    <row r="4" customFormat="false" ht="13.5" hidden="false" customHeight="false" outlineLevel="0" collapsed="false">
      <c r="A4" s="12" t="s">
        <v>6</v>
      </c>
      <c r="B4" s="13" t="n">
        <v>64</v>
      </c>
      <c r="C4" s="14"/>
      <c r="D4" s="10"/>
      <c r="E4" s="10" t="s">
        <v>28</v>
      </c>
      <c r="F4" s="10" t="n">
        <f aca="false">B13</f>
        <v>2192012</v>
      </c>
      <c r="G4" s="10"/>
      <c r="H4" s="10"/>
    </row>
    <row r="5" customFormat="false" ht="13.5" hidden="false" customHeight="false" outlineLevel="0" collapsed="false">
      <c r="A5" s="12" t="s">
        <v>8</v>
      </c>
      <c r="B5" s="13" t="n">
        <v>2</v>
      </c>
      <c r="C5" s="14"/>
      <c r="D5" s="10"/>
      <c r="E5" s="10" t="s">
        <v>29</v>
      </c>
      <c r="F5" s="10" t="n">
        <f aca="false">B21-F4</f>
        <v>2002292</v>
      </c>
      <c r="G5" s="10"/>
      <c r="H5" s="10"/>
    </row>
    <row r="6" customFormat="false" ht="13.5" hidden="false" customHeight="false" outlineLevel="0" collapsed="false">
      <c r="A6" s="12" t="s">
        <v>10</v>
      </c>
      <c r="B6" s="13" t="n">
        <v>64</v>
      </c>
      <c r="C6" s="14"/>
      <c r="D6" s="10"/>
      <c r="E6" s="10" t="s">
        <v>30</v>
      </c>
      <c r="F6" s="10" t="n">
        <f aca="false">B13</f>
        <v>2192012</v>
      </c>
      <c r="G6" s="10"/>
      <c r="H6" s="10"/>
    </row>
    <row r="7" customFormat="false" ht="13.5" hidden="false" customHeight="false" outlineLevel="0" collapsed="false">
      <c r="A7" s="12" t="s">
        <v>12</v>
      </c>
      <c r="B7" s="13" t="s">
        <v>31</v>
      </c>
      <c r="C7" s="14"/>
      <c r="D7" s="10"/>
      <c r="E7" s="10" t="s">
        <v>32</v>
      </c>
      <c r="F7" s="10" t="n">
        <f aca="false">B18-SUM(F4:F6)</f>
        <v>2002292</v>
      </c>
      <c r="G7" s="10"/>
      <c r="H7" s="10"/>
    </row>
    <row r="8" customFormat="false" ht="13.5" hidden="false" customHeight="false" outlineLevel="0" collapsed="false">
      <c r="A8" s="12" t="s">
        <v>14</v>
      </c>
      <c r="B8" s="13" t="s">
        <v>31</v>
      </c>
      <c r="C8" s="14"/>
      <c r="D8" s="10"/>
      <c r="E8" s="10" t="s">
        <v>33</v>
      </c>
      <c r="F8" s="10" t="n">
        <f aca="false">SUM(F4:F7)</f>
        <v>8388608</v>
      </c>
      <c r="G8" s="10"/>
      <c r="H8" s="10"/>
    </row>
    <row r="9" customFormat="false" ht="13.5" hidden="false" customHeight="false" outlineLevel="0" collapsed="false">
      <c r="A9" s="12" t="s">
        <v>16</v>
      </c>
      <c r="B9" s="13" t="s">
        <v>31</v>
      </c>
      <c r="C9" s="14"/>
      <c r="D9" s="10"/>
      <c r="E9" s="10"/>
      <c r="F9" s="10"/>
      <c r="G9" s="10"/>
      <c r="H9" s="10"/>
    </row>
    <row r="10" customFormat="false" ht="13.5" hidden="false" customHeight="false" outlineLevel="0" collapsed="false">
      <c r="A10" s="15" t="s">
        <v>18</v>
      </c>
      <c r="B10" s="16" t="s">
        <v>34</v>
      </c>
      <c r="C10" s="14"/>
      <c r="D10" s="10"/>
      <c r="E10" s="10"/>
      <c r="F10" s="10"/>
      <c r="G10" s="10"/>
      <c r="H10" s="10"/>
    </row>
    <row r="11" customFormat="false" ht="13.5" hidden="false" customHeight="false" outlineLevel="0" collapsed="false">
      <c r="A11" s="17"/>
      <c r="C11" s="14"/>
      <c r="D11" s="14"/>
      <c r="F11" s="10"/>
      <c r="G11" s="10"/>
      <c r="H11" s="10"/>
    </row>
    <row r="12" customFormat="false" ht="13.5" hidden="false" customHeight="false" outlineLevel="0" collapsed="false">
      <c r="A12" s="18" t="s">
        <v>35</v>
      </c>
      <c r="B12" s="0" t="n">
        <v>17536096</v>
      </c>
      <c r="C12" s="14"/>
    </row>
    <row r="13" customFormat="false" ht="13.5" hidden="false" customHeight="false" outlineLevel="0" collapsed="false">
      <c r="A13" s="18" t="s">
        <v>36</v>
      </c>
      <c r="B13" s="19" t="n">
        <f aca="false">CEILING(B12,8)/8</f>
        <v>2192012</v>
      </c>
      <c r="C13" s="14" t="str">
        <f aca="false">DEC2HEX(B13)</f>
        <v>21728C</v>
      </c>
    </row>
    <row r="14" customFormat="false" ht="13.5" hidden="false" customHeight="false" outlineLevel="0" collapsed="false">
      <c r="A14" s="18" t="s">
        <v>37</v>
      </c>
      <c r="B14" s="19" t="n">
        <f aca="false">CEILING(ExtraStartupBits!G5,8)/8</f>
        <v>0</v>
      </c>
      <c r="C14" s="14" t="str">
        <f aca="false">DEC2HEX(B14)</f>
        <v>0</v>
      </c>
    </row>
    <row r="15" customFormat="false" ht="13.5" hidden="false" customHeight="false" outlineLevel="0" collapsed="false">
      <c r="A15" s="0" t="s">
        <v>38</v>
      </c>
      <c r="B15" s="20" t="n">
        <f aca="false">B13+B14</f>
        <v>2192012</v>
      </c>
      <c r="C15" s="14" t="str">
        <f aca="false">DEC2HEX(B15)</f>
        <v>21728C</v>
      </c>
    </row>
    <row r="16" customFormat="false" ht="13.5" hidden="false" customHeight="false" outlineLevel="0" collapsed="false">
      <c r="A16" s="0" t="s">
        <v>39</v>
      </c>
      <c r="B16" s="9" t="n">
        <f aca="false">B6*2^10</f>
        <v>65536</v>
      </c>
      <c r="C16" s="14" t="str">
        <f aca="false">DEC2HEX(B16)</f>
        <v>10000</v>
      </c>
      <c r="D16" s="14"/>
    </row>
    <row r="17" customFormat="false" ht="13.5" hidden="false" customHeight="false" outlineLevel="0" collapsed="false">
      <c r="A17" s="0" t="s">
        <v>40</v>
      </c>
      <c r="B17" s="9" t="n">
        <f aca="false">CEILING(B15,B16)</f>
        <v>2228224</v>
      </c>
      <c r="C17" s="14" t="str">
        <f aca="false">DEC2HEX(B17)</f>
        <v>220000</v>
      </c>
      <c r="D17" s="14"/>
    </row>
    <row r="18" customFormat="false" ht="13.5" hidden="false" customHeight="false" outlineLevel="0" collapsed="false">
      <c r="A18" s="0" t="s">
        <v>41</v>
      </c>
      <c r="B18" s="9" t="n">
        <f aca="false">CEILING(B4*2^20,8)/8</f>
        <v>8388608</v>
      </c>
      <c r="C18" s="14" t="str">
        <f aca="false">DEC2HEX(B18)</f>
        <v>800000</v>
      </c>
      <c r="D18" s="14"/>
    </row>
    <row r="19" customFormat="false" ht="13.5" hidden="false" customHeight="false" outlineLevel="0" collapsed="false">
      <c r="A19" s="0" t="s">
        <v>42</v>
      </c>
      <c r="B19" s="9" t="n">
        <f aca="false">B18/2</f>
        <v>4194304</v>
      </c>
      <c r="C19" s="14" t="str">
        <f aca="false">DEC2HEX(B19)</f>
        <v>400000</v>
      </c>
      <c r="D19" s="14"/>
    </row>
    <row r="20" customFormat="false" ht="13.5" hidden="false" customHeight="false" outlineLevel="0" collapsed="false">
      <c r="A20" s="18" t="s">
        <v>43</v>
      </c>
      <c r="B20" s="14" t="n">
        <f aca="false">IF(B10="yes",B19,B17)</f>
        <v>4194304</v>
      </c>
      <c r="C20" s="21" t="str">
        <f aca="false">IF(B10="yes",C19,C17)</f>
        <v>400000</v>
      </c>
      <c r="D20" s="14"/>
    </row>
    <row r="21" customFormat="false" ht="13.5" hidden="false" customHeight="false" outlineLevel="0" collapsed="false">
      <c r="A21" s="0" t="s">
        <v>44</v>
      </c>
      <c r="B21" s="9" t="n">
        <f aca="false">IF(B20&lt;B15,"Size mismatch",B20)</f>
        <v>4194304</v>
      </c>
      <c r="C21" s="14" t="str">
        <f aca="false">DEC2HEX(B21)</f>
        <v>400000</v>
      </c>
      <c r="D21" s="14"/>
    </row>
    <row r="22" customFormat="false" ht="13.5" hidden="false" customHeight="false" outlineLevel="0" collapsed="false">
      <c r="A22" s="0" t="s">
        <v>45</v>
      </c>
      <c r="B22" s="9" t="n">
        <f aca="false">B18-B21</f>
        <v>4194304</v>
      </c>
      <c r="C22" s="14" t="str">
        <f aca="false">DEC2HEX(B22)</f>
        <v>400000</v>
      </c>
      <c r="D22" s="14"/>
      <c r="E22" s="6"/>
      <c r="F22" s="6"/>
      <c r="G22" s="6"/>
    </row>
    <row r="23" customFormat="false" ht="13.5" hidden="false" customHeight="false" outlineLevel="0" collapsed="false">
      <c r="A23" s="22" t="s">
        <v>46</v>
      </c>
      <c r="B23" s="23" t="n">
        <f aca="false">B22*8</f>
        <v>33554432</v>
      </c>
      <c r="C23" s="24" t="str">
        <f aca="false">DEC2HEX(B23)</f>
        <v>2000000</v>
      </c>
      <c r="D23" s="14"/>
      <c r="E23" s="6"/>
      <c r="F23" s="6"/>
      <c r="G23" s="6"/>
    </row>
    <row r="24" customFormat="false" ht="12.75" hidden="false" customHeight="false" outlineLevel="0" collapsed="false">
      <c r="A24" s="0" t="s">
        <v>47</v>
      </c>
      <c r="B24" s="9" t="n">
        <v>20</v>
      </c>
      <c r="E24" s="6"/>
      <c r="F24" s="6"/>
      <c r="G24" s="6"/>
    </row>
    <row r="25" customFormat="false" ht="12.75" hidden="false" customHeight="false" outlineLevel="0" collapsed="false">
      <c r="A25" s="0" t="s">
        <v>48</v>
      </c>
      <c r="B25" s="9" t="n">
        <f aca="false">VLOOKUP($B$3,CclkVsMclk!$A$2:$C$12,2,0)</f>
        <v>0.6955</v>
      </c>
      <c r="E25" s="6"/>
      <c r="F25" s="6"/>
      <c r="G25" s="6"/>
    </row>
    <row r="26" customFormat="false" ht="12.75" hidden="false" customHeight="false" outlineLevel="0" collapsed="false">
      <c r="A26" s="22" t="s">
        <v>49</v>
      </c>
      <c r="B26" s="23" t="n">
        <f aca="false">VLOOKUP($B$3,CclkVsMclk!$A$2:$C$12,3,0)</f>
        <v>3.7841</v>
      </c>
      <c r="C26" s="22"/>
      <c r="E26" s="6"/>
      <c r="F26" s="6"/>
      <c r="G26" s="6"/>
    </row>
    <row r="27" customFormat="false" ht="12.75" hidden="false" customHeight="false" outlineLevel="0" collapsed="false">
      <c r="B27" s="9"/>
      <c r="E27" s="6"/>
      <c r="F27" s="6"/>
      <c r="G27" s="6"/>
    </row>
    <row r="28" customFormat="false" ht="12.75" hidden="false" customHeight="false" outlineLevel="0" collapsed="false">
      <c r="A28" s="22"/>
      <c r="B28" s="22" t="s">
        <v>50</v>
      </c>
      <c r="C28" s="25" t="s">
        <v>51</v>
      </c>
      <c r="D28" s="22" t="s">
        <v>52</v>
      </c>
      <c r="E28" s="26"/>
      <c r="F28" s="26"/>
      <c r="G28" s="26"/>
    </row>
    <row r="29" customFormat="false" ht="12.75" hidden="false" customHeight="false" outlineLevel="0" collapsed="false">
      <c r="A29" s="22" t="s">
        <v>53</v>
      </c>
      <c r="B29" s="23" t="n">
        <v>65</v>
      </c>
      <c r="C29" s="27" t="n">
        <v>35</v>
      </c>
      <c r="D29" s="22" t="n">
        <v>90</v>
      </c>
      <c r="E29" s="10"/>
      <c r="F29" s="10"/>
      <c r="G29" s="10"/>
      <c r="H29" s="9"/>
    </row>
    <row r="30" customFormat="false" ht="12.75" hidden="false" customHeight="false" outlineLevel="0" collapsed="false">
      <c r="A30" s="0" t="s">
        <v>54</v>
      </c>
      <c r="B30" s="28" t="n">
        <f aca="false">B31*(100 - $B$24)/100</f>
        <v>39.19328</v>
      </c>
      <c r="C30" s="28" t="n">
        <f aca="false">C31*(100 - $B$24)/100</f>
        <v>22.50128</v>
      </c>
      <c r="D30" s="28" t="n">
        <f aca="false">D31*(100 - $B$24)/100</f>
        <v>53.10328</v>
      </c>
      <c r="E30" s="9"/>
      <c r="F30" s="9"/>
      <c r="H30" s="9"/>
    </row>
    <row r="31" customFormat="false" ht="12.75" hidden="false" customHeight="false" outlineLevel="0" collapsed="false">
      <c r="A31" s="0" t="s">
        <v>55</v>
      </c>
      <c r="B31" s="28" t="n">
        <f aca="false">$B$25*B29 + $B$26</f>
        <v>48.9916</v>
      </c>
      <c r="C31" s="28" t="n">
        <f aca="false">$B$25*C29 + $B$26</f>
        <v>28.1266</v>
      </c>
      <c r="D31" s="28" t="n">
        <f aca="false">$B$25*D29 + $B$26</f>
        <v>66.3791</v>
      </c>
      <c r="E31" s="9"/>
      <c r="F31" s="9"/>
      <c r="H31" s="9"/>
    </row>
    <row r="32" customFormat="false" ht="12.75" hidden="false" customHeight="false" outlineLevel="0" collapsed="false">
      <c r="A32" s="22" t="s">
        <v>56</v>
      </c>
      <c r="B32" s="29" t="n">
        <f aca="false">B31*(100 + $B$24)/100</f>
        <v>58.78992</v>
      </c>
      <c r="C32" s="29" t="n">
        <f aca="false">C31*(100 + $B$24)/100</f>
        <v>33.75192</v>
      </c>
      <c r="D32" s="29" t="n">
        <f aca="false">D31*(100 + $B$24)/100</f>
        <v>79.65492</v>
      </c>
      <c r="E32" s="9"/>
      <c r="F32" s="9"/>
    </row>
    <row r="33" customFormat="false" ht="12.75" hidden="false" customHeight="false" outlineLevel="0" collapsed="false">
      <c r="A33" s="0" t="s">
        <v>57</v>
      </c>
      <c r="B33" s="9" t="n">
        <f aca="false">$B$5*B30*1000000</f>
        <v>78386560</v>
      </c>
      <c r="C33" s="9" t="n">
        <f aca="false">$B$5*C30*1000000</f>
        <v>45002560</v>
      </c>
      <c r="D33" s="9" t="n">
        <f aca="false">$B$5*D30*1000000</f>
        <v>106206560</v>
      </c>
    </row>
    <row r="34" customFormat="false" ht="12.75" hidden="false" customHeight="false" outlineLevel="0" collapsed="false">
      <c r="A34" s="0" t="s">
        <v>58</v>
      </c>
      <c r="B34" s="9" t="n">
        <f aca="false">$B$5*B31*1000000</f>
        <v>97983200</v>
      </c>
      <c r="C34" s="9" t="n">
        <f aca="false">$B$5*C31*1000000</f>
        <v>56253200</v>
      </c>
      <c r="D34" s="9" t="n">
        <f aca="false">$B$5*D31*1000000</f>
        <v>132758200</v>
      </c>
    </row>
    <row r="35" customFormat="false" ht="12.75" hidden="false" customHeight="false" outlineLevel="0" collapsed="false">
      <c r="A35" s="22" t="s">
        <v>59</v>
      </c>
      <c r="B35" s="23" t="n">
        <f aca="false">$B$5*B32*1000000</f>
        <v>117579840</v>
      </c>
      <c r="C35" s="23" t="n">
        <f aca="false">$B$5*C32*1000000</f>
        <v>67503840</v>
      </c>
      <c r="D35" s="23" t="n">
        <f aca="false">$B$5*D32*1000000</f>
        <v>159309840</v>
      </c>
    </row>
    <row r="36" customFormat="false" ht="12.75" hidden="false" customHeight="false" outlineLevel="0" collapsed="false">
      <c r="A36" s="0" t="s">
        <v>60</v>
      </c>
      <c r="B36" s="30" t="n">
        <f aca="false">$B$12/B33</f>
        <v>0.223713044685211</v>
      </c>
      <c r="C36" s="31" t="n">
        <f aca="false">$B$12/C33</f>
        <v>0.389668854394061</v>
      </c>
      <c r="D36" s="31" t="n">
        <f aca="false">$B$12/D33</f>
        <v>0.165113115423379</v>
      </c>
    </row>
    <row r="37" customFormat="false" ht="12.75" hidden="false" customHeight="false" outlineLevel="0" collapsed="false">
      <c r="A37" s="0" t="s">
        <v>61</v>
      </c>
      <c r="B37" s="30" t="n">
        <f aca="false">$B$12/B34</f>
        <v>0.178970435748169</v>
      </c>
      <c r="C37" s="30" t="n">
        <f aca="false">$B$12/C34</f>
        <v>0.311735083515249</v>
      </c>
      <c r="D37" s="30" t="n">
        <f aca="false">$B$12/D34</f>
        <v>0.132090492338703</v>
      </c>
    </row>
    <row r="38" customFormat="false" ht="12.75" hidden="false" customHeight="false" outlineLevel="0" collapsed="false">
      <c r="A38" s="22" t="s">
        <v>62</v>
      </c>
      <c r="B38" s="32" t="n">
        <f aca="false">$B$12/B35</f>
        <v>0.149142029790141</v>
      </c>
      <c r="C38" s="32" t="n">
        <f aca="false">$B$12/C35</f>
        <v>0.259779236262707</v>
      </c>
      <c r="D38" s="32" t="n">
        <f aca="false">$B$12/D35</f>
        <v>0.110075410282253</v>
      </c>
    </row>
    <row r="39" customFormat="false" ht="12.75" hidden="false" customHeight="false" outlineLevel="0" collapsed="false">
      <c r="A39" s="0" t="s">
        <v>63</v>
      </c>
      <c r="B39" s="30" t="n">
        <f aca="false">$B$23/B33</f>
        <v>0.428063586410732</v>
      </c>
      <c r="C39" s="30" t="n">
        <f aca="false">$B$23/C33</f>
        <v>0.745611627427418</v>
      </c>
      <c r="D39" s="30" t="n">
        <f aca="false">$B$23/D33</f>
        <v>0.315935588159526</v>
      </c>
    </row>
    <row r="40" customFormat="false" ht="12.75" hidden="false" customHeight="false" outlineLevel="0" collapsed="false">
      <c r="A40" s="0" t="s">
        <v>64</v>
      </c>
      <c r="B40" s="30" t="n">
        <f aca="false">$B$23/B34</f>
        <v>0.342450869128585</v>
      </c>
      <c r="C40" s="30" t="n">
        <f aca="false">$B$23/C34</f>
        <v>0.596489301941934</v>
      </c>
      <c r="D40" s="30" t="n">
        <f aca="false">$B$23/D34</f>
        <v>0.252748470527621</v>
      </c>
    </row>
    <row r="41" customFormat="false" ht="12.75" hidden="false" customHeight="false" outlineLevel="0" collapsed="false">
      <c r="A41" s="22" t="s">
        <v>65</v>
      </c>
      <c r="B41" s="32" t="n">
        <f aca="false">$B$23/B35</f>
        <v>0.285375724273821</v>
      </c>
      <c r="C41" s="33" t="n">
        <f aca="false">$B$23/C35</f>
        <v>0.497074418284945</v>
      </c>
      <c r="D41" s="33" t="n">
        <f aca="false">$B$23/D35</f>
        <v>0.210623725439684</v>
      </c>
    </row>
    <row r="42" customFormat="false" ht="12.75" hidden="false" customHeight="false" outlineLevel="0" collapsed="false">
      <c r="A42" s="0" t="s">
        <v>66</v>
      </c>
      <c r="B42" s="9" t="n">
        <f aca="false">B29/256*1000000</f>
        <v>253906.25</v>
      </c>
      <c r="C42" s="9" t="n">
        <f aca="false">C29/256*1000000</f>
        <v>136718.75</v>
      </c>
      <c r="D42" s="9" t="n">
        <f aca="false">D29/256*1000000</f>
        <v>351562.5</v>
      </c>
      <c r="E42" s="34" t="s">
        <v>67</v>
      </c>
    </row>
    <row r="43" customFormat="false" ht="12.75" hidden="false" customHeight="false" outlineLevel="0" collapsed="false">
      <c r="A43" s="0" t="s">
        <v>68</v>
      </c>
      <c r="B43" s="9" t="n">
        <f aca="false">FLOOR(B41*B$42,1)</f>
        <v>72458</v>
      </c>
      <c r="C43" s="9" t="n">
        <f aca="false">FLOOR(C41*C$42,1)</f>
        <v>67959</v>
      </c>
      <c r="D43" s="9" t="n">
        <f aca="false">FLOOR(D41*D$42,1)</f>
        <v>74047</v>
      </c>
      <c r="E43" s="13" t="n">
        <f aca="false">MIN(C43:D43)</f>
        <v>67959</v>
      </c>
      <c r="F43" s="9"/>
    </row>
    <row r="44" customFormat="false" ht="12.75" hidden="false" customHeight="false" outlineLevel="0" collapsed="false">
      <c r="A44" s="22" t="s">
        <v>69</v>
      </c>
      <c r="B44" s="23" t="n">
        <f aca="false">CEILING(B36*B$42,1)</f>
        <v>56803</v>
      </c>
      <c r="C44" s="23" t="n">
        <f aca="false">CEILING(C36*C$42,1)</f>
        <v>53276</v>
      </c>
      <c r="D44" s="23" t="n">
        <f aca="false">CEILING(D36*D$42,1)</f>
        <v>58048</v>
      </c>
      <c r="E44" s="16" t="n">
        <f aca="false">MAX(C44:D44)</f>
        <v>58048</v>
      </c>
      <c r="F44" s="9"/>
    </row>
    <row r="45" customFormat="false" ht="12.75" hidden="false" customHeight="false" outlineLevel="0" collapsed="false">
      <c r="A45" s="0" t="s">
        <v>70</v>
      </c>
      <c r="D45" s="0" t="s">
        <v>71</v>
      </c>
      <c r="E45" s="0" t="n">
        <f aca="false">E43-E44</f>
        <v>9911</v>
      </c>
    </row>
    <row r="46" customFormat="false" ht="12.75" hidden="false" customHeight="false" outlineLevel="0" collapsed="false">
      <c r="A46" s="17" t="s">
        <v>72</v>
      </c>
      <c r="E46" s="0" t="n">
        <f aca="false">(E43+E44)/2</f>
        <v>63003.5</v>
      </c>
      <c r="F46" s="35" t="str">
        <f aca="false">DEC2HEX(E46)</f>
        <v>F61B</v>
      </c>
    </row>
    <row r="47" customFormat="false" ht="12.75" hidden="false" customHeight="false" outlineLevel="0" collapsed="false">
      <c r="F47" s="36" t="str">
        <f aca="false">IF(E45&lt;0,"ERROR","okay")</f>
        <v>okay</v>
      </c>
    </row>
    <row r="48" customFormat="false" ht="12.75" hidden="false" customHeight="false" outlineLevel="0" collapsed="false">
      <c r="A48" s="2" t="s">
        <v>73</v>
      </c>
      <c r="B48" s="22" t="s">
        <v>74</v>
      </c>
      <c r="C48" s="22" t="s">
        <v>75</v>
      </c>
      <c r="D48" s="22" t="s">
        <v>75</v>
      </c>
    </row>
    <row r="49" customFormat="false" ht="12.75" hidden="false" customHeight="false" outlineLevel="0" collapsed="false">
      <c r="A49" s="0" t="s">
        <v>76</v>
      </c>
      <c r="B49" s="30" t="n">
        <f aca="false">B37</f>
        <v>0.178970435748169</v>
      </c>
      <c r="C49" s="31" t="n">
        <f aca="false">C36</f>
        <v>0.389668854394061</v>
      </c>
      <c r="D49" s="31" t="n">
        <f aca="false">D36</f>
        <v>0.165113115423379</v>
      </c>
    </row>
    <row r="50" customFormat="false" ht="12.75" hidden="false" customHeight="false" outlineLevel="0" collapsed="false">
      <c r="A50" s="0" t="s">
        <v>77</v>
      </c>
      <c r="B50" s="37" t="n">
        <f aca="false">$E$46/B42</f>
        <v>0.248136861538461</v>
      </c>
      <c r="C50" s="38" t="n">
        <f aca="false">$E$46/C42</f>
        <v>0.4608256</v>
      </c>
      <c r="D50" s="38" t="n">
        <f aca="false">$E$46/D42</f>
        <v>0.179209955555556</v>
      </c>
    </row>
    <row r="51" customFormat="false" ht="12.75" hidden="false" customHeight="false" outlineLevel="0" collapsed="false">
      <c r="A51" s="22" t="s">
        <v>78</v>
      </c>
      <c r="B51" s="32" t="n">
        <f aca="false">B40</f>
        <v>0.342450869128585</v>
      </c>
      <c r="C51" s="33" t="n">
        <f aca="false">C41</f>
        <v>0.497074418284945</v>
      </c>
      <c r="D51" s="33" t="n">
        <f aca="false">D41</f>
        <v>0.210623725439684</v>
      </c>
    </row>
    <row r="52" customFormat="false" ht="12.75" hidden="false" customHeight="false" outlineLevel="0" collapsed="false">
      <c r="B52" s="0" t="str">
        <f aca="false">IF(B51&lt;B50,"Read error","")</f>
        <v/>
      </c>
      <c r="C52" s="0" t="str">
        <f aca="false">IF(C51&lt;C50,"Read error","")</f>
        <v/>
      </c>
      <c r="D52" s="0" t="str">
        <f aca="false">IF(D51&lt;D50,"Read error","")</f>
        <v/>
      </c>
      <c r="H52" s="0" t="str">
        <f aca="false">IF(D51&lt;D50,"wrap error","")</f>
        <v/>
      </c>
    </row>
    <row r="53" customFormat="false" ht="12.75" hidden="false" customHeight="false" outlineLevel="0" collapsed="false">
      <c r="A53" s="22" t="s">
        <v>79</v>
      </c>
      <c r="B53" s="22" t="str">
        <f aca="false">IF(B49&gt;B50,"timer error","")</f>
        <v/>
      </c>
      <c r="C53" s="0" t="str">
        <f aca="false">IF(C49&gt;C50,"timer error","")</f>
        <v/>
      </c>
      <c r="D53" s="0" t="str">
        <f aca="false">IF(D49&gt;D50,"timer error","")</f>
        <v/>
      </c>
      <c r="H53" s="0" t="str">
        <f aca="false">IF(D49&gt;D50,"timer error","")</f>
        <v/>
      </c>
    </row>
    <row r="54" customFormat="false" ht="12.75" hidden="false" customHeight="false" outlineLevel="0" collapsed="false">
      <c r="A54" s="39" t="s">
        <v>80</v>
      </c>
      <c r="B54" s="10" t="str">
        <f aca="false">IF(CheckWBSTAR="error", "yes", "no")</f>
        <v>no</v>
      </c>
    </row>
    <row r="55" customFormat="false" ht="12.75" hidden="false" customHeight="false" outlineLevel="0" collapsed="false">
      <c r="A55" s="39" t="s">
        <v>81</v>
      </c>
      <c r="B55" s="10" t="str">
        <f aca="false">IF(CheckTIMER="okay", "no", "yes")</f>
        <v>no</v>
      </c>
    </row>
    <row r="56" customFormat="false" ht="12.75" hidden="false" customHeight="false" outlineLevel="0" collapsed="false">
      <c r="A56" s="39"/>
      <c r="B56" s="10"/>
    </row>
    <row r="57" customFormat="false" ht="12.75" hidden="false" customHeight="false" outlineLevel="0" collapsed="false">
      <c r="A57" s="22" t="s">
        <v>82</v>
      </c>
      <c r="B57" s="40" t="s">
        <v>83</v>
      </c>
    </row>
    <row r="58" customFormat="false" ht="12.75" hidden="false" customHeight="false" outlineLevel="0" collapsed="false">
      <c r="A58" s="0" t="s">
        <v>84</v>
      </c>
      <c r="B58" s="41" t="str">
        <f aca="false">"0x"&amp;TEXT(next_config_addr,"00")</f>
        <v>0x400000</v>
      </c>
    </row>
    <row r="59" customFormat="false" ht="12.75" hidden="false" customHeight="false" outlineLevel="0" collapsed="false">
      <c r="A59" s="0" t="s">
        <v>85</v>
      </c>
      <c r="B59" s="41" t="str">
        <f aca="false">"0x"&amp;TEXT(TIMER_CFG,"00")</f>
        <v>0xF61B</v>
      </c>
    </row>
    <row r="60" customFormat="false" ht="12.75" hidden="false" customHeight="false" outlineLevel="0" collapsed="false">
      <c r="A60" s="0" t="s">
        <v>86</v>
      </c>
      <c r="B60" s="41" t="n">
        <f aca="false">ConfigRate</f>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8984375" defaultRowHeight="12.75" zeroHeight="false" outlineLevelRow="0" outlineLevelCol="0"/>
  <cols>
    <col collapsed="false" customWidth="true" hidden="false" outlineLevel="0" max="1" min="1" style="0" width="13.43"/>
    <col collapsed="false" customWidth="true" hidden="false" outlineLevel="0" max="2" min="2" style="0" width="13.29"/>
  </cols>
  <sheetData>
    <row r="1" customFormat="false" ht="12.75" hidden="false" customHeight="false" outlineLevel="0" collapsed="false">
      <c r="A1" s="0" t="s">
        <v>87</v>
      </c>
      <c r="B1" s="0" t="n">
        <v>30709728</v>
      </c>
    </row>
    <row r="2" customFormat="false" ht="12.75" hidden="false" customHeight="false" outlineLevel="0" collapsed="false">
      <c r="A2" s="0" t="s">
        <v>88</v>
      </c>
      <c r="B2" s="0" t="n">
        <v>65330912</v>
      </c>
    </row>
    <row r="3" customFormat="false" ht="12.75" hidden="false" customHeight="false" outlineLevel="0" collapsed="false">
      <c r="A3" s="0" t="s">
        <v>89</v>
      </c>
      <c r="B3" s="0" t="n">
        <v>100753632</v>
      </c>
    </row>
    <row r="4" customFormat="false" ht="12.75" hidden="false" customHeight="false" outlineLevel="0" collapsed="false">
      <c r="A4" s="0" t="s">
        <v>90</v>
      </c>
      <c r="B4" s="0" t="n">
        <v>24090592</v>
      </c>
    </row>
    <row r="5" customFormat="false" ht="12.75" hidden="false" customHeight="false" outlineLevel="0" collapsed="false">
      <c r="A5" s="0" t="s">
        <v>91</v>
      </c>
      <c r="B5" s="0" t="n">
        <v>53540576</v>
      </c>
    </row>
    <row r="6" customFormat="false" ht="12.75" hidden="false" customHeight="false" outlineLevel="0" collapsed="false">
      <c r="A6" s="0" t="s">
        <v>92</v>
      </c>
      <c r="B6" s="0" t="n">
        <v>91548896</v>
      </c>
    </row>
    <row r="7" customFormat="false" ht="12.75" hidden="false" customHeight="false" outlineLevel="0" collapsed="false">
      <c r="A7" s="0" t="s">
        <v>93</v>
      </c>
      <c r="B7" s="0" t="n">
        <v>112414688</v>
      </c>
    </row>
    <row r="8" customFormat="false" ht="12.75" hidden="false" customHeight="false" outlineLevel="0" collapsed="false">
      <c r="A8" s="0" t="s">
        <v>94</v>
      </c>
      <c r="B8" s="0" t="n">
        <v>127023328</v>
      </c>
    </row>
    <row r="9" customFormat="false" ht="12.75" hidden="false" customHeight="false" outlineLevel="0" collapsed="false">
      <c r="A9" s="0" t="s">
        <v>95</v>
      </c>
      <c r="B9" s="0" t="n">
        <v>149880032</v>
      </c>
    </row>
    <row r="10" customFormat="false" ht="12.75" hidden="false" customHeight="false" outlineLevel="0" collapsed="false">
      <c r="A10" s="0" t="s">
        <v>96</v>
      </c>
      <c r="B10" s="0" t="n">
        <v>149880032</v>
      </c>
    </row>
    <row r="11" customFormat="false" ht="12.75" hidden="false" customHeight="false" outlineLevel="0" collapsed="false">
      <c r="A11" s="0" t="s">
        <v>97</v>
      </c>
      <c r="B11" s="0" t="n">
        <v>137934560</v>
      </c>
    </row>
    <row r="12" customFormat="false" ht="12.75" hidden="false" customHeight="false" outlineLevel="0" collapsed="false">
      <c r="A12" s="0" t="s">
        <v>98</v>
      </c>
      <c r="B12" s="0" t="n">
        <v>162187488</v>
      </c>
    </row>
    <row r="13" customFormat="false" ht="12.75" hidden="false" customHeight="false" outlineLevel="0" collapsed="false">
      <c r="A13" s="0" t="s">
        <v>99</v>
      </c>
      <c r="B13" s="0" t="n">
        <v>229878496</v>
      </c>
    </row>
    <row r="14" customFormat="false" ht="12.75" hidden="false" customHeight="false" outlineLevel="0" collapsed="false">
      <c r="A14" s="0" t="s">
        <v>100</v>
      </c>
      <c r="B14" s="0" t="n">
        <v>192724384</v>
      </c>
    </row>
    <row r="15" customFormat="false" ht="12.75" hidden="false" customHeight="false" outlineLevel="0" collapsed="false">
      <c r="A15" s="0" t="s">
        <v>101</v>
      </c>
      <c r="B15" s="0" t="n">
        <v>161398880</v>
      </c>
    </row>
    <row r="16" customFormat="false" ht="12.75" hidden="false" customHeight="false" outlineLevel="0" collapsed="false">
      <c r="A16" s="0" t="s">
        <v>102</v>
      </c>
      <c r="B16" s="0" t="n">
        <v>229878496</v>
      </c>
    </row>
    <row r="17" customFormat="false" ht="12.75" hidden="false" customHeight="false" outlineLevel="0" collapsed="false">
      <c r="A17" s="0" t="s">
        <v>103</v>
      </c>
      <c r="B17" s="0" t="n">
        <v>282521312</v>
      </c>
    </row>
    <row r="18" customFormat="false" ht="12.75" hidden="false" customHeight="false" outlineLevel="0" collapsed="false">
      <c r="A18" s="0" t="s">
        <v>104</v>
      </c>
      <c r="B18" s="0" t="n">
        <v>385127680</v>
      </c>
    </row>
    <row r="19" customFormat="false" ht="12.75" hidden="false" customHeight="false" outlineLevel="0" collapsed="false">
      <c r="A19" s="0" t="s">
        <v>105</v>
      </c>
      <c r="B19" s="0" t="n">
        <v>335503520</v>
      </c>
    </row>
    <row r="20" customFormat="false" ht="12.75" hidden="false" customHeight="false" outlineLevel="0" collapsed="false">
      <c r="A20" s="0" t="s">
        <v>106</v>
      </c>
      <c r="B20" s="0" t="n">
        <v>447337216</v>
      </c>
    </row>
    <row r="21" customFormat="false" ht="12.75" hidden="false" customHeight="false" outlineLevel="0" collapsed="false">
      <c r="A21" s="0" t="s">
        <v>26</v>
      </c>
      <c r="B21" s="0" t="n">
        <v>17536096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3" min="3" style="0" width="13.29"/>
  </cols>
  <sheetData>
    <row r="1" customFormat="false" ht="12.75" hidden="false" customHeight="false" outlineLevel="0" collapsed="false">
      <c r="A1" s="0" t="s">
        <v>4</v>
      </c>
      <c r="B1" s="0" t="s">
        <v>107</v>
      </c>
      <c r="C1" s="0" t="s">
        <v>108</v>
      </c>
    </row>
    <row r="2" customFormat="false" ht="12.75" hidden="false" customHeight="false" outlineLevel="0" collapsed="false">
      <c r="A2" s="0" t="n">
        <v>66</v>
      </c>
      <c r="B2" s="0" t="n">
        <v>1.0445</v>
      </c>
      <c r="C2" s="0" t="n">
        <v>-1.0305</v>
      </c>
      <c r="E2" s="0" t="n">
        <f aca="false">B2</f>
        <v>1.0445</v>
      </c>
      <c r="F2" s="0" t="n">
        <f aca="false">ABS(C2)</f>
        <v>1.0305</v>
      </c>
      <c r="G2" s="0" t="n">
        <f aca="false">F2/E2</f>
        <v>0.986596457635232</v>
      </c>
    </row>
    <row r="3" customFormat="false" ht="12.75" hidden="false" customHeight="false" outlineLevel="0" collapsed="false">
      <c r="A3" s="0" t="n">
        <v>50</v>
      </c>
      <c r="B3" s="0" t="n">
        <v>0.6955</v>
      </c>
      <c r="C3" s="0" t="n">
        <v>3.7841</v>
      </c>
      <c r="E3" s="0" t="n">
        <f aca="false">B3</f>
        <v>0.6955</v>
      </c>
      <c r="F3" s="0" t="n">
        <f aca="false">ABS(C3)</f>
        <v>3.7841</v>
      </c>
      <c r="G3" s="0" t="n">
        <f aca="false">F3/E3</f>
        <v>5.44083393242272</v>
      </c>
    </row>
    <row r="4" customFormat="false" ht="12.75" hidden="false" customHeight="false" outlineLevel="0" collapsed="false">
      <c r="A4" s="0" t="n">
        <v>40</v>
      </c>
      <c r="B4" s="0" t="n">
        <v>0.6827</v>
      </c>
      <c r="C4" s="0" t="n">
        <v>-3.6753</v>
      </c>
      <c r="E4" s="0" t="n">
        <f aca="false">B4</f>
        <v>0.6827</v>
      </c>
      <c r="F4" s="0" t="n">
        <f aca="false">ABS(C4)</f>
        <v>3.6753</v>
      </c>
      <c r="G4" s="0" t="n">
        <f aca="false">F4/E4</f>
        <v>5.38347736926908</v>
      </c>
    </row>
    <row r="5" customFormat="false" ht="12.75" hidden="false" customHeight="false" outlineLevel="0" collapsed="false">
      <c r="A5" s="0" t="n">
        <v>33</v>
      </c>
      <c r="B5" s="0" t="n">
        <v>0.3759</v>
      </c>
      <c r="C5" s="0" t="n">
        <v>8.6449</v>
      </c>
      <c r="E5" s="0" t="n">
        <f aca="false">B5</f>
        <v>0.3759</v>
      </c>
      <c r="F5" s="0" t="n">
        <f aca="false">ABS(C5)</f>
        <v>8.6449</v>
      </c>
      <c r="G5" s="0" t="n">
        <f aca="false">F5/E5</f>
        <v>22.9978717744081</v>
      </c>
    </row>
    <row r="6" customFormat="false" ht="12.75" hidden="false" customHeight="false" outlineLevel="0" collapsed="false">
      <c r="A6" s="0" t="n">
        <v>26</v>
      </c>
      <c r="B6" s="0" t="n">
        <v>0.3238</v>
      </c>
      <c r="C6" s="0" t="n">
        <v>5.1672</v>
      </c>
      <c r="E6" s="0" t="n">
        <f aca="false">B6</f>
        <v>0.3238</v>
      </c>
      <c r="F6" s="0" t="n">
        <f aca="false">ABS(C6)</f>
        <v>5.1672</v>
      </c>
      <c r="G6" s="0" t="n">
        <f aca="false">F6/E6</f>
        <v>15.9579987646696</v>
      </c>
    </row>
    <row r="7" customFormat="false" ht="12.75" hidden="false" customHeight="false" outlineLevel="0" collapsed="false">
      <c r="A7" s="0" t="n">
        <v>22</v>
      </c>
      <c r="B7" s="0" t="n">
        <v>0.2875</v>
      </c>
      <c r="C7" s="0" t="n">
        <v>2.3564</v>
      </c>
      <c r="E7" s="0" t="n">
        <f aca="false">B7</f>
        <v>0.2875</v>
      </c>
      <c r="F7" s="0" t="n">
        <f aca="false">ABS(C7)</f>
        <v>2.3564</v>
      </c>
      <c r="G7" s="0" t="n">
        <f aca="false">F7/E7</f>
        <v>8.19617391304348</v>
      </c>
    </row>
    <row r="8" customFormat="false" ht="12.75" hidden="false" customHeight="false" outlineLevel="0" collapsed="false">
      <c r="A8" s="0" t="n">
        <v>16</v>
      </c>
      <c r="B8" s="0" t="n">
        <v>0.1881</v>
      </c>
      <c r="C8" s="0" t="n">
        <v>4.3116</v>
      </c>
      <c r="E8" s="0" t="n">
        <f aca="false">B8</f>
        <v>0.1881</v>
      </c>
      <c r="F8" s="0" t="n">
        <f aca="false">ABS(C8)</f>
        <v>4.3116</v>
      </c>
      <c r="G8" s="0" t="n">
        <f aca="false">F8/E8</f>
        <v>22.9218500797448</v>
      </c>
    </row>
    <row r="9" customFormat="false" ht="12.75" hidden="false" customHeight="false" outlineLevel="0" collapsed="false">
      <c r="A9" s="0" t="n">
        <v>12</v>
      </c>
      <c r="B9" s="0" t="n">
        <v>0.129</v>
      </c>
      <c r="C9" s="9" t="n">
        <v>3.7004</v>
      </c>
      <c r="E9" s="0" t="n">
        <f aca="false">B9</f>
        <v>0.129</v>
      </c>
      <c r="F9" s="0" t="n">
        <f aca="false">ABS(C9)</f>
        <v>3.7004</v>
      </c>
      <c r="G9" s="0" t="n">
        <f aca="false">F9/E9</f>
        <v>28.6852713178295</v>
      </c>
    </row>
    <row r="10" customFormat="false" ht="12.75" hidden="false" customHeight="false" outlineLevel="0" collapsed="false">
      <c r="A10" s="0" t="n">
        <v>9</v>
      </c>
      <c r="B10" s="0" t="n">
        <v>0.0941</v>
      </c>
      <c r="C10" s="9" t="n">
        <v>2.1541</v>
      </c>
      <c r="E10" s="0" t="n">
        <f aca="false">B10</f>
        <v>0.0941</v>
      </c>
      <c r="F10" s="0" t="n">
        <f aca="false">ABS(C10)</f>
        <v>2.1541</v>
      </c>
      <c r="G10" s="0" t="n">
        <f aca="false">F10/E10</f>
        <v>22.8916046758767</v>
      </c>
    </row>
    <row r="11" customFormat="false" ht="12.75" hidden="false" customHeight="false" outlineLevel="0" collapsed="false">
      <c r="A11" s="0" t="n">
        <v>6</v>
      </c>
      <c r="B11" s="0" t="n">
        <v>0.0648</v>
      </c>
      <c r="C11" s="9" t="n">
        <v>1.8363</v>
      </c>
      <c r="E11" s="0" t="n">
        <f aca="false">B11</f>
        <v>0.0648</v>
      </c>
      <c r="F11" s="0" t="n">
        <f aca="false">ABS(C11)</f>
        <v>1.8363</v>
      </c>
      <c r="G11" s="0" t="n">
        <f aca="false">F11/E11</f>
        <v>28.337962962963</v>
      </c>
    </row>
    <row r="12" customFormat="false" ht="12.75" hidden="false" customHeight="false" outlineLevel="0" collapsed="false">
      <c r="A12" s="0" t="n">
        <v>3</v>
      </c>
      <c r="B12" s="0" t="n">
        <v>0.032</v>
      </c>
      <c r="C12" s="0" t="n">
        <v>0.9387</v>
      </c>
      <c r="E12" s="0" t="n">
        <f aca="false">B12</f>
        <v>0.032</v>
      </c>
      <c r="F12" s="0" t="n">
        <f aca="false">ABS(C12)</f>
        <v>0.9387</v>
      </c>
      <c r="G12" s="0" t="n">
        <f aca="false">F12/E12</f>
        <v>29.334375</v>
      </c>
    </row>
    <row r="13" customFormat="false" ht="12.75" hidden="false" customHeight="false" outlineLevel="0" collapsed="false">
      <c r="A13" s="6" t="s">
        <v>109</v>
      </c>
      <c r="B13" s="6"/>
    </row>
  </sheetData>
  <sheetProtection sheet="true" password="88b7" objects="true" scenarios="true"/>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ColWidth="8.6875" defaultRowHeight="12.75" zeroHeight="false" outlineLevelRow="0" outlineLevelCol="0"/>
  <cols>
    <col collapsed="false" customWidth="true" hidden="false" outlineLevel="0" max="1" min="1" style="0" width="31.01"/>
    <col collapsed="false" customWidth="true" hidden="false" outlineLevel="0" max="4" min="4" style="0" width="14.43"/>
    <col collapsed="false" customWidth="true" hidden="false" outlineLevel="0" max="6" min="6" style="0" width="15"/>
    <col collapsed="false" customWidth="true" hidden="false" outlineLevel="0" max="7" min="7" style="0" width="19.29"/>
  </cols>
  <sheetData>
    <row r="1" customFormat="false" ht="12.75" hidden="false" customHeight="false" outlineLevel="0" collapsed="false">
      <c r="A1" s="0" t="s">
        <v>110</v>
      </c>
      <c r="B1" s="0" t="s">
        <v>111</v>
      </c>
      <c r="C1" s="0" t="s">
        <v>112</v>
      </c>
      <c r="D1" s="0" t="s">
        <v>113</v>
      </c>
      <c r="E1" s="0" t="s">
        <v>114</v>
      </c>
      <c r="F1" s="0" t="s">
        <v>115</v>
      </c>
      <c r="G1" s="0" t="s">
        <v>116</v>
      </c>
    </row>
    <row r="2" customFormat="false" ht="12.75" hidden="false" customHeight="false" outlineLevel="0" collapsed="false">
      <c r="A2" s="10" t="s">
        <v>117</v>
      </c>
      <c r="B2" s="10" t="n">
        <v>10</v>
      </c>
      <c r="C2" s="36" t="str">
        <f aca="false">TimerCalculation!$B$7</f>
        <v>no</v>
      </c>
      <c r="D2" s="42" t="n">
        <f aca="false">IF(C2="yes",B2/10^3,0)</f>
        <v>0</v>
      </c>
      <c r="E2" s="0" t="n">
        <f aca="false">TimerCalculation!$B$5</f>
        <v>2</v>
      </c>
      <c r="F2" s="0" t="n">
        <f aca="false">TimerCalculation!$B$31*10^6</f>
        <v>48991600</v>
      </c>
      <c r="G2" s="20" t="n">
        <f aca="false">CEILING(D2*E2*F2,1)</f>
        <v>0</v>
      </c>
    </row>
    <row r="3" customFormat="false" ht="12.75" hidden="false" customHeight="false" outlineLevel="0" collapsed="false">
      <c r="A3" s="10" t="s">
        <v>118</v>
      </c>
      <c r="B3" s="10" t="n">
        <v>100</v>
      </c>
      <c r="C3" s="36" t="str">
        <f aca="false">TimerCalculation!$B$7</f>
        <v>no</v>
      </c>
      <c r="D3" s="42" t="n">
        <f aca="false">IF(C3="yes",B3/10^6,0)</f>
        <v>0</v>
      </c>
      <c r="E3" s="0" t="n">
        <f aca="false">TimerCalculation!$B$5</f>
        <v>2</v>
      </c>
      <c r="F3" s="0" t="n">
        <f aca="false">TimerCalculation!$B$31*10^6</f>
        <v>48991600</v>
      </c>
      <c r="G3" s="20" t="n">
        <f aca="false">CEILING(D3*E3*F3,1)</f>
        <v>0</v>
      </c>
    </row>
    <row r="4" customFormat="false" ht="12.75" hidden="false" customHeight="false" outlineLevel="0" collapsed="false">
      <c r="A4" s="0" t="s">
        <v>119</v>
      </c>
      <c r="B4" s="0" t="n">
        <v>100</v>
      </c>
      <c r="C4" s="36" t="str">
        <f aca="false">TimerCalculation!$B$7</f>
        <v>no</v>
      </c>
      <c r="D4" s="42" t="n">
        <f aca="false">IF(C4="yes",B4/10^6,0)</f>
        <v>0</v>
      </c>
      <c r="E4" s="0" t="n">
        <f aca="false">TimerCalculation!$B$5</f>
        <v>2</v>
      </c>
      <c r="F4" s="0" t="n">
        <f aca="false">TimerCalculation!$B$31*10^6</f>
        <v>48991600</v>
      </c>
      <c r="G4" s="20" t="n">
        <f aca="false">CEILING(D4*E4*F4,1)</f>
        <v>0</v>
      </c>
    </row>
    <row r="5" customFormat="false" ht="12.75" hidden="false" customHeight="false" outlineLevel="0" collapsed="false">
      <c r="A5" s="0" t="s">
        <v>120</v>
      </c>
      <c r="G5" s="20" t="n">
        <f aca="false">MAX(G2:G4)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2013-06-11T11:45:09Z</dcterms:created>
  <dc:creator>Jean-Francois Larin</dc:creator>
  <dc:description/>
  <cp:keywords>No No Markings</cp:keywords>
  <dc:language>en-CA</dc:language>
  <cp:lastModifiedBy>Jean-Francois Larin</cp:lastModifiedBy>
  <dcterms:modified xsi:type="dcterms:W3CDTF">2016-03-01T13:49:39Z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0ef4c731-fb9f-4ca9-9c17-38b4d557c65d</vt:lpwstr>
  </property>
  <property fmtid="{D5CDD505-2E9C-101B-9397-08002B2CF9AE}" pid="3" name="XilinxClassification">
    <vt:lpwstr>No Markings</vt:lpwstr>
  </property>
</Properties>
</file>