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45" windowWidth="7065" windowHeight="10050" activeTab="1"/>
  </bookViews>
  <sheets>
    <sheet name="Instructions" sheetId="6" r:id="rId1"/>
    <sheet name="TimerCalculation" sheetId="1" r:id="rId2"/>
    <sheet name="BitstreamLengths" sheetId="2" r:id="rId3"/>
    <sheet name="CclkVsMclk" sheetId="3" r:id="rId4"/>
    <sheet name="ExtraStartupBits" sheetId="7" r:id="rId5"/>
  </sheets>
  <definedNames>
    <definedName name="CheckTIMER">TimerCalculation!$F$47</definedName>
    <definedName name="CheckWBSTAR">TimerCalculation!$B$21</definedName>
    <definedName name="ConfigRate">TimerCalculation!$B$3</definedName>
    <definedName name="configrate_c">TimerCalculation!$A$3</definedName>
    <definedName name="ConfigRatec">TimerCalculation!$A$3</definedName>
    <definedName name="dci_c">TimerCalculation!$A$7</definedName>
    <definedName name="fpga_c">TimerCalculation!$A$2</definedName>
    <definedName name="mmcm_c">TimerCalculation!$A$8</definedName>
    <definedName name="next_config_addr">TimerCalculation!$C$20</definedName>
    <definedName name="pll_c">TimerCalculation!$A$9</definedName>
    <definedName name="Results">TimerCalculation!$A$53</definedName>
    <definedName name="sector_c">TimerCalculation!$A$6</definedName>
    <definedName name="Size_c">TimerCalculation!$A$4</definedName>
    <definedName name="TIMER_CFG">TimerCalculation!$F$46</definedName>
    <definedName name="wbstar_c">TimerCalculation!$A$10</definedName>
    <definedName name="width_c">TimerCalculation!$A$5</definedName>
  </definedNames>
  <calcPr calcId="145621"/>
</workbook>
</file>

<file path=xl/calcChain.xml><?xml version="1.0" encoding="utf-8"?>
<calcChain xmlns="http://schemas.openxmlformats.org/spreadsheetml/2006/main">
  <c r="B60" i="1" l="1"/>
  <c r="B18" i="1"/>
  <c r="E3" i="7"/>
  <c r="E4" i="7"/>
  <c r="E2" i="7"/>
  <c r="C3" i="7"/>
  <c r="D3" i="7" s="1"/>
  <c r="C4" i="7"/>
  <c r="D4" i="7" s="1"/>
  <c r="C2" i="7"/>
  <c r="D2" i="7" s="1"/>
  <c r="G3" i="3" l="1"/>
  <c r="G4" i="3"/>
  <c r="G5" i="3"/>
  <c r="G6" i="3"/>
  <c r="G7" i="3"/>
  <c r="G8" i="3"/>
  <c r="G9" i="3"/>
  <c r="G10" i="3"/>
  <c r="G11" i="3"/>
  <c r="G12" i="3"/>
  <c r="G2" i="3"/>
  <c r="F3" i="3"/>
  <c r="F4" i="3"/>
  <c r="F5" i="3"/>
  <c r="F6" i="3"/>
  <c r="F7" i="3"/>
  <c r="F8" i="3"/>
  <c r="F9" i="3"/>
  <c r="F10" i="3"/>
  <c r="F11" i="3"/>
  <c r="F12" i="3"/>
  <c r="F2" i="3"/>
  <c r="E3" i="3"/>
  <c r="E4" i="3"/>
  <c r="E5" i="3"/>
  <c r="E6" i="3"/>
  <c r="E7" i="3"/>
  <c r="E8" i="3"/>
  <c r="E9" i="3"/>
  <c r="E10" i="3"/>
  <c r="E11" i="3"/>
  <c r="E12" i="3"/>
  <c r="E2" i="3"/>
  <c r="B13" i="1"/>
  <c r="B42" i="1"/>
  <c r="D42" i="1" l="1"/>
  <c r="C42" i="1"/>
  <c r="B26" i="1"/>
  <c r="B25" i="1"/>
  <c r="B19" i="1"/>
  <c r="C19" i="1" s="1"/>
  <c r="B16" i="1"/>
  <c r="C16" i="1" s="1"/>
  <c r="D31" i="1" l="1"/>
  <c r="D34" i="1" s="1"/>
  <c r="D37" i="1" s="1"/>
  <c r="C18" i="1"/>
  <c r="C31" i="1"/>
  <c r="B31" i="1"/>
  <c r="F3" i="7" l="1"/>
  <c r="G3" i="7" s="1"/>
  <c r="F2" i="7"/>
  <c r="F4" i="7"/>
  <c r="G4" i="7" s="1"/>
  <c r="D32" i="1"/>
  <c r="D35" i="1" s="1"/>
  <c r="D38" i="1" s="1"/>
  <c r="D30" i="1"/>
  <c r="D33" i="1" s="1"/>
  <c r="D36" i="1" s="1"/>
  <c r="C32" i="1"/>
  <c r="C35" i="1" s="1"/>
  <c r="C38" i="1" s="1"/>
  <c r="C30" i="1"/>
  <c r="C33" i="1" s="1"/>
  <c r="C36" i="1" s="1"/>
  <c r="C34" i="1"/>
  <c r="C37" i="1" s="1"/>
  <c r="B34" i="1"/>
  <c r="B37" i="1" s="1"/>
  <c r="B49" i="1" s="1"/>
  <c r="B32" i="1"/>
  <c r="B35" i="1" s="1"/>
  <c r="B38" i="1" s="1"/>
  <c r="B30" i="1"/>
  <c r="B33" i="1" s="1"/>
  <c r="B36" i="1" s="1"/>
  <c r="B44" i="1" l="1"/>
  <c r="G2" i="7"/>
  <c r="G5" i="7" s="1"/>
  <c r="B14" i="1" s="1"/>
  <c r="B15" i="1" s="1"/>
  <c r="C49" i="1"/>
  <c r="C44" i="1"/>
  <c r="D49" i="1"/>
  <c r="D44" i="1"/>
  <c r="B17" i="1" l="1"/>
  <c r="C15" i="1"/>
  <c r="C14" i="1"/>
  <c r="E44" i="1"/>
  <c r="C13" i="1" l="1"/>
  <c r="F4" i="1"/>
  <c r="F6" i="1"/>
  <c r="C17" i="1" l="1"/>
  <c r="C20" i="1" s="1"/>
  <c r="B58" i="1" s="1"/>
  <c r="B20" i="1"/>
  <c r="B21" i="1" s="1"/>
  <c r="B54" i="1" s="1"/>
  <c r="B22" i="1" l="1"/>
  <c r="F5" i="1"/>
  <c r="F7" i="1" s="1"/>
  <c r="F8" i="1" s="1"/>
  <c r="C21" i="1"/>
  <c r="B23" i="1" l="1"/>
  <c r="C22" i="1"/>
  <c r="C23" i="1" l="1"/>
  <c r="B39" i="1"/>
  <c r="B40" i="1"/>
  <c r="B51" i="1" s="1"/>
  <c r="C40" i="1"/>
  <c r="C39" i="1"/>
  <c r="D40" i="1"/>
  <c r="B41" i="1"/>
  <c r="C41" i="1"/>
  <c r="D41" i="1"/>
  <c r="D39" i="1"/>
  <c r="B43" i="1" l="1"/>
  <c r="C43" i="1"/>
  <c r="C51" i="1"/>
  <c r="D51" i="1"/>
  <c r="D43" i="1"/>
  <c r="E43" i="1" l="1"/>
  <c r="E46" i="1" s="1"/>
  <c r="B50" i="1" s="1"/>
  <c r="B53" i="1" l="1"/>
  <c r="B52" i="1"/>
  <c r="E45" i="1"/>
  <c r="C50" i="1"/>
  <c r="D50" i="1"/>
  <c r="F46" i="1"/>
  <c r="B59" i="1" s="1"/>
  <c r="F47" i="1" l="1"/>
  <c r="B55" i="1" s="1"/>
  <c r="C52" i="1"/>
  <c r="C53" i="1"/>
  <c r="D53" i="1"/>
  <c r="D52" i="1"/>
  <c r="H53" i="1"/>
  <c r="H52" i="1"/>
</calcChain>
</file>

<file path=xl/sharedStrings.xml><?xml version="1.0" encoding="utf-8"?>
<sst xmlns="http://schemas.openxmlformats.org/spreadsheetml/2006/main" count="135" uniqueCount="121">
  <si>
    <t>Hex</t>
  </si>
  <si>
    <t>FPGA</t>
  </si>
  <si>
    <t>xc7k325t</t>
  </si>
  <si>
    <t>ConfigRate</t>
  </si>
  <si>
    <t>Flash size (Mib)</t>
  </si>
  <si>
    <t>Flash width (bits)</t>
  </si>
  <si>
    <t>Sector size (KiB)</t>
  </si>
  <si>
    <t>SelectIO interface DCI?</t>
  </si>
  <si>
    <t>MMCM STARTUP_WAIT</t>
  </si>
  <si>
    <t>PLL STARTUP_WAIT</t>
  </si>
  <si>
    <t>Next sector (bytes)</t>
  </si>
  <si>
    <t>flash size (bytes)</t>
  </si>
  <si>
    <t>1/2 flash (bytes)</t>
  </si>
  <si>
    <t>WBSTAR (bytes)</t>
  </si>
  <si>
    <t>Bytes from WBSTAR to end of flash (bytes)</t>
  </si>
  <si>
    <t>Bits from WBSTAR to end of flash (bits)</t>
  </si>
  <si>
    <t>ERROR Margin (%)</t>
  </si>
  <si>
    <t>Slope</t>
  </si>
  <si>
    <t>intercept</t>
  </si>
  <si>
    <t>MCCLK (MHz)</t>
  </si>
  <si>
    <t>CCLK -20%</t>
  </si>
  <si>
    <t>CCLK (MHz)</t>
  </si>
  <si>
    <t>CCLK +20%</t>
  </si>
  <si>
    <t>Check</t>
  </si>
  <si>
    <t>Timer fires</t>
  </si>
  <si>
    <t>Config finishes</t>
  </si>
  <si>
    <t>Read hits end of flash</t>
  </si>
  <si>
    <t>xc7a100t</t>
  </si>
  <si>
    <t>xc7a200t</t>
  </si>
  <si>
    <t>xc7a350t</t>
  </si>
  <si>
    <t>xc7k70t</t>
  </si>
  <si>
    <t>xc7k160t</t>
  </si>
  <si>
    <t>xc7k355t</t>
  </si>
  <si>
    <t>xc7k410t</t>
  </si>
  <si>
    <t>xc7k420t</t>
  </si>
  <si>
    <t>xc7k480t</t>
  </si>
  <si>
    <t>xc7vx415t</t>
  </si>
  <si>
    <t>xc7vx485t</t>
  </si>
  <si>
    <t>xc7vx550t</t>
  </si>
  <si>
    <t>xc8vh580t</t>
  </si>
  <si>
    <t>xc7v585t</t>
  </si>
  <si>
    <t>xc7vx690t</t>
  </si>
  <si>
    <t>xc7vx980t</t>
  </si>
  <si>
    <t>xc7vx1140t</t>
  </si>
  <si>
    <t>xc7v1500t</t>
  </si>
  <si>
    <t>xc7v2000t</t>
  </si>
  <si>
    <t>slope (m)</t>
  </si>
  <si>
    <t>intercept (y)</t>
  </si>
  <si>
    <t>CCCLK = m*MCLK + y</t>
  </si>
  <si>
    <t>total</t>
  </si>
  <si>
    <t>golden</t>
  </si>
  <si>
    <t>multiboot</t>
  </si>
  <si>
    <t>margin</t>
  </si>
  <si>
    <t>Sector (bytes)</t>
  </si>
  <si>
    <t xml:space="preserve">Enter design parameters </t>
  </si>
  <si>
    <t>Set WBSTAR to 1/2 Flash</t>
  </si>
  <si>
    <t>Check WBSTAR (bytes)</t>
  </si>
  <si>
    <t>Slowest SPI Read Time (s)</t>
  </si>
  <si>
    <t>Typical SPI Read Time (s)</t>
  </si>
  <si>
    <t>Fastest SPI Read Time (s)</t>
  </si>
  <si>
    <t>Slowest Configuration Time (s)</t>
  </si>
  <si>
    <t>Typical Configuration Time (s)</t>
  </si>
  <si>
    <t>Fastest Configuration Time (s)</t>
  </si>
  <si>
    <t>Slowest Configuration Rate (bits/s)</t>
  </si>
  <si>
    <t>Typical Configuration Rate (bits/s)</t>
  </si>
  <si>
    <t>Fastest Configuration Rate (bits/s)</t>
  </si>
  <si>
    <t>Timer Rate (Hz)</t>
  </si>
  <si>
    <t>Maximum TIMER value</t>
  </si>
  <si>
    <t>Minimum TIMER value</t>
  </si>
  <si>
    <t>Tyipcal</t>
  </si>
  <si>
    <t>Slowest MCLK</t>
  </si>
  <si>
    <t>Fastest MCLK</t>
  </si>
  <si>
    <t>Margin between max and min timer</t>
  </si>
  <si>
    <t>Recommend TIMER Value</t>
  </si>
  <si>
    <t>Specify the part name as seen in the BitstreamLengths sheet. Add a new FPGA and it bitstream size here if needed</t>
  </si>
  <si>
    <t>Enter the flash size in Mib</t>
  </si>
  <si>
    <t>Enter the SPI width. This has little if any change over the worst case timer calculations. However, it can be helpful for estimating how long configuration will take</t>
  </si>
  <si>
    <t>PLL_TLOCKMAX (us)</t>
  </si>
  <si>
    <t>MMCM_TLOCKMAX (us)</t>
  </si>
  <si>
    <t>DCI w/Match_cycle (ms)</t>
  </si>
  <si>
    <t>buffer1</t>
  </si>
  <si>
    <t>buffer2</t>
  </si>
  <si>
    <t>ExtraBits</t>
  </si>
  <si>
    <t>Config Done Delay</t>
  </si>
  <si>
    <t>value</t>
  </si>
  <si>
    <t>enabled?</t>
  </si>
  <si>
    <t>width</t>
  </si>
  <si>
    <t>CCLK freq (Hz)</t>
  </si>
  <si>
    <t>wait time (s)</t>
  </si>
  <si>
    <t>Extra Bytes</t>
  </si>
  <si>
    <t>Configuration Bitstream size (bits)</t>
  </si>
  <si>
    <t>Configuration Bitstream size (bytes)</t>
  </si>
  <si>
    <t>Extra Configuration size (bytes)</t>
  </si>
  <si>
    <t>Combined Configuration image size (bytes)</t>
  </si>
  <si>
    <t>Typical</t>
  </si>
  <si>
    <t>Worst Case</t>
  </si>
  <si>
    <t>Enter "yes" if using SelectIO interface with digitally-controlled impedance (DCI) and the BitGen -g Match_cycle is not set to NoWait.</t>
  </si>
  <si>
    <t>Enter "yes" if the mixed-mode clock manager (MMCM) has its STARTUP_WAIT attribute set to TRUE and the BitGen -g LCK_cycle is not set to NoWait.</t>
  </si>
  <si>
    <t>Enter "yes" if the phase-locked loop (PLL) has its STARTUP_WAIT attribute set to TRUE and the BitGen -g LCK_cycle is not set to NoWait</t>
  </si>
  <si>
    <t>Enter "yes" if placing the multiboot bitstream at the flash midpoint. Entering "no" will allow the worksheet to find an optimal placement for the multiboot bitstream. Be sure to use this value to set BitGen -g next_config_addr when generating the golden bitstream</t>
  </si>
  <si>
    <t>Results</t>
  </si>
  <si>
    <t>-g TIMER_CFG</t>
  </si>
  <si>
    <t>-g ConfigRate</t>
  </si>
  <si>
    <t>-g next_config_addr</t>
  </si>
  <si>
    <t>BitGen option</t>
  </si>
  <si>
    <t>Recommend Value</t>
  </si>
  <si>
    <t>Bitstream size error</t>
  </si>
  <si>
    <t>Timer value error</t>
  </si>
  <si>
    <t xml:space="preserve">Enter appropriate values for the following parameters your design in TimerCalculation Sheet </t>
  </si>
  <si>
    <t>Enter a 7 series supported configuration rate. The recommended rates are 22, 40, 50, and 66 as these will give bettern CCLK to MCLK correlation. Other value rates are listed in the CclkVsMclk worksheet</t>
  </si>
  <si>
    <t>Enter the largest sector erase size of the SPI Flash. For example, if a SPI flash has both 4kB erase sectors and 64 kB erase sectors, enter 64.</t>
  </si>
  <si>
    <t>Recommendations</t>
  </si>
  <si>
    <t>Use 22, 40, 50, or 66 for the ConfigRate. See the "Determining the Maximum Configuration Clock Frequency" section of UG470 for calculating the maximum CCLK rate for a specific SPI flash</t>
  </si>
  <si>
    <t xml:space="preserve">The </t>
  </si>
  <si>
    <t>The "Address map of bitstreams and buffer space" graph in the upper right of the TimerCalculation worksheet is a simple plot to show the placement of the bitstreams and how much "buffer" space is available</t>
  </si>
  <si>
    <t>max/min Timer</t>
  </si>
  <si>
    <t xml:space="preserve">Flash address map </t>
  </si>
  <si>
    <t>The Workbook should generate an appropriate TIMER_CFG value if given valid input parameters. The recommended Bitgen options are in bold and are also at the bottom of the TimerCalculation worksheet below the Results cell</t>
  </si>
  <si>
    <t>no</t>
  </si>
  <si>
    <t>xc7a35t</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</si>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</sst>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x0"/>
    <numFmt numFmtId="165" formatCode="0.00000"/>
  </numFmts>
  <fonts count="6">
    <font>
      <sz val="10"/>
      <name val="Arial"/>
      <family val="2"/>
    </font>
    <font>
      <sz val="11"/>
      <color theme="1"/>
      <name val="Calibri"/>
      <family val="2"/>
      <scheme val="minor"/>
    </font>
    <font>
      <sz val="10"/>
      <name val="Lohit Hindi"/>
      <family val="2"/>
    </font>
    <font>
      <b/>
      <sz val="10"/>
      <name val="Arial"/>
      <family val="2"/>
    </font>
    <font>
      <sz val="10"/>
      <name val="DejaVu Sans Mono"/>
      <family val="3"/>
    </font>
    <font>
      <b/>
      <sz val="10"/>
      <name val="DejaVu Sans Mono"/>
      <family val="3"/>
    </font>
  </fonts>
  <fills count="6">
    <fill>
      <patternFill patternType="none"/>
    </fill>
    <fill>
      <patternFill patternType="gray125"/>
    </fill>
    <fill>
      <patternFill patternType="solid">
        <fgColor rgb="FF33CC66"/>
        <bgColor rgb="FF33996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2" fillId="2" borderId="0" applyBorder="0" applyAlignment="0" applyProtection="0"/>
    <xf numFmtId="0" fontId="1" fillId="0" borderId="0"/>
  </cellStyleXfs>
  <cellXfs count="46">
    <xf numFmtId="0" fontId="0" fillId="0" borderId="0" xfId="0"/>
    <xf numFmtId="0" fontId="0" fillId="0" borderId="0" xfId="0"/>
    <xf numFmtId="0" fontId="0" fillId="0" borderId="0" xfId="0" applyAlignment="1">
      <alignment horizontal="right"/>
    </xf>
    <xf numFmtId="164" fontId="0" fillId="0" borderId="0" xfId="0" applyNumberFormat="1"/>
    <xf numFmtId="0" fontId="4" fillId="0" borderId="0" xfId="0" applyFont="1" applyAlignment="1">
      <alignment horizontal="right"/>
    </xf>
    <xf numFmtId="0" fontId="3" fillId="0" borderId="0" xfId="0" applyFont="1"/>
    <xf numFmtId="0" fontId="0" fillId="0" borderId="0" xfId="0" applyFont="1"/>
    <xf numFmtId="1" fontId="0" fillId="0" borderId="0" xfId="0" applyNumberFormat="1" applyAlignment="1">
      <alignment horizontal="right"/>
    </xf>
    <xf numFmtId="1" fontId="0" fillId="0" borderId="0" xfId="0" applyNumberFormat="1"/>
    <xf numFmtId="165" fontId="0" fillId="0" borderId="0" xfId="0" applyNumberFormat="1" applyAlignment="1">
      <alignment horizontal="right"/>
    </xf>
    <xf numFmtId="2" fontId="0" fillId="0" borderId="0" xfId="0" applyNumberFormat="1" applyAlignment="1">
      <alignment horizontal="right"/>
    </xf>
    <xf numFmtId="2" fontId="0" fillId="0" borderId="0" xfId="0" applyNumberFormat="1" applyAlignment="1">
      <alignment horizontal="right"/>
    </xf>
    <xf numFmtId="0" fontId="0" fillId="0" borderId="0" xfId="0" applyBorder="1"/>
    <xf numFmtId="0" fontId="0" fillId="0" borderId="2" xfId="0" applyBorder="1" applyAlignment="1">
      <alignment horizontal="right"/>
    </xf>
    <xf numFmtId="0" fontId="0" fillId="0" borderId="3" xfId="0" applyBorder="1" applyAlignment="1">
      <alignment horizontal="right"/>
    </xf>
    <xf numFmtId="0" fontId="3" fillId="0" borderId="1" xfId="0" applyFont="1" applyBorder="1"/>
    <xf numFmtId="0" fontId="3" fillId="0" borderId="2" xfId="0" applyFont="1" applyBorder="1"/>
    <xf numFmtId="0" fontId="3" fillId="0" borderId="3" xfId="0" applyFont="1" applyBorder="1"/>
    <xf numFmtId="0" fontId="0" fillId="0" borderId="0" xfId="0" applyFill="1" applyBorder="1"/>
    <xf numFmtId="0" fontId="3" fillId="0" borderId="0" xfId="0" applyFont="1" applyAlignment="1">
      <alignment horizontal="right"/>
    </xf>
    <xf numFmtId="0" fontId="0" fillId="0" borderId="0" xfId="0" applyAlignment="1">
      <alignment wrapText="1"/>
    </xf>
    <xf numFmtId="0" fontId="0" fillId="0" borderId="4" xfId="0" applyBorder="1"/>
    <xf numFmtId="0" fontId="0" fillId="0" borderId="0" xfId="0" applyAlignment="1">
      <alignment horizontal="center"/>
    </xf>
    <xf numFmtId="11" fontId="0" fillId="0" borderId="0" xfId="0" applyNumberFormat="1"/>
    <xf numFmtId="0" fontId="5" fillId="0" borderId="0" xfId="0" applyFont="1" applyAlignment="1">
      <alignment horizontal="right"/>
    </xf>
    <xf numFmtId="0" fontId="0" fillId="0" borderId="4" xfId="0" applyBorder="1" applyAlignment="1">
      <alignment horizontal="right"/>
    </xf>
    <xf numFmtId="0" fontId="4" fillId="0" borderId="4" xfId="0" applyFont="1" applyBorder="1" applyAlignment="1">
      <alignment horizontal="right"/>
    </xf>
    <xf numFmtId="164" fontId="0" fillId="0" borderId="4" xfId="0" applyNumberFormat="1" applyBorder="1" applyAlignment="1">
      <alignment horizontal="right"/>
    </xf>
    <xf numFmtId="165" fontId="0" fillId="0" borderId="4" xfId="0" applyNumberFormat="1" applyBorder="1" applyAlignment="1">
      <alignment horizontal="right"/>
    </xf>
    <xf numFmtId="1" fontId="0" fillId="0" borderId="4" xfId="0" applyNumberFormat="1" applyBorder="1" applyAlignment="1">
      <alignment horizontal="right"/>
    </xf>
    <xf numFmtId="2" fontId="0" fillId="0" borderId="4" xfId="0" applyNumberFormat="1" applyBorder="1" applyAlignment="1">
      <alignment horizontal="right"/>
    </xf>
    <xf numFmtId="2" fontId="0" fillId="3" borderId="0" xfId="0" applyNumberFormat="1" applyFill="1" applyAlignment="1">
      <alignment horizontal="right"/>
    </xf>
    <xf numFmtId="2" fontId="0" fillId="5" borderId="4" xfId="0" applyNumberFormat="1" applyFill="1" applyBorder="1" applyAlignment="1">
      <alignment horizontal="right"/>
    </xf>
    <xf numFmtId="2" fontId="0" fillId="4" borderId="0" xfId="0" applyNumberFormat="1" applyFill="1" applyAlignment="1">
      <alignment horizontal="right"/>
    </xf>
    <xf numFmtId="0" fontId="0" fillId="0" borderId="0" xfId="0" applyAlignment="1">
      <alignment horizontal="left"/>
    </xf>
    <xf numFmtId="2" fontId="0" fillId="0" borderId="0" xfId="0" applyNumberFormat="1" applyFill="1" applyAlignment="1">
      <alignment horizontal="right"/>
    </xf>
    <xf numFmtId="0" fontId="3" fillId="0" borderId="4" xfId="0" applyFont="1" applyBorder="1"/>
    <xf numFmtId="0" fontId="0" fillId="0" borderId="0" xfId="0" quotePrefix="1"/>
    <xf numFmtId="0" fontId="3" fillId="0" borderId="0" xfId="0" applyFont="1" applyBorder="1"/>
    <xf numFmtId="0" fontId="0" fillId="0" borderId="0" xfId="0" applyAlignment="1">
      <alignment vertical="top" wrapText="1"/>
    </xf>
    <xf numFmtId="0" fontId="3" fillId="0" borderId="0" xfId="0" applyFont="1" applyBorder="1" applyAlignment="1">
      <alignment vertical="top"/>
    </xf>
    <xf numFmtId="0" fontId="0" fillId="0" borderId="0" xfId="0" applyAlignment="1"/>
    <xf numFmtId="164" fontId="0" fillId="0" borderId="0" xfId="0" applyNumberFormat="1" applyBorder="1"/>
    <xf numFmtId="0" fontId="0" fillId="0" borderId="1" xfId="0" applyBorder="1"/>
    <xf numFmtId="0" fontId="0" fillId="0" borderId="4" xfId="0" applyBorder="1" applyAlignment="1">
      <alignment horizontal="left"/>
    </xf>
    <xf numFmtId="0" fontId="0" fillId="0" borderId="0" xfId="0" applyFont="1" applyFill="1" applyBorder="1" applyAlignment="1">
      <alignment vertical="top" wrapText="1"/>
    </xf>
  </cellXfs>
  <cellStyles count="3">
    <cellStyle name="Normal" xfId="0" builtinId="0"/>
    <cellStyle name="Normal 2" xfId="2"/>
    <cellStyle name="TableStyleLight1"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66"/>
      <rgbColor rgb="0099CC00"/>
      <rgbColor rgb="00FFD320"/>
      <rgbColor rgb="00FF9900"/>
      <rgbColor rgb="00FF420E"/>
      <rgbColor rgb="00666699"/>
      <rgbColor rgb="00969696"/>
      <rgbColor rgb="0000458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TimerCalculation!$E$4</c:f>
              <c:strCache>
                <c:ptCount val="1"/>
                <c:pt idx="0">
                  <c:v>golden</c:v>
                </c:pt>
              </c:strCache>
            </c:strRef>
          </c:tx>
          <c:invertIfNegative val="0"/>
          <c:val>
            <c:numRef>
              <c:f>TimerCalculation!$F$4</c:f>
              <c:numCache>
                <c:formatCode>General</c:formatCode>
                <c:ptCount val="1"/>
                <c:pt idx="0">
                  <c:v>2192012</c:v>
                </c:pt>
              </c:numCache>
            </c:numRef>
          </c:val>
        </c:ser>
        <c:ser>
          <c:idx val="1"/>
          <c:order val="1"/>
          <c:tx>
            <c:strRef>
              <c:f>TimerCalculation!$E$5</c:f>
              <c:strCache>
                <c:ptCount val="1"/>
                <c:pt idx="0">
                  <c:v>buffer1</c:v>
                </c:pt>
              </c:strCache>
            </c:strRef>
          </c:tx>
          <c:spPr>
            <a:solidFill>
              <a:schemeClr val="tx1">
                <a:lumMod val="50000"/>
                <a:lumOff val="50000"/>
              </a:schemeClr>
            </a:solidFill>
          </c:spPr>
          <c:invertIfNegative val="0"/>
          <c:val>
            <c:numRef>
              <c:f>TimerCalculation!$F$5</c:f>
              <c:numCache>
                <c:formatCode>General</c:formatCode>
                <c:ptCount val="1"/>
                <c:pt idx="0">
                  <c:v>2002292</c:v>
                </c:pt>
              </c:numCache>
            </c:numRef>
          </c:val>
        </c:ser>
        <c:ser>
          <c:idx val="2"/>
          <c:order val="2"/>
          <c:tx>
            <c:strRef>
              <c:f>TimerCalculation!$E$6</c:f>
              <c:strCache>
                <c:ptCount val="1"/>
                <c:pt idx="0">
                  <c:v>multiboot</c:v>
                </c:pt>
              </c:strCache>
            </c:strRef>
          </c:tx>
          <c:invertIfNegative val="0"/>
          <c:val>
            <c:numRef>
              <c:f>TimerCalculation!$F$6</c:f>
              <c:numCache>
                <c:formatCode>General</c:formatCode>
                <c:ptCount val="1"/>
                <c:pt idx="0">
                  <c:v>2192012</c:v>
                </c:pt>
              </c:numCache>
            </c:numRef>
          </c:val>
        </c:ser>
        <c:ser>
          <c:idx val="3"/>
          <c:order val="3"/>
          <c:tx>
            <c:strRef>
              <c:f>TimerCalculation!$E$7</c:f>
              <c:strCache>
                <c:ptCount val="1"/>
                <c:pt idx="0">
                  <c:v>buffer2</c:v>
                </c:pt>
              </c:strCache>
            </c:strRef>
          </c:tx>
          <c:spPr>
            <a:solidFill>
              <a:schemeClr val="bg1">
                <a:lumMod val="85000"/>
              </a:schemeClr>
            </a:solidFill>
          </c:spPr>
          <c:invertIfNegative val="0"/>
          <c:val>
            <c:numRef>
              <c:f>TimerCalculation!$F$7</c:f>
              <c:numCache>
                <c:formatCode>General</c:formatCode>
                <c:ptCount val="1"/>
                <c:pt idx="0">
                  <c:v>2002292</c:v>
                </c:pt>
              </c:numCache>
            </c:numRef>
          </c:val>
        </c:ser>
        <c:dLbls>
          <c:showLegendKey val="0"/>
          <c:showVal val="0"/>
          <c:showCatName val="0"/>
          <c:showSerName val="0"/>
          <c:showPercent val="0"/>
          <c:showBubbleSize val="0"/>
        </c:dLbls>
        <c:gapWidth val="0"/>
        <c:overlap val="100"/>
        <c:axId val="83682432"/>
        <c:axId val="83683968"/>
      </c:barChart>
      <c:catAx>
        <c:axId val="83682432"/>
        <c:scaling>
          <c:orientation val="minMax"/>
        </c:scaling>
        <c:delete val="0"/>
        <c:axPos val="b"/>
        <c:numFmt formatCode="General" sourceLinked="1"/>
        <c:majorTickMark val="out"/>
        <c:minorTickMark val="none"/>
        <c:tickLblPos val="nextTo"/>
        <c:crossAx val="83683968"/>
        <c:crosses val="autoZero"/>
        <c:auto val="1"/>
        <c:lblAlgn val="ctr"/>
        <c:lblOffset val="100"/>
        <c:noMultiLvlLbl val="0"/>
      </c:catAx>
      <c:valAx>
        <c:axId val="83683968"/>
        <c:scaling>
          <c:orientation val="minMax"/>
        </c:scaling>
        <c:delete val="0"/>
        <c:axPos val="l"/>
        <c:majorGridlines/>
        <c:numFmt formatCode="0%" sourceLinked="1"/>
        <c:majorTickMark val="none"/>
        <c:minorTickMark val="none"/>
        <c:tickLblPos val="none"/>
        <c:crossAx val="836824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257175</xdr:colOff>
      <xdr:row>8</xdr:row>
      <xdr:rowOff>114300</xdr:rowOff>
    </xdr:from>
    <xdr:to>
      <xdr:col>5</xdr:col>
      <xdr:colOff>666750</xdr:colOff>
      <xdr:row>39</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20" sqref="C20"/>
    </sheetView>
  </sheetViews>
  <sheetFormatPr defaultRowHeight="12.75"/>
  <cols>
    <col min="1" max="1" width="28.28515625" customWidth="1"/>
    <col min="2" max="2" width="76.5703125" style="20" customWidth="1"/>
    <col min="3" max="3" width="34.28515625" customWidth="1"/>
  </cols>
  <sheetData>
    <row r="1" spans="1:3" ht="25.5">
      <c r="A1" s="36" t="s">
        <v>54</v>
      </c>
      <c r="B1" s="20" t="s">
        <v>108</v>
      </c>
    </row>
    <row r="2" spans="1:3" s="1" customFormat="1">
      <c r="A2" s="38"/>
      <c r="B2" s="20"/>
    </row>
    <row r="3" spans="1:3" s="1" customFormat="1" ht="6" customHeight="1">
      <c r="A3" s="38"/>
      <c r="B3" s="20"/>
    </row>
    <row r="4" spans="1:3" ht="39.75" customHeight="1">
      <c r="A4" s="40" t="s">
        <v>1</v>
      </c>
      <c r="B4" s="39" t="s">
        <v>74</v>
      </c>
    </row>
    <row r="5" spans="1:3" ht="39.75" customHeight="1">
      <c r="A5" s="40" t="s">
        <v>3</v>
      </c>
      <c r="B5" s="39" t="s">
        <v>109</v>
      </c>
      <c r="C5" s="1"/>
    </row>
    <row r="6" spans="1:3" ht="39.75" customHeight="1">
      <c r="A6" s="40" t="s">
        <v>4</v>
      </c>
      <c r="B6" s="39" t="s">
        <v>75</v>
      </c>
      <c r="C6" s="1"/>
    </row>
    <row r="7" spans="1:3" ht="39.75" customHeight="1">
      <c r="A7" s="40" t="s">
        <v>5</v>
      </c>
      <c r="B7" s="39" t="s">
        <v>76</v>
      </c>
      <c r="C7" s="1"/>
    </row>
    <row r="8" spans="1:3" ht="39.75" customHeight="1">
      <c r="A8" s="40" t="s">
        <v>6</v>
      </c>
      <c r="B8" s="39" t="s">
        <v>110</v>
      </c>
      <c r="C8" s="1"/>
    </row>
    <row r="9" spans="1:3" ht="39.75" customHeight="1">
      <c r="A9" s="40" t="s">
        <v>7</v>
      </c>
      <c r="B9" s="39" t="s">
        <v>96</v>
      </c>
    </row>
    <row r="10" spans="1:3" ht="39.75" customHeight="1">
      <c r="A10" s="40" t="s">
        <v>8</v>
      </c>
      <c r="B10" s="39" t="s">
        <v>97</v>
      </c>
    </row>
    <row r="11" spans="1:3" ht="39.75" customHeight="1">
      <c r="A11" s="40" t="s">
        <v>9</v>
      </c>
      <c r="B11" s="39" t="s">
        <v>98</v>
      </c>
    </row>
    <row r="12" spans="1:3" ht="39.75" customHeight="1">
      <c r="A12" s="40" t="s">
        <v>55</v>
      </c>
      <c r="B12" s="39" t="s">
        <v>99</v>
      </c>
      <c r="C12" s="3"/>
    </row>
    <row r="15" spans="1:3" ht="38.25">
      <c r="B15" s="45" t="s">
        <v>117</v>
      </c>
    </row>
    <row r="20" spans="1:2">
      <c r="A20" t="s">
        <v>111</v>
      </c>
      <c r="B20" s="41"/>
    </row>
    <row r="21" spans="1:2" ht="38.25">
      <c r="B21" s="20" t="s">
        <v>112</v>
      </c>
    </row>
    <row r="22" spans="1:2">
      <c r="B22" s="41"/>
    </row>
    <row r="23" spans="1:2" ht="38.25">
      <c r="B23" s="20" t="s">
        <v>114</v>
      </c>
    </row>
    <row r="24" spans="1:2">
      <c r="B24" s="41"/>
    </row>
    <row r="25" spans="1:2">
      <c r="B25" s="41" t="s">
        <v>113</v>
      </c>
    </row>
    <row r="26" spans="1:2">
      <c r="B26" s="41"/>
    </row>
    <row r="27" spans="1:2">
      <c r="B27" s="41"/>
    </row>
    <row r="28" spans="1:2">
      <c r="A28" s="37"/>
      <c r="B28" s="41"/>
    </row>
    <row r="29" spans="1:2">
      <c r="B29" s="41"/>
    </row>
    <row r="30" spans="1:2">
      <c r="B30" s="41"/>
    </row>
    <row r="31" spans="1:2">
      <c r="B31" s="41"/>
    </row>
    <row r="32" spans="1:2">
      <c r="B32" s="41"/>
    </row>
    <row r="33" spans="2:2">
      <c r="B33" s="41"/>
    </row>
    <row r="34" spans="2:2">
      <c r="B34" s="41"/>
    </row>
    <row r="35" spans="2:2">
      <c r="B35" s="41"/>
    </row>
    <row r="36" spans="2:2">
      <c r="B36" s="41"/>
    </row>
    <row r="37" spans="2:2">
      <c r="B37" s="41"/>
    </row>
    <row r="38" spans="2:2">
      <c r="B38" s="4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topLeftCell="A13" zoomScaleNormal="100" workbookViewId="0">
      <selection activeCell="B26" sqref="B26"/>
    </sheetView>
  </sheetViews>
  <sheetFormatPr defaultRowHeight="12.75"/>
  <cols>
    <col min="1" max="1" width="37.85546875" customWidth="1"/>
    <col min="2" max="2" width="20.42578125" customWidth="1"/>
    <col min="3" max="3" width="13" customWidth="1"/>
    <col min="4" max="4" width="12.42578125" customWidth="1"/>
    <col min="5" max="5" width="13.42578125" customWidth="1"/>
    <col min="6" max="6" width="10.140625" customWidth="1"/>
    <col min="7" max="7" width="10" bestFit="1" customWidth="1"/>
    <col min="8" max="8" width="12.140625" customWidth="1"/>
  </cols>
  <sheetData>
    <row r="1" spans="1:9">
      <c r="C1" s="2" t="s">
        <v>0</v>
      </c>
      <c r="D1" s="12"/>
      <c r="E1" s="12"/>
      <c r="F1" s="12"/>
      <c r="G1" s="12"/>
      <c r="H1" s="12"/>
      <c r="I1" s="12"/>
    </row>
    <row r="2" spans="1:9">
      <c r="A2" s="15" t="s">
        <v>1</v>
      </c>
      <c r="B2" s="1" t="s">
        <v>119</v>
      </c>
      <c r="D2" s="12"/>
      <c r="E2" s="12" t="s">
        <v>116</v>
      </c>
      <c r="F2" s="12"/>
      <c r="G2" s="12"/>
      <c r="H2" s="12"/>
      <c r="I2" s="12"/>
    </row>
    <row r="3" spans="1:9">
      <c r="A3" s="16" t="s">
        <v>3</v>
      </c>
      <c r="B3" s="13">
        <v>50</v>
      </c>
      <c r="D3" s="12"/>
      <c r="E3" s="12"/>
      <c r="F3" s="12"/>
      <c r="G3" s="12"/>
      <c r="H3" s="12"/>
    </row>
    <row r="4" spans="1:9" ht="13.5">
      <c r="A4" s="16" t="s">
        <v>4</v>
      </c>
      <c r="B4" s="13">
        <v>64</v>
      </c>
      <c r="C4" s="4"/>
      <c r="D4" s="12"/>
      <c r="E4" s="12" t="s">
        <v>50</v>
      </c>
      <c r="F4" s="12">
        <f>B13</f>
        <v>2192012</v>
      </c>
      <c r="G4" s="12"/>
      <c r="H4" s="12"/>
    </row>
    <row r="5" spans="1:9" ht="13.5">
      <c r="A5" s="16" t="s">
        <v>5</v>
      </c>
      <c r="B5" s="13">
        <v>2</v>
      </c>
      <c r="C5" s="4"/>
      <c r="D5" s="12"/>
      <c r="E5" s="12" t="s">
        <v>80</v>
      </c>
      <c r="F5" s="12">
        <f>B21-F4</f>
        <v>2002292</v>
      </c>
      <c r="G5" s="12"/>
      <c r="H5" s="12"/>
    </row>
    <row r="6" spans="1:9" ht="13.5">
      <c r="A6" s="16" t="s">
        <v>6</v>
      </c>
      <c r="B6" s="13">
        <v>64</v>
      </c>
      <c r="C6" s="4"/>
      <c r="D6" s="12"/>
      <c r="E6" s="12" t="s">
        <v>51</v>
      </c>
      <c r="F6" s="12">
        <f>B13</f>
        <v>2192012</v>
      </c>
      <c r="G6" s="12"/>
      <c r="H6" s="12"/>
    </row>
    <row r="7" spans="1:9" ht="13.5">
      <c r="A7" s="16" t="s">
        <v>7</v>
      </c>
      <c r="B7" s="13" t="s">
        <v>118</v>
      </c>
      <c r="C7" s="4"/>
      <c r="D7" s="12"/>
      <c r="E7" s="12" t="s">
        <v>81</v>
      </c>
      <c r="F7" s="12">
        <f>B18-SUM(F4:F6)</f>
        <v>2002292</v>
      </c>
      <c r="G7" s="12"/>
      <c r="H7" s="12"/>
    </row>
    <row r="8" spans="1:9" ht="13.5">
      <c r="A8" s="16" t="s">
        <v>8</v>
      </c>
      <c r="B8" s="13" t="s">
        <v>118</v>
      </c>
      <c r="C8" s="4"/>
      <c r="D8" s="12"/>
      <c r="E8" s="12" t="s">
        <v>49</v>
      </c>
      <c r="F8" s="12">
        <f>SUM(F4:F7)</f>
        <v>8388608</v>
      </c>
      <c r="G8" s="12"/>
      <c r="H8" s="12"/>
    </row>
    <row r="9" spans="1:9" ht="13.5">
      <c r="A9" s="16" t="s">
        <v>9</v>
      </c>
      <c r="B9" s="13" t="s">
        <v>118</v>
      </c>
      <c r="C9" s="4"/>
      <c r="D9" s="12"/>
      <c r="E9" s="12"/>
      <c r="F9" s="12"/>
      <c r="G9" s="12"/>
      <c r="H9" s="12"/>
    </row>
    <row r="10" spans="1:9" ht="13.5">
      <c r="A10" s="17" t="s">
        <v>55</v>
      </c>
      <c r="B10" s="14" t="s">
        <v>120</v>
      </c>
      <c r="C10" s="4"/>
      <c r="D10" s="12"/>
      <c r="E10" s="12"/>
      <c r="F10" s="12"/>
      <c r="G10" s="12"/>
      <c r="H10" s="12"/>
    </row>
    <row r="11" spans="1:9" s="1" customFormat="1" ht="13.5">
      <c r="A11" s="5"/>
      <c r="C11" s="4"/>
      <c r="D11" s="4"/>
      <c r="F11" s="12"/>
      <c r="G11" s="12"/>
      <c r="H11" s="12"/>
    </row>
    <row r="12" spans="1:9" ht="13.5">
      <c r="A12" s="6" t="s">
        <v>90</v>
      </c>
      <c r="B12" s="1">
        <v>17536096</v>
      </c>
      <c r="C12" s="4"/>
    </row>
    <row r="13" spans="1:9" s="1" customFormat="1" ht="13.5">
      <c r="A13" s="6" t="s">
        <v>91</v>
      </c>
      <c r="B13" s="7">
        <f>CEILING(B12,8)/8</f>
        <v>2192012</v>
      </c>
      <c r="C13" s="4" t="str">
        <f>DEC2HEX(B13)</f>
        <v>21728C</v>
      </c>
    </row>
    <row r="14" spans="1:9" ht="13.5">
      <c r="A14" s="6" t="s">
        <v>92</v>
      </c>
      <c r="B14" s="7">
        <f>CEILING(ExtraStartupBits!G5,8)/8</f>
        <v>0</v>
      </c>
      <c r="C14" s="4" t="str">
        <f t="shared" ref="C14:C15" si="0">DEC2HEX(B14)</f>
        <v>0</v>
      </c>
    </row>
    <row r="15" spans="1:9" s="1" customFormat="1" ht="13.5">
      <c r="A15" s="1" t="s">
        <v>93</v>
      </c>
      <c r="B15" s="8">
        <f>B13+B14</f>
        <v>2192012</v>
      </c>
      <c r="C15" s="4" t="str">
        <f t="shared" si="0"/>
        <v>21728C</v>
      </c>
    </row>
    <row r="16" spans="1:9" ht="13.5">
      <c r="A16" s="1" t="s">
        <v>53</v>
      </c>
      <c r="B16" s="2">
        <f>B6*2^10</f>
        <v>65536</v>
      </c>
      <c r="C16" s="4" t="str">
        <f>DEC2HEX(B16)</f>
        <v>10000</v>
      </c>
      <c r="D16" s="4"/>
    </row>
    <row r="17" spans="1:8" ht="13.5">
      <c r="A17" s="1" t="s">
        <v>10</v>
      </c>
      <c r="B17" s="2">
        <f>CEILING(B15,B16)</f>
        <v>2228224</v>
      </c>
      <c r="C17" s="4" t="str">
        <f>DEC2HEX(B17)</f>
        <v>220000</v>
      </c>
      <c r="D17" s="4"/>
    </row>
    <row r="18" spans="1:8" ht="13.5">
      <c r="A18" s="1" t="s">
        <v>11</v>
      </c>
      <c r="B18" s="2">
        <f>CEILING(B4*2^20,8)/8</f>
        <v>8388608</v>
      </c>
      <c r="C18" s="4" t="str">
        <f>DEC2HEX(B18)</f>
        <v>800000</v>
      </c>
      <c r="D18" s="4"/>
    </row>
    <row r="19" spans="1:8" ht="13.5">
      <c r="A19" s="1" t="s">
        <v>12</v>
      </c>
      <c r="B19" s="2">
        <f>B18/2</f>
        <v>4194304</v>
      </c>
      <c r="C19" s="4" t="str">
        <f>DEC2HEX(B19)</f>
        <v>400000</v>
      </c>
      <c r="D19" s="4"/>
    </row>
    <row r="20" spans="1:8" ht="13.5">
      <c r="A20" s="6" t="s">
        <v>13</v>
      </c>
      <c r="B20" s="4">
        <f>IF(B10="yes",B19,B17)</f>
        <v>4194304</v>
      </c>
      <c r="C20" s="24" t="str">
        <f>IF(B10="yes",C19,C17)</f>
        <v>400000</v>
      </c>
      <c r="D20" s="4"/>
    </row>
    <row r="21" spans="1:8" ht="13.5">
      <c r="A21" s="1" t="s">
        <v>56</v>
      </c>
      <c r="B21" s="2">
        <f>IF(B20&lt;B15,"Size mismatch",B20)</f>
        <v>4194304</v>
      </c>
      <c r="C21" s="4" t="str">
        <f>DEC2HEX(B21)</f>
        <v>400000</v>
      </c>
      <c r="D21" s="4"/>
    </row>
    <row r="22" spans="1:8" ht="13.5">
      <c r="A22" s="1" t="s">
        <v>14</v>
      </c>
      <c r="B22" s="2">
        <f>B18-B21</f>
        <v>4194304</v>
      </c>
      <c r="C22" s="4" t="str">
        <f>DEC2HEX(B22)</f>
        <v>400000</v>
      </c>
      <c r="D22" s="4"/>
      <c r="E22" s="3"/>
      <c r="F22" s="3"/>
      <c r="G22" s="3"/>
    </row>
    <row r="23" spans="1:8" ht="13.5">
      <c r="A23" s="21" t="s">
        <v>15</v>
      </c>
      <c r="B23" s="25">
        <f>B22*8</f>
        <v>33554432</v>
      </c>
      <c r="C23" s="26" t="str">
        <f>DEC2HEX(B23)</f>
        <v>2000000</v>
      </c>
      <c r="D23" s="4"/>
      <c r="E23" s="3"/>
      <c r="F23" s="3"/>
      <c r="G23" s="3"/>
    </row>
    <row r="24" spans="1:8">
      <c r="A24" s="1" t="s">
        <v>16</v>
      </c>
      <c r="B24" s="2">
        <v>20</v>
      </c>
      <c r="E24" s="3"/>
      <c r="F24" s="3"/>
      <c r="G24" s="3"/>
    </row>
    <row r="25" spans="1:8">
      <c r="A25" s="1" t="s">
        <v>17</v>
      </c>
      <c r="B25" s="2">
        <f>VLOOKUP($B$3,CclkVsMclk!$A$2:$C$12,2,0)</f>
        <v>0.69550000000000001</v>
      </c>
      <c r="E25" s="3"/>
      <c r="F25" s="3"/>
      <c r="G25" s="3"/>
    </row>
    <row r="26" spans="1:8">
      <c r="A26" s="21" t="s">
        <v>18</v>
      </c>
      <c r="B26" s="25">
        <f>VLOOKUP($B$3,CclkVsMclk!$A$2:$C$12,3,0)</f>
        <v>3.7841</v>
      </c>
      <c r="C26" s="21"/>
      <c r="E26" s="3"/>
      <c r="F26" s="3"/>
      <c r="G26" s="3"/>
    </row>
    <row r="27" spans="1:8">
      <c r="A27" s="1"/>
      <c r="B27" s="2"/>
      <c r="C27" s="1"/>
      <c r="D27" s="1"/>
      <c r="E27" s="3"/>
      <c r="F27" s="3"/>
      <c r="G27" s="3"/>
      <c r="H27" s="1"/>
    </row>
    <row r="28" spans="1:8">
      <c r="A28" s="21"/>
      <c r="B28" s="21" t="s">
        <v>69</v>
      </c>
      <c r="C28" s="27" t="s">
        <v>70</v>
      </c>
      <c r="D28" s="21" t="s">
        <v>71</v>
      </c>
      <c r="E28" s="42"/>
      <c r="F28" s="42"/>
      <c r="G28" s="42"/>
    </row>
    <row r="29" spans="1:8">
      <c r="A29" s="21" t="s">
        <v>19</v>
      </c>
      <c r="B29" s="25">
        <v>65</v>
      </c>
      <c r="C29" s="29">
        <v>35</v>
      </c>
      <c r="D29" s="21">
        <v>90</v>
      </c>
      <c r="E29" s="12"/>
      <c r="F29" s="12"/>
      <c r="G29" s="12"/>
      <c r="H29" s="2"/>
    </row>
    <row r="30" spans="1:8">
      <c r="A30" s="1" t="s">
        <v>20</v>
      </c>
      <c r="B30" s="9">
        <f t="shared" ref="B30:D30" si="1">B31*(100 - $B$24)/100</f>
        <v>39.193280000000001</v>
      </c>
      <c r="C30" s="9">
        <f t="shared" si="1"/>
        <v>22.501280000000001</v>
      </c>
      <c r="D30" s="9">
        <f t="shared" si="1"/>
        <v>53.103279999999998</v>
      </c>
      <c r="E30" s="2"/>
      <c r="F30" s="2"/>
      <c r="H30" s="2"/>
    </row>
    <row r="31" spans="1:8">
      <c r="A31" s="1" t="s">
        <v>21</v>
      </c>
      <c r="B31" s="9">
        <f t="shared" ref="B31:D31" si="2">$B$25*B29 + $B$26</f>
        <v>48.991600000000005</v>
      </c>
      <c r="C31" s="9">
        <f t="shared" si="2"/>
        <v>28.1266</v>
      </c>
      <c r="D31" s="9">
        <f t="shared" si="2"/>
        <v>66.379099999999994</v>
      </c>
      <c r="E31" s="2"/>
      <c r="F31" s="2"/>
      <c r="H31" s="2"/>
    </row>
    <row r="32" spans="1:8">
      <c r="A32" s="21" t="s">
        <v>22</v>
      </c>
      <c r="B32" s="28">
        <f t="shared" ref="B32:D32" si="3">B31*(100 + $B$24)/100</f>
        <v>58.789920000000002</v>
      </c>
      <c r="C32" s="28">
        <f t="shared" si="3"/>
        <v>33.751919999999998</v>
      </c>
      <c r="D32" s="28">
        <f t="shared" si="3"/>
        <v>79.65491999999999</v>
      </c>
      <c r="E32" s="2"/>
      <c r="F32" s="2"/>
    </row>
    <row r="33" spans="1:6">
      <c r="A33" s="1" t="s">
        <v>63</v>
      </c>
      <c r="B33" s="2">
        <f t="shared" ref="B33:D35" si="4">$B$5*B30*1000000</f>
        <v>78386560</v>
      </c>
      <c r="C33" s="2">
        <f t="shared" si="4"/>
        <v>45002560</v>
      </c>
      <c r="D33" s="2">
        <f t="shared" si="4"/>
        <v>106206560</v>
      </c>
    </row>
    <row r="34" spans="1:6">
      <c r="A34" s="1" t="s">
        <v>64</v>
      </c>
      <c r="B34" s="2">
        <f t="shared" si="4"/>
        <v>97983200.000000015</v>
      </c>
      <c r="C34" s="2">
        <f t="shared" si="4"/>
        <v>56253200</v>
      </c>
      <c r="D34" s="2">
        <f t="shared" si="4"/>
        <v>132758199.99999999</v>
      </c>
    </row>
    <row r="35" spans="1:6">
      <c r="A35" s="21" t="s">
        <v>65</v>
      </c>
      <c r="B35" s="25">
        <f t="shared" si="4"/>
        <v>117579840</v>
      </c>
      <c r="C35" s="25">
        <f t="shared" si="4"/>
        <v>67503840</v>
      </c>
      <c r="D35" s="25">
        <f t="shared" si="4"/>
        <v>159309839.99999997</v>
      </c>
    </row>
    <row r="36" spans="1:6">
      <c r="A36" s="1" t="s">
        <v>60</v>
      </c>
      <c r="B36" s="11">
        <f t="shared" ref="B36:D38" si="5">$B$12/B33</f>
        <v>0.22371304468521133</v>
      </c>
      <c r="C36" s="31">
        <f t="shared" si="5"/>
        <v>0.38966885439406113</v>
      </c>
      <c r="D36" s="31">
        <f t="shared" si="5"/>
        <v>0.16511311542337875</v>
      </c>
    </row>
    <row r="37" spans="1:6">
      <c r="A37" s="1" t="s">
        <v>61</v>
      </c>
      <c r="B37" s="10">
        <f t="shared" si="5"/>
        <v>0.17897043574816904</v>
      </c>
      <c r="C37" s="10">
        <f t="shared" si="5"/>
        <v>0.31173508351524892</v>
      </c>
      <c r="D37" s="10">
        <f t="shared" si="5"/>
        <v>0.13209049233870301</v>
      </c>
    </row>
    <row r="38" spans="1:6">
      <c r="A38" s="21" t="s">
        <v>62</v>
      </c>
      <c r="B38" s="30">
        <f t="shared" si="5"/>
        <v>0.14914202979014091</v>
      </c>
      <c r="C38" s="30">
        <f t="shared" si="5"/>
        <v>0.25977923626270744</v>
      </c>
      <c r="D38" s="30">
        <f t="shared" si="5"/>
        <v>0.11007541028225251</v>
      </c>
    </row>
    <row r="39" spans="1:6">
      <c r="A39" s="1" t="s">
        <v>57</v>
      </c>
      <c r="B39" s="10">
        <f t="shared" ref="B39:D41" si="6">$B$23/B33</f>
        <v>0.42806358641073161</v>
      </c>
      <c r="C39" s="10">
        <f t="shared" si="6"/>
        <v>0.74561162742741749</v>
      </c>
      <c r="D39" s="10">
        <f t="shared" si="6"/>
        <v>0.3159355881595261</v>
      </c>
    </row>
    <row r="40" spans="1:6">
      <c r="A40" s="1" t="s">
        <v>58</v>
      </c>
      <c r="B40" s="10">
        <f t="shared" si="6"/>
        <v>0.34245086912858524</v>
      </c>
      <c r="C40" s="10">
        <f t="shared" si="6"/>
        <v>0.59648930194193395</v>
      </c>
      <c r="D40" s="10">
        <f t="shared" si="6"/>
        <v>0.25274847052762089</v>
      </c>
    </row>
    <row r="41" spans="1:6">
      <c r="A41" s="21" t="s">
        <v>59</v>
      </c>
      <c r="B41" s="30">
        <f t="shared" si="6"/>
        <v>0.28537572427382107</v>
      </c>
      <c r="C41" s="32">
        <f t="shared" si="6"/>
        <v>0.49707441828494497</v>
      </c>
      <c r="D41" s="32">
        <f t="shared" si="6"/>
        <v>0.21062372543968411</v>
      </c>
    </row>
    <row r="42" spans="1:6">
      <c r="A42" s="1" t="s">
        <v>66</v>
      </c>
      <c r="B42" s="2">
        <f t="shared" ref="B42:D42" si="7">B29/256*1000000</f>
        <v>253906.25</v>
      </c>
      <c r="C42" s="2">
        <f t="shared" si="7"/>
        <v>136718.75</v>
      </c>
      <c r="D42" s="2">
        <f t="shared" si="7"/>
        <v>351562.5</v>
      </c>
      <c r="E42" s="43" t="s">
        <v>115</v>
      </c>
    </row>
    <row r="43" spans="1:6">
      <c r="A43" s="1" t="s">
        <v>67</v>
      </c>
      <c r="B43" s="2">
        <f t="shared" ref="B43:D43" si="8">FLOOR(B41*B$42,1)</f>
        <v>72458</v>
      </c>
      <c r="C43" s="2">
        <f t="shared" si="8"/>
        <v>67959</v>
      </c>
      <c r="D43" s="2">
        <f t="shared" si="8"/>
        <v>74047</v>
      </c>
      <c r="E43" s="13">
        <f>MIN(C43:D43)</f>
        <v>67959</v>
      </c>
      <c r="F43" s="2"/>
    </row>
    <row r="44" spans="1:6">
      <c r="A44" s="21" t="s">
        <v>68</v>
      </c>
      <c r="B44" s="25">
        <f t="shared" ref="B44:D44" si="9">CEILING(B36*B$42,1)</f>
        <v>56803</v>
      </c>
      <c r="C44" s="25">
        <f t="shared" si="9"/>
        <v>53276</v>
      </c>
      <c r="D44" s="25">
        <f t="shared" si="9"/>
        <v>58048</v>
      </c>
      <c r="E44" s="14">
        <f>MAX(C44:D44)</f>
        <v>58048</v>
      </c>
      <c r="F44" s="2"/>
    </row>
    <row r="45" spans="1:6">
      <c r="A45" t="s">
        <v>72</v>
      </c>
      <c r="D45" t="s">
        <v>52</v>
      </c>
      <c r="E45" s="1">
        <f>E43-E44</f>
        <v>9911</v>
      </c>
    </row>
    <row r="46" spans="1:6">
      <c r="A46" s="5" t="s">
        <v>73</v>
      </c>
      <c r="E46" s="1">
        <f>(E43+E44)/2</f>
        <v>63003.5</v>
      </c>
      <c r="F46" s="19" t="str">
        <f>DEC2HEX(E46)</f>
        <v>F61B</v>
      </c>
    </row>
    <row r="47" spans="1:6">
      <c r="F47" s="22" t="str">
        <f>IF(E45&lt;0,"ERROR","okay")</f>
        <v>okay</v>
      </c>
    </row>
    <row r="48" spans="1:6">
      <c r="A48" s="36" t="s">
        <v>23</v>
      </c>
      <c r="B48" s="21" t="s">
        <v>94</v>
      </c>
      <c r="C48" s="21" t="s">
        <v>95</v>
      </c>
      <c r="D48" s="21" t="s">
        <v>95</v>
      </c>
    </row>
    <row r="49" spans="1:8">
      <c r="A49" s="1" t="s">
        <v>25</v>
      </c>
      <c r="B49" s="11">
        <f>B37</f>
        <v>0.17897043574816904</v>
      </c>
      <c r="C49" s="31">
        <f t="shared" ref="C49:D49" si="10">C36</f>
        <v>0.38966885439406113</v>
      </c>
      <c r="D49" s="31">
        <f t="shared" si="10"/>
        <v>0.16511311542337875</v>
      </c>
    </row>
    <row r="50" spans="1:8">
      <c r="A50" s="1" t="s">
        <v>24</v>
      </c>
      <c r="B50" s="35">
        <f>$E$46/B42</f>
        <v>0.24813686153846154</v>
      </c>
      <c r="C50" s="33">
        <f>$E$46/C42</f>
        <v>0.4608256</v>
      </c>
      <c r="D50" s="33">
        <f>$E$46/D42</f>
        <v>0.17920995555555555</v>
      </c>
    </row>
    <row r="51" spans="1:8">
      <c r="A51" s="21" t="s">
        <v>26</v>
      </c>
      <c r="B51" s="30">
        <f>B40</f>
        <v>0.34245086912858524</v>
      </c>
      <c r="C51" s="32">
        <f t="shared" ref="C51:D51" si="11">C41</f>
        <v>0.49707441828494497</v>
      </c>
      <c r="D51" s="32">
        <f t="shared" si="11"/>
        <v>0.21062372543968411</v>
      </c>
    </row>
    <row r="52" spans="1:8">
      <c r="B52" s="1" t="str">
        <f>IF(B51&lt;B50,"Read error","")</f>
        <v/>
      </c>
      <c r="C52" t="str">
        <f>IF(C51&lt;C50,"Read error","")</f>
        <v/>
      </c>
      <c r="D52" s="1" t="str">
        <f>IF(D51&lt;D50,"Read error","")</f>
        <v/>
      </c>
      <c r="E52" s="1"/>
      <c r="F52" s="1"/>
      <c r="G52" s="1"/>
      <c r="H52" s="1" t="str">
        <f>IF(D51&lt;D50,"wrap error","")</f>
        <v/>
      </c>
    </row>
    <row r="53" spans="1:8">
      <c r="A53" s="21" t="s">
        <v>100</v>
      </c>
      <c r="B53" s="21" t="str">
        <f t="shared" ref="B53:D53" si="12">IF(B49&gt;B50,"timer error","")</f>
        <v/>
      </c>
      <c r="C53" s="1" t="str">
        <f t="shared" si="12"/>
        <v/>
      </c>
      <c r="D53" s="1" t="str">
        <f t="shared" si="12"/>
        <v/>
      </c>
      <c r="E53" s="1"/>
      <c r="F53" s="1"/>
      <c r="G53" s="1"/>
      <c r="H53" s="1" t="str">
        <f>IF(D49&gt;D50,"timer error","")</f>
        <v/>
      </c>
    </row>
    <row r="54" spans="1:8" s="1" customFormat="1">
      <c r="A54" s="18" t="s">
        <v>106</v>
      </c>
      <c r="B54" s="12" t="str">
        <f>IF(CheckWBSTAR="error", "yes", "no")</f>
        <v>no</v>
      </c>
    </row>
    <row r="55" spans="1:8" s="1" customFormat="1">
      <c r="A55" s="18" t="s">
        <v>107</v>
      </c>
      <c r="B55" s="12" t="str">
        <f>IF(CheckTIMER="okay", "no", "yes")</f>
        <v>no</v>
      </c>
    </row>
    <row r="56" spans="1:8" s="1" customFormat="1">
      <c r="A56" s="18"/>
      <c r="B56" s="12"/>
    </row>
    <row r="57" spans="1:8">
      <c r="A57" s="21" t="s">
        <v>104</v>
      </c>
      <c r="B57" s="44" t="s">
        <v>105</v>
      </c>
    </row>
    <row r="58" spans="1:8" s="1" customFormat="1">
      <c r="A58" s="37" t="s">
        <v>103</v>
      </c>
      <c r="B58" s="34" t="str">
        <f>"0x"&amp;TEXT(next_config_addr,"00")</f>
        <v>0x400000</v>
      </c>
    </row>
    <row r="59" spans="1:8">
      <c r="A59" s="37" t="s">
        <v>101</v>
      </c>
      <c r="B59" s="34" t="str">
        <f>"0x"&amp;TEXT(TIMER_CFG,"00")</f>
        <v>0xF61B</v>
      </c>
    </row>
    <row r="60" spans="1:8">
      <c r="A60" s="37" t="s">
        <v>102</v>
      </c>
      <c r="B60" s="34">
        <f>ConfigRate</f>
        <v>50</v>
      </c>
    </row>
    <row r="62" spans="1:8">
      <c r="A62" s="37"/>
    </row>
  </sheetData>
  <pageMargins left="0.7" right="0.7" top="0.75" bottom="0.75" header="0.3" footer="0.3"/>
  <pageSetup orientation="portrait" verticalDpi="0" r:id="rId1"/>
  <ignoredErrors>
    <ignoredError sqref="E43:E44" formulaRange="1"/>
    <ignoredError sqref="C20"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Normal="100" workbookViewId="0">
      <selection activeCell="B21" sqref="B21"/>
    </sheetView>
  </sheetViews>
  <sheetFormatPr defaultRowHeight="12.75"/>
  <cols>
    <col min="1" max="1" width="13.42578125"/>
    <col min="2" max="2" width="13.28515625"/>
    <col min="3" max="1025" width="11.5703125"/>
  </cols>
  <sheetData>
    <row r="1" spans="1:2">
      <c r="A1" t="s">
        <v>27</v>
      </c>
      <c r="B1">
        <v>30709728</v>
      </c>
    </row>
    <row r="2" spans="1:2">
      <c r="A2" t="s">
        <v>28</v>
      </c>
      <c r="B2">
        <v>65330912</v>
      </c>
    </row>
    <row r="3" spans="1:2">
      <c r="A3" t="s">
        <v>29</v>
      </c>
      <c r="B3">
        <v>100753632</v>
      </c>
    </row>
    <row r="4" spans="1:2">
      <c r="A4" t="s">
        <v>30</v>
      </c>
      <c r="B4">
        <v>24090592</v>
      </c>
    </row>
    <row r="5" spans="1:2">
      <c r="A5" t="s">
        <v>31</v>
      </c>
      <c r="B5">
        <v>53540576</v>
      </c>
    </row>
    <row r="6" spans="1:2">
      <c r="A6" t="s">
        <v>2</v>
      </c>
      <c r="B6">
        <v>91548896</v>
      </c>
    </row>
    <row r="7" spans="1:2">
      <c r="A7" t="s">
        <v>32</v>
      </c>
      <c r="B7">
        <v>112414688</v>
      </c>
    </row>
    <row r="8" spans="1:2">
      <c r="A8" t="s">
        <v>33</v>
      </c>
      <c r="B8">
        <v>127023328</v>
      </c>
    </row>
    <row r="9" spans="1:2">
      <c r="A9" t="s">
        <v>34</v>
      </c>
      <c r="B9">
        <v>149880032</v>
      </c>
    </row>
    <row r="10" spans="1:2">
      <c r="A10" t="s">
        <v>35</v>
      </c>
      <c r="B10">
        <v>149880032</v>
      </c>
    </row>
    <row r="11" spans="1:2">
      <c r="A11" t="s">
        <v>36</v>
      </c>
      <c r="B11">
        <v>137934560</v>
      </c>
    </row>
    <row r="12" spans="1:2">
      <c r="A12" t="s">
        <v>37</v>
      </c>
      <c r="B12">
        <v>162187488</v>
      </c>
    </row>
    <row r="13" spans="1:2">
      <c r="A13" t="s">
        <v>38</v>
      </c>
      <c r="B13">
        <v>229878496</v>
      </c>
    </row>
    <row r="14" spans="1:2">
      <c r="A14" t="s">
        <v>39</v>
      </c>
      <c r="B14">
        <v>192724384</v>
      </c>
    </row>
    <row r="15" spans="1:2">
      <c r="A15" t="s">
        <v>40</v>
      </c>
      <c r="B15">
        <v>161398880</v>
      </c>
    </row>
    <row r="16" spans="1:2">
      <c r="A16" t="s">
        <v>41</v>
      </c>
      <c r="B16">
        <v>229878496</v>
      </c>
    </row>
    <row r="17" spans="1:2">
      <c r="A17" t="s">
        <v>42</v>
      </c>
      <c r="B17">
        <v>282521312</v>
      </c>
    </row>
    <row r="18" spans="1:2">
      <c r="A18" t="s">
        <v>43</v>
      </c>
      <c r="B18">
        <v>385127680</v>
      </c>
    </row>
    <row r="19" spans="1:2">
      <c r="A19" t="s">
        <v>44</v>
      </c>
      <c r="B19">
        <v>335503520</v>
      </c>
    </row>
    <row r="20" spans="1:2">
      <c r="A20" t="s">
        <v>45</v>
      </c>
      <c r="B20">
        <v>447337216</v>
      </c>
    </row>
    <row r="21" spans="1:2">
      <c r="A21" s="1" t="s">
        <v>119</v>
      </c>
      <c r="B21" s="1">
        <v>17536096</v>
      </c>
    </row>
  </sheetData>
  <pageMargins left="0.78749999999999998" right="0.78749999999999998" top="1.05277777777778" bottom="1.05277777777778" header="0.78749999999999998" footer="0.78749999999999998"/>
  <pageSetup orientation="portrait" verticalDpi="0" r:id="rId1"/>
  <headerFooter>
    <oddHeader>&amp;C&amp;"Times New Roman,Regular"&amp;12&amp;A</oddHeader>
    <oddFooter>&amp;C&amp;"Times New Roman,Regular"&amp;12Page &amp;P</oddFooter>
    <evenHeader>&amp;C&amp;"Times New Roman,Regular"&amp;12&amp;A</evenHeader>
    <evenFooter>&amp;C&amp;"Times New Roman,Regular"&amp;12Page &amp;P</evenFooter>
    <firstHeader>&amp;C&amp;"Times New Roman,Regular"&amp;12&amp;A</firstHeader>
    <firstFooter>&amp;C&amp;"Times New Roman,Regular"&amp;12Page &amp;P</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selection activeCell="B9" sqref="B9"/>
    </sheetView>
  </sheetViews>
  <sheetFormatPr defaultRowHeight="12.75"/>
  <cols>
    <col min="1" max="2" width="11.5703125"/>
    <col min="3" max="3" width="13.28515625"/>
    <col min="4" max="1024" width="11.5703125"/>
  </cols>
  <sheetData>
    <row r="1" spans="1:8">
      <c r="A1" s="1" t="s">
        <v>3</v>
      </c>
      <c r="B1" s="1" t="s">
        <v>46</v>
      </c>
      <c r="C1" s="1" t="s">
        <v>47</v>
      </c>
    </row>
    <row r="2" spans="1:8">
      <c r="A2" s="1">
        <v>66</v>
      </c>
      <c r="B2" s="1">
        <v>1.0445</v>
      </c>
      <c r="C2" s="1">
        <v>-1.0305</v>
      </c>
      <c r="E2">
        <f>B2</f>
        <v>1.0445</v>
      </c>
      <c r="F2" s="1">
        <f>ABS(C2)</f>
        <v>1.0305</v>
      </c>
      <c r="G2">
        <f>F2/E2</f>
        <v>0.98659645763523218</v>
      </c>
      <c r="H2" s="1"/>
    </row>
    <row r="3" spans="1:8">
      <c r="A3" s="1">
        <v>50</v>
      </c>
      <c r="B3" s="1">
        <v>0.69550000000000001</v>
      </c>
      <c r="C3" s="1">
        <v>3.7841</v>
      </c>
      <c r="E3" s="1">
        <f t="shared" ref="E3:E12" si="0">B3</f>
        <v>0.69550000000000001</v>
      </c>
      <c r="F3" s="1">
        <f t="shared" ref="F3:F12" si="1">ABS(C3)</f>
        <v>3.7841</v>
      </c>
      <c r="G3" s="1">
        <f t="shared" ref="G3:G12" si="2">F3/E3</f>
        <v>5.4408339324227173</v>
      </c>
      <c r="H3" s="1"/>
    </row>
    <row r="4" spans="1:8">
      <c r="A4" s="1">
        <v>40</v>
      </c>
      <c r="B4" s="1">
        <v>0.68269999999999997</v>
      </c>
      <c r="C4" s="1">
        <v>-3.6753</v>
      </c>
      <c r="E4" s="1">
        <f t="shared" si="0"/>
        <v>0.68269999999999997</v>
      </c>
      <c r="F4" s="1">
        <f t="shared" si="1"/>
        <v>3.6753</v>
      </c>
      <c r="G4" s="1">
        <f t="shared" si="2"/>
        <v>5.3834773692690785</v>
      </c>
      <c r="H4" s="1"/>
    </row>
    <row r="5" spans="1:8">
      <c r="A5" s="1">
        <v>33</v>
      </c>
      <c r="B5" s="1">
        <v>0.37590000000000001</v>
      </c>
      <c r="C5" s="1">
        <v>8.6448999999999998</v>
      </c>
      <c r="E5" s="1">
        <f t="shared" si="0"/>
        <v>0.37590000000000001</v>
      </c>
      <c r="F5" s="1">
        <f t="shared" si="1"/>
        <v>8.6448999999999998</v>
      </c>
      <c r="G5" s="1">
        <f t="shared" si="2"/>
        <v>22.997871774408086</v>
      </c>
      <c r="H5" s="1"/>
    </row>
    <row r="6" spans="1:8">
      <c r="A6" s="1">
        <v>26</v>
      </c>
      <c r="B6" s="1">
        <v>0.32379999999999998</v>
      </c>
      <c r="C6" s="1">
        <v>5.1672000000000002</v>
      </c>
      <c r="E6" s="1">
        <f t="shared" si="0"/>
        <v>0.32379999999999998</v>
      </c>
      <c r="F6" s="1">
        <f t="shared" si="1"/>
        <v>5.1672000000000002</v>
      </c>
      <c r="G6" s="1">
        <f t="shared" si="2"/>
        <v>15.957998764669551</v>
      </c>
      <c r="H6" s="1"/>
    </row>
    <row r="7" spans="1:8">
      <c r="A7" s="1">
        <v>22</v>
      </c>
      <c r="B7" s="1">
        <v>0.28749999999999998</v>
      </c>
      <c r="C7" s="1">
        <v>2.3563999999999998</v>
      </c>
      <c r="E7" s="1">
        <f t="shared" si="0"/>
        <v>0.28749999999999998</v>
      </c>
      <c r="F7" s="1">
        <f t="shared" si="1"/>
        <v>2.3563999999999998</v>
      </c>
      <c r="G7" s="1">
        <f t="shared" si="2"/>
        <v>8.196173913043479</v>
      </c>
      <c r="H7" s="1"/>
    </row>
    <row r="8" spans="1:8">
      <c r="A8" s="1">
        <v>16</v>
      </c>
      <c r="B8" s="1">
        <v>0.18809999999999999</v>
      </c>
      <c r="C8" s="1">
        <v>4.3116000000000003</v>
      </c>
      <c r="E8" s="1">
        <f t="shared" si="0"/>
        <v>0.18809999999999999</v>
      </c>
      <c r="F8" s="1">
        <f t="shared" si="1"/>
        <v>4.3116000000000003</v>
      </c>
      <c r="G8" s="1">
        <f t="shared" si="2"/>
        <v>22.921850079744818</v>
      </c>
      <c r="H8" s="1"/>
    </row>
    <row r="9" spans="1:8">
      <c r="A9" s="1">
        <v>12</v>
      </c>
      <c r="B9" s="1">
        <v>0.129</v>
      </c>
      <c r="C9" s="2">
        <v>3.7004000000000001</v>
      </c>
      <c r="E9" s="1">
        <f t="shared" si="0"/>
        <v>0.129</v>
      </c>
      <c r="F9" s="1">
        <f t="shared" si="1"/>
        <v>3.7004000000000001</v>
      </c>
      <c r="G9" s="1">
        <f t="shared" si="2"/>
        <v>28.685271317829457</v>
      </c>
      <c r="H9" s="1"/>
    </row>
    <row r="10" spans="1:8">
      <c r="A10" s="1">
        <v>9</v>
      </c>
      <c r="B10" s="1">
        <v>9.4100000000000003E-2</v>
      </c>
      <c r="C10" s="2">
        <v>2.1541000000000001</v>
      </c>
      <c r="E10" s="1">
        <f t="shared" si="0"/>
        <v>9.4100000000000003E-2</v>
      </c>
      <c r="F10" s="1">
        <f t="shared" si="1"/>
        <v>2.1541000000000001</v>
      </c>
      <c r="G10" s="1">
        <f t="shared" si="2"/>
        <v>22.891604675876728</v>
      </c>
      <c r="H10" s="1"/>
    </row>
    <row r="11" spans="1:8">
      <c r="A11" s="1">
        <v>6</v>
      </c>
      <c r="B11" s="1">
        <v>6.4799999999999996E-2</v>
      </c>
      <c r="C11" s="2">
        <v>1.8363</v>
      </c>
      <c r="E11" s="1">
        <f t="shared" si="0"/>
        <v>6.4799999999999996E-2</v>
      </c>
      <c r="F11" s="1">
        <f t="shared" si="1"/>
        <v>1.8363</v>
      </c>
      <c r="G11" s="1">
        <f t="shared" si="2"/>
        <v>28.337962962962965</v>
      </c>
      <c r="H11" s="1"/>
    </row>
    <row r="12" spans="1:8">
      <c r="A12" s="1">
        <v>3</v>
      </c>
      <c r="B12" s="1">
        <v>3.2000000000000001E-2</v>
      </c>
      <c r="C12" s="1">
        <v>0.93869999999999998</v>
      </c>
      <c r="E12" s="1">
        <f t="shared" si="0"/>
        <v>3.2000000000000001E-2</v>
      </c>
      <c r="F12" s="1">
        <f t="shared" si="1"/>
        <v>0.93869999999999998</v>
      </c>
      <c r="G12" s="1">
        <f t="shared" si="2"/>
        <v>29.334374999999998</v>
      </c>
      <c r="H12" s="1"/>
    </row>
    <row r="13" spans="1:8">
      <c r="A13" s="3" t="s">
        <v>48</v>
      </c>
      <c r="B13" s="3"/>
      <c r="C13" s="1"/>
    </row>
  </sheetData>
  <sheetProtection password="88B7" sheet="1" objects="1" scenarios="1"/>
  <sortState ref="J1:K17">
    <sortCondition ref="J1:J17"/>
  </sortState>
  <pageMargins left="0.78749999999999998" right="0.78749999999999998" top="1.05277777777778" bottom="1.05277777777778" header="0.78749999999999998" footer="0.78749999999999998"/>
  <pageSetup orientation="portrait" verticalDpi="0" r:id="rId1"/>
  <headerFooter>
    <oddHeader>&amp;C&amp;"Times New Roman,Regular"&amp;12&amp;A</oddHeader>
    <oddFooter>&amp;C&amp;"Times New Roman,Regular"&amp;12Page &amp;P</oddFooter>
    <evenHeader>&amp;C&amp;"Times New Roman,Regular"&amp;12&amp;A</evenHeader>
    <evenFooter>&amp;C&amp;"Times New Roman,Regular"&amp;12Page &amp;P</evenFooter>
    <firstHeader>&amp;C&amp;"Times New Roman,Regular"&amp;12&amp;A</firstHeader>
    <firstFooter>&amp;C&amp;"Times New Roman,Regular"&amp;12Page &amp;P</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F18" sqref="F18"/>
    </sheetView>
  </sheetViews>
  <sheetFormatPr defaultRowHeight="12.75"/>
  <cols>
    <col min="1" max="1" width="31" customWidth="1"/>
    <col min="4" max="4" width="14.42578125" customWidth="1"/>
    <col min="6" max="6" width="15" customWidth="1"/>
    <col min="7" max="7" width="19.28515625" customWidth="1"/>
  </cols>
  <sheetData>
    <row r="1" spans="1:7" s="1" customFormat="1">
      <c r="A1" s="1" t="s">
        <v>83</v>
      </c>
      <c r="B1" s="1" t="s">
        <v>84</v>
      </c>
      <c r="C1" s="1" t="s">
        <v>85</v>
      </c>
      <c r="D1" s="1" t="s">
        <v>88</v>
      </c>
      <c r="E1" s="1" t="s">
        <v>86</v>
      </c>
      <c r="F1" s="1" t="s">
        <v>87</v>
      </c>
      <c r="G1" s="1" t="s">
        <v>89</v>
      </c>
    </row>
    <row r="2" spans="1:7">
      <c r="A2" s="12" t="s">
        <v>79</v>
      </c>
      <c r="B2" s="12">
        <v>10</v>
      </c>
      <c r="C2" s="22" t="str">
        <f>TimerCalculation!$B$7</f>
        <v>no</v>
      </c>
      <c r="D2" s="23">
        <f>IF(C2="yes",B2/10^3,0)</f>
        <v>0</v>
      </c>
      <c r="E2">
        <f>TimerCalculation!$B$5</f>
        <v>2</v>
      </c>
      <c r="F2">
        <f>TimerCalculation!$B$31*10^6</f>
        <v>48991600.000000007</v>
      </c>
      <c r="G2" s="8">
        <f>CEILING(D2*E2*F2,1)</f>
        <v>0</v>
      </c>
    </row>
    <row r="3" spans="1:7">
      <c r="A3" s="12" t="s">
        <v>78</v>
      </c>
      <c r="B3" s="12">
        <v>100</v>
      </c>
      <c r="C3" s="22" t="str">
        <f>TimerCalculation!$B$7</f>
        <v>no</v>
      </c>
      <c r="D3" s="23">
        <f>IF(C3="yes",B3/10^6,0)</f>
        <v>0</v>
      </c>
      <c r="E3" s="1">
        <f>TimerCalculation!$B$5</f>
        <v>2</v>
      </c>
      <c r="F3" s="1">
        <f>TimerCalculation!$B$31*10^6</f>
        <v>48991600.000000007</v>
      </c>
      <c r="G3" s="8">
        <f t="shared" ref="G3:G4" si="0">CEILING(D3*E3*F3,1)</f>
        <v>0</v>
      </c>
    </row>
    <row r="4" spans="1:7">
      <c r="A4" t="s">
        <v>77</v>
      </c>
      <c r="B4">
        <v>100</v>
      </c>
      <c r="C4" s="22" t="str">
        <f>TimerCalculation!$B$7</f>
        <v>no</v>
      </c>
      <c r="D4" s="23">
        <f>IF(C4="yes",B4/10^6,0)</f>
        <v>0</v>
      </c>
      <c r="E4" s="1">
        <f>TimerCalculation!$B$5</f>
        <v>2</v>
      </c>
      <c r="F4" s="1">
        <f>TimerCalculation!$B$31*10^6</f>
        <v>48991600.000000007</v>
      </c>
      <c r="G4" s="8">
        <f t="shared" si="0"/>
        <v>0</v>
      </c>
    </row>
    <row r="5" spans="1:7">
      <c r="A5" t="s">
        <v>82</v>
      </c>
      <c r="G5" s="8">
        <f>MAX(G2:G4)</f>
        <v>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Instructions</vt:lpstr>
      <vt:lpstr>TimerCalculation</vt:lpstr>
      <vt:lpstr>BitstreamLengths</vt:lpstr>
      <vt:lpstr>CclkVsMclk</vt:lpstr>
      <vt:lpstr>ExtraStartupBits</vt:lpstr>
      <vt:lpstr>CheckTIMER</vt:lpstr>
      <vt:lpstr>CheckWBSTAR</vt:lpstr>
      <vt:lpstr>ConfigRate</vt:lpstr>
      <vt:lpstr>configrate_c</vt:lpstr>
      <vt:lpstr>ConfigRatec</vt:lpstr>
      <vt:lpstr>dci_c</vt:lpstr>
      <vt:lpstr>fpga_c</vt:lpstr>
      <vt:lpstr>mmcm_c</vt:lpstr>
      <vt:lpstr>next_config_addr</vt:lpstr>
      <vt:lpstr>pll_c</vt:lpstr>
      <vt:lpstr>Results</vt:lpstr>
      <vt:lpstr>sector_c</vt:lpstr>
      <vt:lpstr>Size_c</vt:lpstr>
      <vt:lpstr>TIMER_CFG</vt:lpstr>
      <vt:lpstr>wbstar_c</vt:lpstr>
      <vt:lpstr>width_c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Jean-Francois Larin</dc:creator>
  <cp:keywords>No Markings</cp:keywords>
  <cp:lastModifiedBy>Jean-Francois Larin</cp:lastModifiedBy>
  <cp:revision>1</cp:revision>
  <dcterms:created xsi:type="dcterms:W3CDTF">2013-06-11T11:45:09Z</dcterms:created>
  <dcterms:modified xsi:type="dcterms:W3CDTF">2016-03-01T13:49:39Z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0ef4c731-fb9f-4ca9-9c17-38b4d557c65d</vt:lpwstr>
  </property>
  <property fmtid="{D5CDD505-2E9C-101B-9397-08002B2CF9AE}" pid="3" name="XilinxClassification">
    <vt:lpwstr>No Markings</vt:lpwstr>
  </property>
</Properties>
</file>