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Pictures\"/>
    </mc:Choice>
  </mc:AlternateContent>
  <xr:revisionPtr revIDLastSave="0" documentId="8_{3F0EE309-B2EC-4C04-B3D5-BDBFD67CB0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(SFC RA)" sheetId="26" r:id="rId1"/>
    <sheet name="yam (SFC ES)" sheetId="2" r:id="rId2"/>
    <sheet name="(SFC Rolling-1)" sheetId="20" r:id="rId3"/>
    <sheet name="(SFC Rolling-2)" sheetId="21" r:id="rId4"/>
    <sheet name="(Time Fence)" sheetId="22" r:id="rId5"/>
    <sheet name="(SFC Var)" sheetId="4" r:id="rId6"/>
    <sheet name="SFC Accuracy" sheetId="28" r:id="rId7"/>
    <sheet name="(MAPE Demon.)" sheetId="9" r:id="rId8"/>
    <sheet name="SFC ACC-3" sheetId="8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8" l="1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D27" i="28"/>
  <c r="F27" i="28" s="1"/>
  <c r="C27" i="28"/>
  <c r="H25" i="28"/>
  <c r="I25" i="28" s="1"/>
  <c r="J25" i="28" s="1"/>
  <c r="H24" i="28"/>
  <c r="I24" i="28" s="1"/>
  <c r="J24" i="28" s="1"/>
  <c r="H23" i="28"/>
  <c r="I23" i="28" s="1"/>
  <c r="J23" i="28" s="1"/>
  <c r="H22" i="28"/>
  <c r="I22" i="28" s="1"/>
  <c r="J22" i="28" s="1"/>
  <c r="H21" i="28"/>
  <c r="I21" i="28" s="1"/>
  <c r="J21" i="28" s="1"/>
  <c r="H20" i="28"/>
  <c r="I20" i="28" s="1"/>
  <c r="J20" i="28" s="1"/>
  <c r="H19" i="28"/>
  <c r="I19" i="28" s="1"/>
  <c r="J19" i="28" s="1"/>
  <c r="H18" i="28"/>
  <c r="I18" i="28" s="1"/>
  <c r="J18" i="28" s="1"/>
  <c r="H17" i="28"/>
  <c r="I17" i="28" s="1"/>
  <c r="J17" i="28" s="1"/>
  <c r="H16" i="28"/>
  <c r="I16" i="28" s="1"/>
  <c r="J16" i="28" s="1"/>
  <c r="H15" i="28"/>
  <c r="I15" i="28" s="1"/>
  <c r="J15" i="28" s="1"/>
  <c r="H14" i="28"/>
  <c r="I14" i="28" s="1"/>
  <c r="J14" i="28" s="1"/>
  <c r="H13" i="28"/>
  <c r="I13" i="28" s="1"/>
  <c r="J13" i="28" s="1"/>
  <c r="H12" i="28"/>
  <c r="I12" i="28" s="1"/>
  <c r="J12" i="28" s="1"/>
  <c r="H11" i="28"/>
  <c r="I11" i="28" s="1"/>
  <c r="J11" i="28" s="1"/>
  <c r="H10" i="28"/>
  <c r="I10" i="28" s="1"/>
  <c r="J10" i="28" s="1"/>
  <c r="H9" i="28"/>
  <c r="I9" i="28" s="1"/>
  <c r="J9" i="28" s="1"/>
  <c r="H8" i="28"/>
  <c r="D30" i="9"/>
  <c r="H27" i="28" l="1"/>
  <c r="I27" i="28" s="1"/>
  <c r="J27" i="28" s="1"/>
  <c r="I8" i="28"/>
  <c r="F29" i="28"/>
  <c r="J8" i="28"/>
  <c r="J29" i="28" s="1"/>
  <c r="R20" i="21" l="1"/>
  <c r="R19" i="21"/>
  <c r="R18" i="21"/>
  <c r="R21" i="21"/>
  <c r="R10" i="21"/>
  <c r="R9" i="21"/>
  <c r="R8" i="21"/>
  <c r="R7" i="21"/>
  <c r="P7" i="21"/>
  <c r="P18" i="21" s="1"/>
  <c r="Q7" i="21" l="1"/>
  <c r="I13" i="20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E25" i="2" s="1"/>
  <c r="F25" i="2" s="1"/>
  <c r="G25" i="2" s="1"/>
  <c r="E19" i="2" l="1"/>
  <c r="F19" i="2" s="1"/>
  <c r="G19" i="2" s="1"/>
  <c r="E7" i="2"/>
  <c r="F7" i="2" s="1"/>
  <c r="G7" i="2" s="1"/>
  <c r="E23" i="2"/>
  <c r="F23" i="2" s="1"/>
  <c r="G23" i="2" s="1"/>
  <c r="E11" i="2"/>
  <c r="F11" i="2" s="1"/>
  <c r="G11" i="2" s="1"/>
  <c r="E15" i="2"/>
  <c r="F15" i="2" s="1"/>
  <c r="G15" i="2" s="1"/>
  <c r="E4" i="2"/>
  <c r="F4" i="2" s="1"/>
  <c r="E8" i="2"/>
  <c r="F8" i="2" s="1"/>
  <c r="G8" i="2" s="1"/>
  <c r="E12" i="2"/>
  <c r="F12" i="2" s="1"/>
  <c r="G12" i="2" s="1"/>
  <c r="E16" i="2"/>
  <c r="F16" i="2" s="1"/>
  <c r="G16" i="2" s="1"/>
  <c r="E20" i="2"/>
  <c r="F20" i="2" s="1"/>
  <c r="G20" i="2" s="1"/>
  <c r="E24" i="2"/>
  <c r="F24" i="2" s="1"/>
  <c r="G24" i="2" s="1"/>
  <c r="E5" i="2"/>
  <c r="F5" i="2" s="1"/>
  <c r="G5" i="2" s="1"/>
  <c r="E9" i="2"/>
  <c r="F9" i="2" s="1"/>
  <c r="G9" i="2" s="1"/>
  <c r="E13" i="2"/>
  <c r="F13" i="2" s="1"/>
  <c r="G13" i="2" s="1"/>
  <c r="E17" i="2"/>
  <c r="F17" i="2" s="1"/>
  <c r="G17" i="2" s="1"/>
  <c r="E21" i="2"/>
  <c r="F21" i="2" s="1"/>
  <c r="G21" i="2" s="1"/>
  <c r="E6" i="2"/>
  <c r="F6" i="2" s="1"/>
  <c r="G6" i="2" s="1"/>
  <c r="E10" i="2"/>
  <c r="F10" i="2" s="1"/>
  <c r="G10" i="2" s="1"/>
  <c r="E14" i="2"/>
  <c r="F14" i="2" s="1"/>
  <c r="G14" i="2" s="1"/>
  <c r="E18" i="2"/>
  <c r="F18" i="2" s="1"/>
  <c r="G18" i="2" s="1"/>
  <c r="E22" i="2"/>
  <c r="F22" i="2" s="1"/>
  <c r="G22" i="2" s="1"/>
  <c r="C29" i="26"/>
  <c r="K3" i="26"/>
  <c r="K2" i="26"/>
  <c r="D26" i="26" s="1"/>
  <c r="E26" i="26" s="1"/>
  <c r="F26" i="26" s="1"/>
  <c r="G26" i="26" s="1"/>
  <c r="D7" i="26" l="1"/>
  <c r="E7" i="26" s="1"/>
  <c r="F7" i="26" s="1"/>
  <c r="G7" i="26" s="1"/>
  <c r="D15" i="26"/>
  <c r="E15" i="26" s="1"/>
  <c r="F15" i="26" s="1"/>
  <c r="G15" i="26" s="1"/>
  <c r="D23" i="26"/>
  <c r="E23" i="26" s="1"/>
  <c r="F23" i="26" s="1"/>
  <c r="G23" i="26" s="1"/>
  <c r="D4" i="26"/>
  <c r="E4" i="26" s="1"/>
  <c r="F4" i="26" s="1"/>
  <c r="D12" i="26"/>
  <c r="E12" i="26" s="1"/>
  <c r="F12" i="26" s="1"/>
  <c r="G12" i="26" s="1"/>
  <c r="D24" i="26"/>
  <c r="E24" i="26" s="1"/>
  <c r="F24" i="26" s="1"/>
  <c r="G24" i="26" s="1"/>
  <c r="D11" i="26"/>
  <c r="E11" i="26" s="1"/>
  <c r="F11" i="26" s="1"/>
  <c r="G11" i="26" s="1"/>
  <c r="D19" i="26"/>
  <c r="E19" i="26" s="1"/>
  <c r="F19" i="26" s="1"/>
  <c r="G19" i="26" s="1"/>
  <c r="D27" i="26"/>
  <c r="E27" i="26" s="1"/>
  <c r="F27" i="26" s="1"/>
  <c r="G27" i="26" s="1"/>
  <c r="D8" i="26"/>
  <c r="E8" i="26" s="1"/>
  <c r="F8" i="26" s="1"/>
  <c r="G8" i="26" s="1"/>
  <c r="D16" i="26"/>
  <c r="E16" i="26" s="1"/>
  <c r="F16" i="26" s="1"/>
  <c r="G16" i="26" s="1"/>
  <c r="D20" i="26"/>
  <c r="E20" i="26" s="1"/>
  <c r="F20" i="26" s="1"/>
  <c r="G20" i="26" s="1"/>
  <c r="D5" i="26"/>
  <c r="E5" i="26" s="1"/>
  <c r="F5" i="26" s="1"/>
  <c r="G5" i="26" s="1"/>
  <c r="D9" i="26"/>
  <c r="E9" i="26" s="1"/>
  <c r="F9" i="26" s="1"/>
  <c r="G9" i="26" s="1"/>
  <c r="D13" i="26"/>
  <c r="E13" i="26" s="1"/>
  <c r="F13" i="26" s="1"/>
  <c r="G13" i="26" s="1"/>
  <c r="D17" i="26"/>
  <c r="E17" i="26" s="1"/>
  <c r="F17" i="26" s="1"/>
  <c r="G17" i="26" s="1"/>
  <c r="D21" i="26"/>
  <c r="E21" i="26" s="1"/>
  <c r="F21" i="26" s="1"/>
  <c r="G21" i="26" s="1"/>
  <c r="D25" i="26"/>
  <c r="E25" i="26" s="1"/>
  <c r="F25" i="26" s="1"/>
  <c r="G25" i="26" s="1"/>
  <c r="D6" i="26"/>
  <c r="E6" i="26" s="1"/>
  <c r="F6" i="26" s="1"/>
  <c r="G6" i="26" s="1"/>
  <c r="D10" i="26"/>
  <c r="E10" i="26" s="1"/>
  <c r="F10" i="26" s="1"/>
  <c r="G10" i="26" s="1"/>
  <c r="D14" i="26"/>
  <c r="E14" i="26" s="1"/>
  <c r="F14" i="26" s="1"/>
  <c r="G14" i="26" s="1"/>
  <c r="D18" i="26"/>
  <c r="E18" i="26" s="1"/>
  <c r="F18" i="26" s="1"/>
  <c r="G18" i="26" s="1"/>
  <c r="D22" i="26"/>
  <c r="E22" i="26" s="1"/>
  <c r="F22" i="26" s="1"/>
  <c r="G22" i="26" s="1"/>
  <c r="F28" i="2"/>
  <c r="G4" i="2"/>
  <c r="F29" i="26" l="1"/>
  <c r="G29" i="26" s="1"/>
  <c r="G4" i="26"/>
  <c r="P8" i="21"/>
  <c r="E18" i="21"/>
  <c r="P13" i="21" l="1"/>
  <c r="Q8" i="21"/>
  <c r="P8" i="20"/>
  <c r="C28" i="2" l="1"/>
  <c r="G28" i="2" s="1"/>
  <c r="J22" i="22" l="1"/>
  <c r="I22" i="22"/>
  <c r="P10" i="21" l="1"/>
  <c r="Q10" i="21" s="1"/>
  <c r="P9" i="21"/>
  <c r="Q9" i="21" s="1"/>
  <c r="P19" i="21"/>
  <c r="N7" i="20"/>
  <c r="N17" i="20" s="1"/>
  <c r="N7" i="21"/>
  <c r="N18" i="21" s="1"/>
  <c r="N14" i="21"/>
  <c r="N13" i="21"/>
  <c r="N15" i="21"/>
  <c r="J14" i="21"/>
  <c r="K15" i="21"/>
  <c r="J15" i="21"/>
  <c r="P20" i="21" l="1"/>
  <c r="P21" i="21"/>
  <c r="E13" i="20"/>
  <c r="N13" i="20"/>
  <c r="P10" i="20"/>
  <c r="P9" i="20"/>
  <c r="P7" i="20"/>
  <c r="N15" i="20" l="1"/>
  <c r="N14" i="20"/>
  <c r="N10" i="20"/>
  <c r="N20" i="20" s="1"/>
  <c r="N9" i="20"/>
  <c r="N8" i="20"/>
  <c r="I18" i="21" l="1"/>
  <c r="E13" i="21"/>
  <c r="S27" i="22" l="1"/>
  <c r="R27" i="22"/>
  <c r="Q27" i="22"/>
  <c r="P27" i="22"/>
  <c r="O27" i="22"/>
  <c r="N27" i="22"/>
  <c r="S26" i="22"/>
  <c r="R26" i="22"/>
  <c r="Q26" i="22"/>
  <c r="P26" i="22"/>
  <c r="O26" i="22"/>
  <c r="N26" i="22"/>
  <c r="M26" i="22"/>
  <c r="S25" i="22"/>
  <c r="R25" i="22"/>
  <c r="Q25" i="22"/>
  <c r="P25" i="22"/>
  <c r="O25" i="22"/>
  <c r="N25" i="22"/>
  <c r="M25" i="22"/>
  <c r="L25" i="22"/>
  <c r="S24" i="22"/>
  <c r="R24" i="22"/>
  <c r="Q24" i="22"/>
  <c r="P24" i="22"/>
  <c r="O24" i="22"/>
  <c r="N24" i="22"/>
  <c r="M24" i="22"/>
  <c r="L24" i="22"/>
  <c r="K24" i="22"/>
  <c r="S23" i="22"/>
  <c r="R23" i="22"/>
  <c r="Q23" i="22"/>
  <c r="P23" i="22"/>
  <c r="O23" i="22"/>
  <c r="N23" i="22"/>
  <c r="M23" i="22"/>
  <c r="L23" i="22"/>
  <c r="K23" i="22"/>
  <c r="J23" i="22"/>
  <c r="S22" i="22"/>
  <c r="R22" i="22"/>
  <c r="Q22" i="22"/>
  <c r="P22" i="22"/>
  <c r="O22" i="22"/>
  <c r="N22" i="22"/>
  <c r="M22" i="22"/>
  <c r="L22" i="22"/>
  <c r="K22" i="22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7" i="4"/>
  <c r="E17" i="4"/>
  <c r="F17" i="4"/>
  <c r="G17" i="4"/>
  <c r="H17" i="4"/>
  <c r="I17" i="4"/>
  <c r="J17" i="4"/>
  <c r="K17" i="4"/>
  <c r="L17" i="4"/>
  <c r="M17" i="4"/>
  <c r="N17" i="4"/>
  <c r="O17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0" i="4"/>
  <c r="E20" i="4"/>
  <c r="F20" i="4"/>
  <c r="G20" i="4"/>
  <c r="H20" i="4"/>
  <c r="I20" i="4"/>
  <c r="J20" i="4"/>
  <c r="K20" i="4"/>
  <c r="L20" i="4"/>
  <c r="M20" i="4"/>
  <c r="N20" i="4"/>
  <c r="O20" i="4"/>
  <c r="Q5" i="4"/>
  <c r="H18" i="21"/>
  <c r="L21" i="21"/>
  <c r="K21" i="21"/>
  <c r="J21" i="21"/>
  <c r="I21" i="21"/>
  <c r="H21" i="21"/>
  <c r="G21" i="21"/>
  <c r="K20" i="21"/>
  <c r="J20" i="21"/>
  <c r="I20" i="21"/>
  <c r="H20" i="21"/>
  <c r="G20" i="21"/>
  <c r="F20" i="21"/>
  <c r="J19" i="21"/>
  <c r="I19" i="21"/>
  <c r="H19" i="21"/>
  <c r="G19" i="21"/>
  <c r="F19" i="21"/>
  <c r="E19" i="21"/>
  <c r="G18" i="21"/>
  <c r="F18" i="21"/>
  <c r="D18" i="21"/>
  <c r="I15" i="21"/>
  <c r="H15" i="21"/>
  <c r="G15" i="21"/>
  <c r="I14" i="21"/>
  <c r="H14" i="21"/>
  <c r="G14" i="21"/>
  <c r="F14" i="21"/>
  <c r="I13" i="21"/>
  <c r="H13" i="21"/>
  <c r="G13" i="21"/>
  <c r="F13" i="21"/>
  <c r="N10" i="21"/>
  <c r="N21" i="21" s="1"/>
  <c r="N9" i="21"/>
  <c r="N20" i="21" s="1"/>
  <c r="N8" i="21"/>
  <c r="N19" i="21" s="1"/>
  <c r="L20" i="20"/>
  <c r="K20" i="20"/>
  <c r="J20" i="20"/>
  <c r="I20" i="20"/>
  <c r="H20" i="20"/>
  <c r="G20" i="20"/>
  <c r="K19" i="20"/>
  <c r="J19" i="20"/>
  <c r="I19" i="20"/>
  <c r="H19" i="20"/>
  <c r="G19" i="20"/>
  <c r="F19" i="20"/>
  <c r="J18" i="20"/>
  <c r="I18" i="20"/>
  <c r="H18" i="20"/>
  <c r="G18" i="20"/>
  <c r="F18" i="20"/>
  <c r="E18" i="20"/>
  <c r="I17" i="20"/>
  <c r="H17" i="20"/>
  <c r="G17" i="20"/>
  <c r="F17" i="20"/>
  <c r="E17" i="20"/>
  <c r="D17" i="20"/>
  <c r="K15" i="20"/>
  <c r="J15" i="20"/>
  <c r="I15" i="20"/>
  <c r="G15" i="20"/>
  <c r="J14" i="20"/>
  <c r="I14" i="20"/>
  <c r="H14" i="20"/>
  <c r="G14" i="20"/>
  <c r="F14" i="20"/>
  <c r="H13" i="20"/>
  <c r="G13" i="20"/>
  <c r="F13" i="20"/>
  <c r="N18" i="20"/>
  <c r="N19" i="20" l="1"/>
  <c r="P15" i="21"/>
  <c r="P14" i="21"/>
  <c r="L6" i="9" l="1"/>
  <c r="N6" i="9" s="1"/>
  <c r="L7" i="9"/>
  <c r="N7" i="9" s="1"/>
  <c r="Q7" i="9" s="1"/>
  <c r="R7" i="9" s="1"/>
  <c r="L8" i="9"/>
  <c r="N8" i="9" s="1"/>
  <c r="L9" i="9"/>
  <c r="N9" i="9" s="1"/>
  <c r="Q9" i="9" s="1"/>
  <c r="R9" i="9" s="1"/>
  <c r="L10" i="9"/>
  <c r="N10" i="9"/>
  <c r="O10" i="9" s="1"/>
  <c r="P10" i="9" s="1"/>
  <c r="L11" i="9"/>
  <c r="N11" i="9" s="1"/>
  <c r="O11" i="9" s="1"/>
  <c r="P11" i="9" s="1"/>
  <c r="L12" i="9"/>
  <c r="N12" i="9" s="1"/>
  <c r="L13" i="9"/>
  <c r="N13" i="9" s="1"/>
  <c r="O13" i="9" s="1"/>
  <c r="P13" i="9" s="1"/>
  <c r="L14" i="9"/>
  <c r="N14" i="9"/>
  <c r="Q14" i="9" s="1"/>
  <c r="R14" i="9" s="1"/>
  <c r="L15" i="9"/>
  <c r="N15" i="9" s="1"/>
  <c r="O15" i="9" s="1"/>
  <c r="P15" i="9" s="1"/>
  <c r="L16" i="9"/>
  <c r="N16" i="9" s="1"/>
  <c r="L17" i="9"/>
  <c r="N17" i="9" s="1"/>
  <c r="Q17" i="9" s="1"/>
  <c r="R17" i="9" s="1"/>
  <c r="L18" i="9"/>
  <c r="N18" i="9" s="1"/>
  <c r="L19" i="9"/>
  <c r="N19" i="9" s="1"/>
  <c r="O19" i="9" s="1"/>
  <c r="P19" i="9" s="1"/>
  <c r="L20" i="9"/>
  <c r="N20" i="9" s="1"/>
  <c r="L21" i="9"/>
  <c r="N21" i="9" s="1"/>
  <c r="Q21" i="9" s="1"/>
  <c r="R21" i="9" s="1"/>
  <c r="L22" i="9"/>
  <c r="N22" i="9" s="1"/>
  <c r="L23" i="9"/>
  <c r="N23" i="9" s="1"/>
  <c r="Q23" i="9" s="1"/>
  <c r="R23" i="9" s="1"/>
  <c r="L24" i="9"/>
  <c r="N24" i="9" s="1"/>
  <c r="L25" i="9"/>
  <c r="N25" i="9" s="1"/>
  <c r="Q25" i="9" s="1"/>
  <c r="L26" i="9"/>
  <c r="N26" i="9"/>
  <c r="Q26" i="9" s="1"/>
  <c r="R26" i="9" s="1"/>
  <c r="L27" i="9"/>
  <c r="N27" i="9" s="1"/>
  <c r="Q27" i="9" s="1"/>
  <c r="R27" i="9" s="1"/>
  <c r="L28" i="9"/>
  <c r="N28" i="9" s="1"/>
  <c r="M30" i="9"/>
  <c r="F6" i="9"/>
  <c r="F7" i="9"/>
  <c r="I7" i="9" s="1"/>
  <c r="J7" i="9" s="1"/>
  <c r="F8" i="9"/>
  <c r="F9" i="9"/>
  <c r="F10" i="9"/>
  <c r="I10" i="9" s="1"/>
  <c r="J10" i="9" s="1"/>
  <c r="F11" i="9"/>
  <c r="G11" i="9" s="1"/>
  <c r="H11" i="9" s="1"/>
  <c r="F12" i="9"/>
  <c r="F13" i="9"/>
  <c r="F14" i="9"/>
  <c r="I14" i="9" s="1"/>
  <c r="J14" i="9" s="1"/>
  <c r="F15" i="9"/>
  <c r="I15" i="9" s="1"/>
  <c r="J15" i="9" s="1"/>
  <c r="F16" i="9"/>
  <c r="F17" i="9"/>
  <c r="G17" i="9" s="1"/>
  <c r="H17" i="9" s="1"/>
  <c r="F18" i="9"/>
  <c r="I18" i="9" s="1"/>
  <c r="J18" i="9" s="1"/>
  <c r="F19" i="9"/>
  <c r="I19" i="9" s="1"/>
  <c r="J19" i="9" s="1"/>
  <c r="F20" i="9"/>
  <c r="F21" i="9"/>
  <c r="I21" i="9" s="1"/>
  <c r="F22" i="9"/>
  <c r="I22" i="9" s="1"/>
  <c r="J22" i="9" s="1"/>
  <c r="F23" i="9"/>
  <c r="I23" i="9" s="1"/>
  <c r="F24" i="9"/>
  <c r="F25" i="9"/>
  <c r="I25" i="9" s="1"/>
  <c r="F26" i="9"/>
  <c r="I26" i="9" s="1"/>
  <c r="J26" i="9" s="1"/>
  <c r="F27" i="9"/>
  <c r="I27" i="9" s="1"/>
  <c r="J27" i="9" s="1"/>
  <c r="F28" i="9"/>
  <c r="E30" i="9"/>
  <c r="I28" i="9"/>
  <c r="J28" i="9" s="1"/>
  <c r="G28" i="9"/>
  <c r="H28" i="9" s="1"/>
  <c r="R25" i="9"/>
  <c r="J25" i="9"/>
  <c r="I24" i="9"/>
  <c r="J24" i="9" s="1"/>
  <c r="G24" i="9"/>
  <c r="H24" i="9" s="1"/>
  <c r="O23" i="9"/>
  <c r="P23" i="9" s="1"/>
  <c r="J23" i="9"/>
  <c r="O21" i="9"/>
  <c r="P21" i="9" s="1"/>
  <c r="J21" i="9"/>
  <c r="I20" i="9"/>
  <c r="J20" i="9" s="1"/>
  <c r="G20" i="9"/>
  <c r="H20" i="9" s="1"/>
  <c r="G19" i="9"/>
  <c r="H19" i="9" s="1"/>
  <c r="I17" i="9"/>
  <c r="J17" i="9" s="1"/>
  <c r="I16" i="9"/>
  <c r="J16" i="9" s="1"/>
  <c r="G16" i="9"/>
  <c r="H16" i="9" s="1"/>
  <c r="G15" i="9"/>
  <c r="H15" i="9" s="1"/>
  <c r="Q13" i="9"/>
  <c r="R13" i="9"/>
  <c r="I13" i="9"/>
  <c r="J13" i="9" s="1"/>
  <c r="G13" i="9"/>
  <c r="H13" i="9"/>
  <c r="I12" i="9"/>
  <c r="J12" i="9" s="1"/>
  <c r="G12" i="9"/>
  <c r="H12" i="9" s="1"/>
  <c r="Q11" i="9"/>
  <c r="R11" i="9" s="1"/>
  <c r="I11" i="9"/>
  <c r="J11" i="9" s="1"/>
  <c r="Q10" i="9"/>
  <c r="R10" i="9" s="1"/>
  <c r="I9" i="9"/>
  <c r="J9" i="9"/>
  <c r="G9" i="9"/>
  <c r="H9" i="9" s="1"/>
  <c r="I8" i="9"/>
  <c r="J8" i="9" s="1"/>
  <c r="G8" i="9"/>
  <c r="H8" i="9" s="1"/>
  <c r="O7" i="9"/>
  <c r="P7" i="9" s="1"/>
  <c r="G7" i="9"/>
  <c r="H7" i="9" s="1"/>
  <c r="F9" i="8"/>
  <c r="I9" i="8"/>
  <c r="J9" i="8" s="1"/>
  <c r="F10" i="8"/>
  <c r="I10" i="8" s="1"/>
  <c r="J10" i="8" s="1"/>
  <c r="F11" i="8"/>
  <c r="I11" i="8" s="1"/>
  <c r="J11" i="8" s="1"/>
  <c r="F12" i="8"/>
  <c r="G12" i="8" s="1"/>
  <c r="H12" i="8" s="1"/>
  <c r="F13" i="8"/>
  <c r="I13" i="8" s="1"/>
  <c r="J13" i="8" s="1"/>
  <c r="F14" i="8"/>
  <c r="I14" i="8" s="1"/>
  <c r="J14" i="8" s="1"/>
  <c r="F15" i="8"/>
  <c r="I15" i="8"/>
  <c r="J15" i="8" s="1"/>
  <c r="F16" i="8"/>
  <c r="G16" i="8" s="1"/>
  <c r="H16" i="8" s="1"/>
  <c r="F17" i="8"/>
  <c r="I17" i="8"/>
  <c r="J17" i="8" s="1"/>
  <c r="F18" i="8"/>
  <c r="I18" i="8" s="1"/>
  <c r="J18" i="8" s="1"/>
  <c r="F19" i="8"/>
  <c r="I19" i="8" s="1"/>
  <c r="J19" i="8" s="1"/>
  <c r="F20" i="8"/>
  <c r="G20" i="8" s="1"/>
  <c r="H20" i="8" s="1"/>
  <c r="F21" i="8"/>
  <c r="I21" i="8" s="1"/>
  <c r="J21" i="8" s="1"/>
  <c r="F22" i="8"/>
  <c r="I22" i="8" s="1"/>
  <c r="J22" i="8" s="1"/>
  <c r="F23" i="8"/>
  <c r="I23" i="8"/>
  <c r="J23" i="8" s="1"/>
  <c r="F24" i="8"/>
  <c r="G24" i="8" s="1"/>
  <c r="H24" i="8" s="1"/>
  <c r="F25" i="8"/>
  <c r="I25" i="8"/>
  <c r="J25" i="8" s="1"/>
  <c r="F26" i="8"/>
  <c r="I26" i="8" s="1"/>
  <c r="J26" i="8" s="1"/>
  <c r="F27" i="8"/>
  <c r="I27" i="8" s="1"/>
  <c r="J27" i="8" s="1"/>
  <c r="F28" i="8"/>
  <c r="G28" i="8" s="1"/>
  <c r="H28" i="8" s="1"/>
  <c r="F29" i="8"/>
  <c r="I29" i="8" s="1"/>
  <c r="J29" i="8" s="1"/>
  <c r="F30" i="8"/>
  <c r="I30" i="8" s="1"/>
  <c r="J30" i="8" s="1"/>
  <c r="F31" i="8"/>
  <c r="I31" i="8"/>
  <c r="J31" i="8" s="1"/>
  <c r="F32" i="8"/>
  <c r="G32" i="8" s="1"/>
  <c r="H32" i="8" s="1"/>
  <c r="F33" i="8"/>
  <c r="I33" i="8"/>
  <c r="J33" i="8" s="1"/>
  <c r="D34" i="8"/>
  <c r="F34" i="8" s="1"/>
  <c r="F35" i="8"/>
  <c r="I35" i="8" s="1"/>
  <c r="J35" i="8" s="1"/>
  <c r="F36" i="8"/>
  <c r="I36" i="8"/>
  <c r="J36" i="8" s="1"/>
  <c r="F37" i="8"/>
  <c r="I37" i="8" s="1"/>
  <c r="J37" i="8" s="1"/>
  <c r="F38" i="8"/>
  <c r="I38" i="8" s="1"/>
  <c r="J38" i="8" s="1"/>
  <c r="F39" i="8"/>
  <c r="I39" i="8" s="1"/>
  <c r="J39" i="8" s="1"/>
  <c r="F40" i="8"/>
  <c r="I40" i="8" s="1"/>
  <c r="J40" i="8" s="1"/>
  <c r="F41" i="8"/>
  <c r="I41" i="8" s="1"/>
  <c r="J41" i="8" s="1"/>
  <c r="G9" i="8"/>
  <c r="H9" i="8" s="1"/>
  <c r="G10" i="8"/>
  <c r="H10" i="8" s="1"/>
  <c r="G11" i="8"/>
  <c r="H11" i="8" s="1"/>
  <c r="G14" i="8"/>
  <c r="H14" i="8" s="1"/>
  <c r="G15" i="8"/>
  <c r="H15" i="8" s="1"/>
  <c r="G17" i="8"/>
  <c r="H17" i="8" s="1"/>
  <c r="G19" i="8"/>
  <c r="H19" i="8" s="1"/>
  <c r="G21" i="8"/>
  <c r="H21" i="8" s="1"/>
  <c r="G22" i="8"/>
  <c r="H22" i="8" s="1"/>
  <c r="G23" i="8"/>
  <c r="H23" i="8" s="1"/>
  <c r="G25" i="8"/>
  <c r="H25" i="8" s="1"/>
  <c r="G26" i="8"/>
  <c r="H26" i="8" s="1"/>
  <c r="G27" i="8"/>
  <c r="H27" i="8" s="1"/>
  <c r="G30" i="8"/>
  <c r="H30" i="8" s="1"/>
  <c r="G31" i="8"/>
  <c r="H31" i="8" s="1"/>
  <c r="G33" i="8"/>
  <c r="H33" i="8" s="1"/>
  <c r="G35" i="8"/>
  <c r="H35" i="8" s="1"/>
  <c r="G36" i="8"/>
  <c r="H36" i="8" s="1"/>
  <c r="G37" i="8"/>
  <c r="H37" i="8" s="1"/>
  <c r="G38" i="8"/>
  <c r="H38" i="8" s="1"/>
  <c r="G41" i="8"/>
  <c r="H41" i="8" s="1"/>
  <c r="C43" i="8"/>
  <c r="Q11" i="4"/>
  <c r="Q20" i="4" s="1"/>
  <c r="Q10" i="4"/>
  <c r="Q19" i="4" s="1"/>
  <c r="Q9" i="4"/>
  <c r="Q18" i="4" s="1"/>
  <c r="Q8" i="4"/>
  <c r="Q17" i="4" s="1"/>
  <c r="Q7" i="4"/>
  <c r="Q16" i="4" s="1"/>
  <c r="Q6" i="4"/>
  <c r="Q15" i="4" s="1"/>
  <c r="F30" i="9" l="1"/>
  <c r="Q15" i="9"/>
  <c r="R15" i="9" s="1"/>
  <c r="Q19" i="9"/>
  <c r="R19" i="9" s="1"/>
  <c r="G39" i="8"/>
  <c r="H39" i="8" s="1"/>
  <c r="G29" i="8"/>
  <c r="H29" i="8" s="1"/>
  <c r="G18" i="8"/>
  <c r="H18" i="8" s="1"/>
  <c r="G13" i="8"/>
  <c r="H13" i="8" s="1"/>
  <c r="G40" i="8"/>
  <c r="H40" i="8" s="1"/>
  <c r="D43" i="8"/>
  <c r="Q22" i="9"/>
  <c r="R22" i="9" s="1"/>
  <c r="O22" i="9"/>
  <c r="P22" i="9" s="1"/>
  <c r="O18" i="9"/>
  <c r="P18" i="9" s="1"/>
  <c r="Q18" i="9"/>
  <c r="R18" i="9" s="1"/>
  <c r="G30" i="9"/>
  <c r="H30" i="9" s="1"/>
  <c r="G6" i="9"/>
  <c r="H6" i="9" s="1"/>
  <c r="I6" i="9"/>
  <c r="J6" i="9" s="1"/>
  <c r="G23" i="9"/>
  <c r="H23" i="9" s="1"/>
  <c r="G25" i="9"/>
  <c r="H25" i="9" s="1"/>
  <c r="G27" i="9"/>
  <c r="H27" i="9" s="1"/>
  <c r="G34" i="8"/>
  <c r="H34" i="8" s="1"/>
  <c r="H45" i="8" s="1"/>
  <c r="I34" i="8"/>
  <c r="J34" i="8" s="1"/>
  <c r="Q24" i="9"/>
  <c r="R24" i="9" s="1"/>
  <c r="O24" i="9"/>
  <c r="P24" i="9" s="1"/>
  <c r="Q8" i="9"/>
  <c r="R8" i="9" s="1"/>
  <c r="O8" i="9"/>
  <c r="P8" i="9" s="1"/>
  <c r="Q20" i="9"/>
  <c r="R20" i="9" s="1"/>
  <c r="O20" i="9"/>
  <c r="P20" i="9" s="1"/>
  <c r="Q16" i="9"/>
  <c r="R16" i="9" s="1"/>
  <c r="O16" i="9"/>
  <c r="P16" i="9" s="1"/>
  <c r="N30" i="9"/>
  <c r="I30" i="9"/>
  <c r="J30" i="9" s="1"/>
  <c r="Q28" i="9"/>
  <c r="R28" i="9" s="1"/>
  <c r="O28" i="9"/>
  <c r="P28" i="9" s="1"/>
  <c r="Q12" i="9"/>
  <c r="R12" i="9" s="1"/>
  <c r="O12" i="9"/>
  <c r="P12" i="9" s="1"/>
  <c r="I32" i="8"/>
  <c r="J32" i="8" s="1"/>
  <c r="I28" i="8"/>
  <c r="J28" i="8" s="1"/>
  <c r="I24" i="8"/>
  <c r="J24" i="8" s="1"/>
  <c r="I20" i="8"/>
  <c r="J20" i="8" s="1"/>
  <c r="I16" i="8"/>
  <c r="J16" i="8" s="1"/>
  <c r="I12" i="8"/>
  <c r="J12" i="8" s="1"/>
  <c r="O6" i="9"/>
  <c r="P6" i="9" s="1"/>
  <c r="O9" i="9"/>
  <c r="P9" i="9" s="1"/>
  <c r="G10" i="9"/>
  <c r="H10" i="9" s="1"/>
  <c r="G14" i="9"/>
  <c r="H14" i="9" s="1"/>
  <c r="O14" i="9"/>
  <c r="P14" i="9" s="1"/>
  <c r="O17" i="9"/>
  <c r="P17" i="9" s="1"/>
  <c r="G18" i="9"/>
  <c r="H18" i="9" s="1"/>
  <c r="G21" i="9"/>
  <c r="H21" i="9" s="1"/>
  <c r="O25" i="9"/>
  <c r="P25" i="9" s="1"/>
  <c r="O27" i="9"/>
  <c r="P27" i="9" s="1"/>
  <c r="F43" i="8"/>
  <c r="G43" i="8" s="1"/>
  <c r="Q6" i="9"/>
  <c r="R6" i="9" s="1"/>
  <c r="G22" i="9"/>
  <c r="H22" i="9" s="1"/>
  <c r="O26" i="9"/>
  <c r="P26" i="9" s="1"/>
  <c r="G26" i="9"/>
  <c r="H26" i="9" s="1"/>
  <c r="L30" i="9"/>
  <c r="J45" i="8" l="1"/>
  <c r="I43" i="8"/>
  <c r="J43" i="8" s="1"/>
  <c r="H43" i="8"/>
  <c r="O30" i="9"/>
  <c r="P30" i="9" s="1"/>
  <c r="Q30" i="9"/>
  <c r="R30" i="9" s="1"/>
</calcChain>
</file>

<file path=xl/sharedStrings.xml><?xml version="1.0" encoding="utf-8"?>
<sst xmlns="http://schemas.openxmlformats.org/spreadsheetml/2006/main" count="448" uniqueCount="139">
  <si>
    <t>Month</t>
  </si>
  <si>
    <t>Actual</t>
  </si>
  <si>
    <t>SFC</t>
  </si>
  <si>
    <t>Error</t>
  </si>
  <si>
    <t>Abs Error</t>
  </si>
  <si>
    <t>%MAPE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</si>
  <si>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</si>
  <si>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</si>
  <si>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</si>
  <si>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</si>
  <si>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</si>
  <si>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</si>
  <si>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</si>
  <si>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</si>
  <si>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</si>
  <si>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</si>
  <si>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</si>
  <si>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</si>
  <si>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</si>
  <si>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Period</t>
  </si>
  <si>
    <t>Regression Analysis</t>
  </si>
  <si>
    <t>Y = a+bX</t>
  </si>
  <si>
    <t>Q1</t>
  </si>
  <si>
    <t>Q2</t>
  </si>
  <si>
    <t>Q3</t>
  </si>
  <si>
    <t>Q4</t>
  </si>
  <si>
    <t>Y1</t>
  </si>
  <si>
    <t>Y2</t>
  </si>
  <si>
    <t>Y3</t>
  </si>
  <si>
    <t>Variance %</t>
  </si>
  <si>
    <t>SFC Upload</t>
  </si>
  <si>
    <t>Season</t>
  </si>
  <si>
    <t xml:space="preserve">Actual </t>
  </si>
  <si>
    <t>vs. Budget</t>
  </si>
  <si>
    <t>Frozen</t>
  </si>
  <si>
    <t>Slushy</t>
  </si>
  <si>
    <t>Liquid</t>
  </si>
  <si>
    <t>Exponential Smoothing</t>
  </si>
  <si>
    <t>No Changes</t>
  </si>
  <si>
    <t>+/-25%</t>
  </si>
  <si>
    <t>Product</t>
  </si>
  <si>
    <t>Sales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</si>
  <si>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</si>
  <si>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</si>
  <si>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</si>
  <si>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</si>
  <si>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</si>
  <si>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</si>
  <si>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</si>
  <si>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</si>
  <si>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</si>
  <si>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</si>
  <si>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</si>
  <si>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</si>
  <si>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</si>
  <si>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</si>
  <si>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</si>
  <si>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</si>
  <si>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</si>
  <si>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</si>
  <si>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</si>
  <si>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</si>
  <si>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</si>
  <si>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</si>
  <si>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</si>
  <si>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</si>
  <si>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</si>
  <si>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X29</t>
  </si>
  <si>
    <t>X30</t>
  </si>
  <si>
    <t>X31</t>
  </si>
  <si>
    <t>X32</t>
  </si>
  <si>
    <t>X33</t>
  </si>
  <si>
    <t>Total</t>
  </si>
  <si>
    <t>&lt;70% or &gt;130%</t>
  </si>
  <si>
    <t>70%-85% or 115%-130%</t>
  </si>
  <si>
    <t>85%-115%</t>
  </si>
  <si>
    <t>Acc%</t>
  </si>
  <si>
    <t>MAPE</t>
  </si>
  <si>
    <t>&lt;75%</t>
  </si>
  <si>
    <t>75%-90%</t>
  </si>
  <si>
    <t>90%-100%</t>
  </si>
  <si>
    <t>Abs-Error</t>
  </si>
  <si>
    <t>Error %</t>
  </si>
  <si>
    <t>Average MAPE</t>
  </si>
  <si>
    <t>Sales Forecast Accuracy Measurment</t>
  </si>
  <si>
    <t>Denominator</t>
  </si>
  <si>
    <t xml:space="preserve">SFC </t>
  </si>
  <si>
    <t>X34</t>
  </si>
  <si>
    <t>X35</t>
  </si>
  <si>
    <t>X39</t>
  </si>
  <si>
    <t>Denominator effect on MAPE calculation</t>
  </si>
  <si>
    <t>Constant</t>
  </si>
  <si>
    <t>Sharp Change</t>
  </si>
  <si>
    <t>Negligible</t>
  </si>
  <si>
    <t>0%-62%</t>
  </si>
  <si>
    <t>48%-40%</t>
  </si>
  <si>
    <t>X</t>
  </si>
  <si>
    <t>Y</t>
  </si>
  <si>
    <t xml:space="preserve"> TOTAL</t>
  </si>
  <si>
    <t xml:space="preserve">Variance% </t>
  </si>
  <si>
    <t>SFC Version</t>
  </si>
  <si>
    <t>Time Fence</t>
  </si>
  <si>
    <t>SFC &gt; Sales</t>
  </si>
  <si>
    <t>SFC &lt; Sales</t>
  </si>
  <si>
    <t>Indep Var</t>
  </si>
  <si>
    <t>Dep Var</t>
  </si>
  <si>
    <t>a</t>
  </si>
  <si>
    <t>b</t>
  </si>
  <si>
    <t xml:space="preserve">Slope </t>
  </si>
  <si>
    <t xml:space="preserve">Intercept </t>
  </si>
  <si>
    <t>Q1 Review</t>
  </si>
  <si>
    <t>Q2 Review</t>
  </si>
  <si>
    <t>Q3 Review</t>
  </si>
  <si>
    <t>Q4 Review</t>
  </si>
  <si>
    <t>N/A</t>
  </si>
  <si>
    <t>Cycle</t>
  </si>
  <si>
    <t>NA</t>
  </si>
  <si>
    <t>3rd ver (Mar)</t>
  </si>
  <si>
    <t>1st ver (Jan)</t>
  </si>
  <si>
    <t>2nd ver (Feb)</t>
  </si>
  <si>
    <t>4th ver (Apr)</t>
  </si>
  <si>
    <t>5th ver (May)</t>
  </si>
  <si>
    <t>6th ver (Jun)</t>
  </si>
  <si>
    <t>7th ver (Jul)</t>
  </si>
  <si>
    <t>D</t>
  </si>
  <si>
    <t>Simple</t>
  </si>
  <si>
    <t>Sales Forecast Accuracy Measure</t>
  </si>
  <si>
    <t>Forecast</t>
  </si>
  <si>
    <t>F</t>
  </si>
  <si>
    <t>ALPHA (α)</t>
  </si>
  <si>
    <r>
      <t xml:space="preserve">Rolling Sales Forecast- </t>
    </r>
    <r>
      <rPr>
        <b/>
        <sz val="20"/>
        <rFont val="Calibri"/>
        <family val="2"/>
        <scheme val="minor"/>
      </rPr>
      <t>SEASONAL</t>
    </r>
    <r>
      <rPr>
        <b/>
        <sz val="20"/>
        <color theme="0"/>
        <rFont val="Calibri"/>
        <family val="2"/>
        <scheme val="minor"/>
      </rPr>
      <t xml:space="preserve"> Demand</t>
    </r>
  </si>
  <si>
    <r>
      <t xml:space="preserve">Rolling Sales Forecast- </t>
    </r>
    <r>
      <rPr>
        <b/>
        <sz val="20"/>
        <rFont val="Calibri"/>
        <family val="2"/>
        <scheme val="minor"/>
      </rPr>
      <t xml:space="preserve">FLAT </t>
    </r>
    <r>
      <rPr>
        <b/>
        <sz val="20"/>
        <color theme="0"/>
        <rFont val="Calibri"/>
        <family val="2"/>
        <scheme val="minor"/>
      </rPr>
      <t>Demand</t>
    </r>
  </si>
  <si>
    <t>Time Fence Policy</t>
  </si>
  <si>
    <t>Sales Forecast VARIANCE</t>
  </si>
  <si>
    <t>Within Capacity</t>
  </si>
  <si>
    <t>F(t+1) = αDt + ( 1 -  α) Ft</t>
  </si>
  <si>
    <t>C/D Ratio (Capacity 30,000/Q)</t>
  </si>
  <si>
    <t>C/D (Cap: 30,000/Q)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</si>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</sst>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_-;\-* #,##0_-;_-* &quot;-&quot;??_-;_-@_-"/>
    <numFmt numFmtId="167" formatCode="_(* #,##0_);_(* \(#,##0\);_(* &quot;-&quot;??_);_(@_)"/>
    <numFmt numFmtId="168" formatCode="[$-409]mmm/yy;@"/>
    <numFmt numFmtId="169" formatCode="_(* #,##0.0_);_(* \(#,##0.0\);_(* &quot;-&quot;??_);_(@_)"/>
    <numFmt numFmtId="170" formatCode="mmm"/>
  </numFmts>
  <fonts count="5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b/>
      <sz val="15"/>
      <color theme="1"/>
      <name val="Calibri"/>
      <family val="2"/>
    </font>
    <font>
      <b/>
      <sz val="10"/>
      <color theme="1"/>
      <name val="Calibri"/>
      <family val="2"/>
    </font>
    <font>
      <sz val="12"/>
      <color rgb="FFFF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</font>
    <font>
      <b/>
      <sz val="10"/>
      <color theme="5" tint="-0.249977111117893"/>
      <name val="Calibri"/>
      <family val="2"/>
      <scheme val="minor"/>
    </font>
    <font>
      <b/>
      <sz val="8"/>
      <color theme="0"/>
      <name val="Arial"/>
      <family val="2"/>
    </font>
    <font>
      <b/>
      <sz val="18"/>
      <name val="Calibri"/>
      <family val="2"/>
      <scheme val="minor"/>
    </font>
    <font>
      <b/>
      <sz val="10"/>
      <color rgb="FF006600"/>
      <name val="Calibri"/>
      <family val="2"/>
      <scheme val="minor"/>
    </font>
    <font>
      <b/>
      <sz val="10"/>
      <color rgb="FF008000"/>
      <name val="Arial"/>
      <family val="2"/>
    </font>
    <font>
      <sz val="12"/>
      <name val="Calibri"/>
      <family val="2"/>
    </font>
    <font>
      <b/>
      <sz val="8"/>
      <name val="Arial"/>
      <family val="2"/>
    </font>
    <font>
      <b/>
      <sz val="8"/>
      <color theme="0"/>
      <name val="Calibri"/>
      <family val="2"/>
    </font>
    <font>
      <b/>
      <sz val="20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</font>
    <font>
      <b/>
      <sz val="12"/>
      <color theme="0"/>
      <name val="Calibri"/>
      <family val="2"/>
    </font>
    <font>
      <b/>
      <sz val="24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sz val="12"/>
      <color theme="1" tint="0.34998626667073579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 tint="0.34998626667073579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Arial"/>
      <family val="2"/>
    </font>
    <font>
      <b/>
      <sz val="13"/>
      <color theme="1" tint="0.34998626667073579"/>
      <name val="Arial"/>
      <family val="2"/>
    </font>
    <font>
      <b/>
      <sz val="13"/>
      <color theme="1" tint="0.34998626667073579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2212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</cellStyleXfs>
  <cellXfs count="333">
    <xf numFmtId="0" fontId="0" fillId="0" borderId="0" xfId="0"/>
    <xf numFmtId="0" fontId="0" fillId="0" borderId="0" xfId="0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167" fontId="7" fillId="0" borderId="0" xfId="1" applyNumberFormat="1" applyFont="1" applyBorder="1"/>
    <xf numFmtId="9" fontId="7" fillId="0" borderId="0" xfId="2" applyFont="1" applyBorder="1"/>
    <xf numFmtId="9" fontId="7" fillId="0" borderId="0" xfId="0" applyNumberFormat="1" applyFont="1"/>
    <xf numFmtId="0" fontId="0" fillId="0" borderId="0" xfId="0" applyAlignment="1">
      <alignment horizontal="center" vertical="center"/>
    </xf>
    <xf numFmtId="168" fontId="6" fillId="0" borderId="11" xfId="0" applyNumberFormat="1" applyFont="1" applyBorder="1"/>
    <xf numFmtId="167" fontId="6" fillId="0" borderId="11" xfId="0" applyNumberFormat="1" applyFont="1" applyBorder="1"/>
    <xf numFmtId="0" fontId="6" fillId="0" borderId="0" xfId="0" applyFont="1" applyAlignment="1">
      <alignment horizontal="center" vertical="center" textRotation="90"/>
    </xf>
    <xf numFmtId="167" fontId="0" fillId="0" borderId="0" xfId="0" applyNumberFormat="1"/>
    <xf numFmtId="167" fontId="6" fillId="0" borderId="0" xfId="0" applyNumberFormat="1" applyFont="1"/>
    <xf numFmtId="9" fontId="6" fillId="0" borderId="18" xfId="0" applyNumberFormat="1" applyFont="1" applyBorder="1"/>
    <xf numFmtId="9" fontId="6" fillId="0" borderId="20" xfId="0" applyNumberFormat="1" applyFont="1" applyBorder="1"/>
    <xf numFmtId="9" fontId="6" fillId="0" borderId="0" xfId="0" applyNumberFormat="1" applyFont="1"/>
    <xf numFmtId="164" fontId="0" fillId="0" borderId="1" xfId="1" applyNumberFormat="1" applyFont="1" applyBorder="1"/>
    <xf numFmtId="169" fontId="0" fillId="0" borderId="0" xfId="1" applyNumberFormat="1" applyFont="1"/>
    <xf numFmtId="164" fontId="0" fillId="0" borderId="0" xfId="0" applyNumberFormat="1"/>
    <xf numFmtId="170" fontId="11" fillId="0" borderId="0" xfId="0" applyNumberFormat="1" applyFont="1" applyAlignment="1">
      <alignment horizontal="center" vertical="center"/>
    </xf>
    <xf numFmtId="166" fontId="13" fillId="2" borderId="24" xfId="1" applyNumberFormat="1" applyFont="1" applyFill="1" applyBorder="1" applyAlignment="1">
      <alignment horizontal="center" vertical="center"/>
    </xf>
    <xf numFmtId="166" fontId="13" fillId="2" borderId="25" xfId="1" applyNumberFormat="1" applyFont="1" applyFill="1" applyBorder="1" applyAlignment="1">
      <alignment horizontal="center" vertical="center"/>
    </xf>
    <xf numFmtId="166" fontId="13" fillId="2" borderId="26" xfId="1" applyNumberFormat="1" applyFont="1" applyFill="1" applyBorder="1" applyAlignment="1">
      <alignment horizontal="center" vertical="center"/>
    </xf>
    <xf numFmtId="9" fontId="24" fillId="0" borderId="18" xfId="0" applyNumberFormat="1" applyFont="1" applyBorder="1"/>
    <xf numFmtId="9" fontId="24" fillId="0" borderId="20" xfId="0" applyNumberFormat="1" applyFont="1" applyBorder="1"/>
    <xf numFmtId="0" fontId="2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9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9" fontId="17" fillId="0" borderId="0" xfId="0" applyNumberFormat="1" applyFont="1"/>
    <xf numFmtId="3" fontId="17" fillId="0" borderId="0" xfId="0" applyNumberFormat="1" applyFont="1"/>
    <xf numFmtId="9" fontId="26" fillId="0" borderId="0" xfId="0" applyNumberFormat="1" applyFont="1"/>
    <xf numFmtId="0" fontId="19" fillId="3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9" fontId="18" fillId="3" borderId="0" xfId="0" applyNumberFormat="1" applyFont="1" applyFill="1"/>
    <xf numFmtId="9" fontId="18" fillId="0" borderId="0" xfId="0" applyNumberFormat="1" applyFont="1"/>
    <xf numFmtId="3" fontId="19" fillId="3" borderId="0" xfId="0" applyNumberFormat="1" applyFont="1" applyFill="1" applyAlignment="1">
      <alignment horizontal="right"/>
    </xf>
    <xf numFmtId="0" fontId="18" fillId="5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18" fillId="3" borderId="0" xfId="0" applyFont="1" applyFill="1"/>
    <xf numFmtId="3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167" fontId="0" fillId="0" borderId="18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8" fontId="6" fillId="0" borderId="10" xfId="0" applyNumberFormat="1" applyFont="1" applyBorder="1" applyAlignment="1">
      <alignment horizontal="center"/>
    </xf>
    <xf numFmtId="167" fontId="0" fillId="0" borderId="1" xfId="0" applyNumberFormat="1" applyBorder="1"/>
    <xf numFmtId="168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9" fontId="24" fillId="0" borderId="2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3" fontId="11" fillId="9" borderId="0" xfId="0" applyNumberFormat="1" applyFont="1" applyFill="1" applyAlignment="1">
      <alignment horizontal="center" vertical="center"/>
    </xf>
    <xf numFmtId="1" fontId="11" fillId="9" borderId="0" xfId="0" applyNumberFormat="1" applyFont="1" applyFill="1" applyAlignment="1">
      <alignment horizontal="center" vertical="center"/>
    </xf>
    <xf numFmtId="9" fontId="12" fillId="9" borderId="0" xfId="2" applyFont="1" applyFill="1" applyBorder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3" fontId="11" fillId="13" borderId="0" xfId="0" applyNumberFormat="1" applyFont="1" applyFill="1" applyAlignment="1">
      <alignment horizontal="center" vertical="center"/>
    </xf>
    <xf numFmtId="1" fontId="11" fillId="13" borderId="0" xfId="0" applyNumberFormat="1" applyFont="1" applyFill="1" applyAlignment="1">
      <alignment horizontal="center" vertical="center"/>
    </xf>
    <xf numFmtId="9" fontId="12" fillId="13" borderId="0" xfId="2" applyFont="1" applyFill="1" applyBorder="1" applyAlignment="1">
      <alignment horizontal="center" vertical="center"/>
    </xf>
    <xf numFmtId="9" fontId="10" fillId="14" borderId="0" xfId="2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3" fontId="10" fillId="14" borderId="0" xfId="0" applyNumberFormat="1" applyFont="1" applyFill="1" applyAlignment="1">
      <alignment horizontal="center" vertical="center"/>
    </xf>
    <xf numFmtId="9" fontId="10" fillId="14" borderId="0" xfId="0" applyNumberFormat="1" applyFont="1" applyFill="1" applyAlignment="1">
      <alignment horizontal="center" vertical="center"/>
    </xf>
    <xf numFmtId="0" fontId="15" fillId="13" borderId="22" xfId="0" applyFont="1" applyFill="1" applyBorder="1" applyAlignment="1">
      <alignment horizontal="center" vertical="center"/>
    </xf>
    <xf numFmtId="0" fontId="10" fillId="14" borderId="23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170" fontId="11" fillId="0" borderId="38" xfId="0" applyNumberFormat="1" applyFont="1" applyBorder="1" applyAlignment="1">
      <alignment horizontal="left" vertical="center"/>
    </xf>
    <xf numFmtId="170" fontId="11" fillId="0" borderId="39" xfId="0" applyNumberFormat="1" applyFont="1" applyBorder="1" applyAlignment="1">
      <alignment horizontal="left" vertical="center"/>
    </xf>
    <xf numFmtId="170" fontId="11" fillId="0" borderId="40" xfId="0" applyNumberFormat="1" applyFont="1" applyBorder="1" applyAlignment="1">
      <alignment horizontal="left" vertical="center"/>
    </xf>
    <xf numFmtId="170" fontId="15" fillId="0" borderId="41" xfId="0" applyNumberFormat="1" applyFont="1" applyBorder="1" applyAlignment="1">
      <alignment horizontal="center" vertical="center"/>
    </xf>
    <xf numFmtId="166" fontId="22" fillId="2" borderId="0" xfId="1" applyNumberFormat="1" applyFont="1" applyFill="1" applyBorder="1" applyAlignment="1">
      <alignment horizontal="center" vertical="center"/>
    </xf>
    <xf numFmtId="166" fontId="22" fillId="13" borderId="0" xfId="1" applyNumberFormat="1" applyFont="1" applyFill="1" applyBorder="1" applyAlignment="1">
      <alignment horizontal="center" vertical="center"/>
    </xf>
    <xf numFmtId="166" fontId="22" fillId="2" borderId="30" xfId="1" applyNumberFormat="1" applyFont="1" applyFill="1" applyBorder="1" applyAlignment="1">
      <alignment horizontal="center" vertical="center"/>
    </xf>
    <xf numFmtId="166" fontId="22" fillId="2" borderId="31" xfId="1" applyNumberFormat="1" applyFont="1" applyFill="1" applyBorder="1" applyAlignment="1">
      <alignment horizontal="center" vertical="center"/>
    </xf>
    <xf numFmtId="166" fontId="22" fillId="2" borderId="32" xfId="1" applyNumberFormat="1" applyFont="1" applyFill="1" applyBorder="1" applyAlignment="1">
      <alignment horizontal="center" vertical="center"/>
    </xf>
    <xf numFmtId="166" fontId="22" fillId="13" borderId="36" xfId="1" applyNumberFormat="1" applyFont="1" applyFill="1" applyBorder="1" applyAlignment="1">
      <alignment horizontal="center" vertical="center"/>
    </xf>
    <xf numFmtId="166" fontId="22" fillId="2" borderId="2" xfId="1" applyNumberFormat="1" applyFont="1" applyFill="1" applyBorder="1" applyAlignment="1">
      <alignment horizontal="center" vertical="center"/>
    </xf>
    <xf numFmtId="166" fontId="22" fillId="13" borderId="33" xfId="1" applyNumberFormat="1" applyFont="1" applyFill="1" applyBorder="1" applyAlignment="1">
      <alignment horizontal="center" vertical="center"/>
    </xf>
    <xf numFmtId="166" fontId="22" fillId="13" borderId="34" xfId="1" applyNumberFormat="1" applyFont="1" applyFill="1" applyBorder="1" applyAlignment="1">
      <alignment horizontal="center" vertical="center"/>
    </xf>
    <xf numFmtId="166" fontId="22" fillId="2" borderId="34" xfId="1" applyNumberFormat="1" applyFont="1" applyFill="1" applyBorder="1" applyAlignment="1">
      <alignment horizontal="center" vertical="center"/>
    </xf>
    <xf numFmtId="166" fontId="22" fillId="2" borderId="35" xfId="1" applyNumberFormat="1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9" fontId="22" fillId="0" borderId="30" xfId="0" applyNumberFormat="1" applyFont="1" applyBorder="1" applyAlignment="1">
      <alignment horizontal="center" vertical="center"/>
    </xf>
    <xf numFmtId="9" fontId="22" fillId="0" borderId="31" xfId="0" applyNumberFormat="1" applyFont="1" applyBorder="1" applyAlignment="1">
      <alignment horizontal="center" vertical="center"/>
    </xf>
    <xf numFmtId="9" fontId="22" fillId="0" borderId="32" xfId="0" applyNumberFormat="1" applyFont="1" applyBorder="1" applyAlignment="1">
      <alignment horizontal="center" vertical="center"/>
    </xf>
    <xf numFmtId="0" fontId="23" fillId="13" borderId="36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13" borderId="33" xfId="0" applyFont="1" applyFill="1" applyBorder="1" applyAlignment="1">
      <alignment horizontal="center" vertical="center"/>
    </xf>
    <xf numFmtId="0" fontId="23" fillId="13" borderId="34" xfId="0" applyFont="1" applyFill="1" applyBorder="1" applyAlignment="1">
      <alignment horizontal="center" vertical="center"/>
    </xf>
    <xf numFmtId="0" fontId="25" fillId="3" borderId="34" xfId="0" applyFont="1" applyFill="1" applyBorder="1" applyAlignment="1">
      <alignment horizontal="center" vertical="center"/>
    </xf>
    <xf numFmtId="0" fontId="23" fillId="4" borderId="34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/>
    </xf>
    <xf numFmtId="0" fontId="23" fillId="2" borderId="35" xfId="0" applyFont="1" applyFill="1" applyBorder="1" applyAlignment="1">
      <alignment horizontal="center" vertical="center"/>
    </xf>
    <xf numFmtId="9" fontId="31" fillId="2" borderId="0" xfId="0" applyNumberFormat="1" applyFont="1" applyFill="1" applyAlignment="1">
      <alignment horizontal="center" vertical="center"/>
    </xf>
    <xf numFmtId="9" fontId="22" fillId="13" borderId="36" xfId="0" applyNumberFormat="1" applyFont="1" applyFill="1" applyBorder="1" applyAlignment="1">
      <alignment horizontal="center" vertical="center"/>
    </xf>
    <xf numFmtId="9" fontId="31" fillId="2" borderId="2" xfId="0" applyNumberFormat="1" applyFont="1" applyFill="1" applyBorder="1" applyAlignment="1">
      <alignment horizontal="center" vertical="center"/>
    </xf>
    <xf numFmtId="9" fontId="22" fillId="13" borderId="33" xfId="0" applyNumberFormat="1" applyFont="1" applyFill="1" applyBorder="1" applyAlignment="1">
      <alignment horizontal="center" vertical="center"/>
    </xf>
    <xf numFmtId="9" fontId="31" fillId="3" borderId="0" xfId="0" applyNumberFormat="1" applyFont="1" applyFill="1" applyAlignment="1">
      <alignment horizontal="center" vertical="center"/>
    </xf>
    <xf numFmtId="9" fontId="31" fillId="4" borderId="0" xfId="0" applyNumberFormat="1" applyFont="1" applyFill="1" applyAlignment="1">
      <alignment horizontal="center" vertical="center"/>
    </xf>
    <xf numFmtId="9" fontId="37" fillId="2" borderId="0" xfId="0" applyNumberFormat="1" applyFont="1" applyFill="1" applyAlignment="1">
      <alignment horizontal="center" vertical="center"/>
    </xf>
    <xf numFmtId="9" fontId="31" fillId="13" borderId="0" xfId="0" applyNumberFormat="1" applyFont="1" applyFill="1" applyAlignment="1">
      <alignment horizontal="center" vertical="center"/>
    </xf>
    <xf numFmtId="9" fontId="31" fillId="13" borderId="34" xfId="0" applyNumberFormat="1" applyFont="1" applyFill="1" applyBorder="1" applyAlignment="1">
      <alignment horizontal="center" vertical="center"/>
    </xf>
    <xf numFmtId="9" fontId="31" fillId="3" borderId="34" xfId="0" applyNumberFormat="1" applyFont="1" applyFill="1" applyBorder="1" applyAlignment="1">
      <alignment horizontal="center" vertical="center"/>
    </xf>
    <xf numFmtId="9" fontId="37" fillId="4" borderId="34" xfId="0" applyNumberFormat="1" applyFont="1" applyFill="1" applyBorder="1" applyAlignment="1">
      <alignment horizontal="center" vertical="center"/>
    </xf>
    <xf numFmtId="9" fontId="31" fillId="4" borderId="34" xfId="0" applyNumberFormat="1" applyFont="1" applyFill="1" applyBorder="1" applyAlignment="1">
      <alignment horizontal="center" vertical="center"/>
    </xf>
    <xf numFmtId="9" fontId="31" fillId="2" borderId="34" xfId="0" applyNumberFormat="1" applyFont="1" applyFill="1" applyBorder="1" applyAlignment="1">
      <alignment horizontal="center" vertical="center"/>
    </xf>
    <xf numFmtId="9" fontId="31" fillId="2" borderId="35" xfId="0" applyNumberFormat="1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/>
    </xf>
    <xf numFmtId="0" fontId="19" fillId="14" borderId="7" xfId="0" applyFont="1" applyFill="1" applyBorder="1" applyAlignment="1">
      <alignment horizontal="center"/>
    </xf>
    <xf numFmtId="3" fontId="19" fillId="14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167" fontId="6" fillId="0" borderId="44" xfId="0" applyNumberFormat="1" applyFont="1" applyBorder="1"/>
    <xf numFmtId="167" fontId="6" fillId="0" borderId="45" xfId="0" applyNumberFormat="1" applyFont="1" applyBorder="1"/>
    <xf numFmtId="167" fontId="6" fillId="0" borderId="46" xfId="0" applyNumberFormat="1" applyFont="1" applyBorder="1"/>
    <xf numFmtId="167" fontId="0" fillId="11" borderId="0" xfId="0" applyNumberFormat="1" applyFill="1"/>
    <xf numFmtId="167" fontId="0" fillId="13" borderId="0" xfId="0" applyNumberFormat="1" applyFill="1"/>
    <xf numFmtId="167" fontId="0" fillId="0" borderId="30" xfId="0" applyNumberFormat="1" applyBorder="1"/>
    <xf numFmtId="167" fontId="0" fillId="0" borderId="31" xfId="0" applyNumberFormat="1" applyBorder="1"/>
    <xf numFmtId="167" fontId="0" fillId="11" borderId="31" xfId="0" applyNumberFormat="1" applyFill="1" applyBorder="1"/>
    <xf numFmtId="167" fontId="0" fillId="11" borderId="32" xfId="0" applyNumberFormat="1" applyFill="1" applyBorder="1"/>
    <xf numFmtId="167" fontId="0" fillId="13" borderId="36" xfId="0" applyNumberFormat="1" applyFill="1" applyBorder="1"/>
    <xf numFmtId="167" fontId="0" fillId="11" borderId="2" xfId="0" applyNumberFormat="1" applyFill="1" applyBorder="1"/>
    <xf numFmtId="167" fontId="0" fillId="13" borderId="33" xfId="0" applyNumberFormat="1" applyFill="1" applyBorder="1"/>
    <xf numFmtId="167" fontId="0" fillId="13" borderId="34" xfId="0" applyNumberFormat="1" applyFill="1" applyBorder="1"/>
    <xf numFmtId="167" fontId="0" fillId="0" borderId="34" xfId="0" applyNumberFormat="1" applyBorder="1"/>
    <xf numFmtId="167" fontId="0" fillId="11" borderId="35" xfId="0" applyNumberFormat="1" applyFill="1" applyBorder="1"/>
    <xf numFmtId="9" fontId="6" fillId="0" borderId="44" xfId="0" applyNumberFormat="1" applyFont="1" applyBorder="1" applyAlignment="1">
      <alignment horizontal="center"/>
    </xf>
    <xf numFmtId="9" fontId="6" fillId="0" borderId="45" xfId="0" applyNumberFormat="1" applyFont="1" applyBorder="1"/>
    <xf numFmtId="9" fontId="6" fillId="0" borderId="46" xfId="0" applyNumberFormat="1" applyFont="1" applyBorder="1"/>
    <xf numFmtId="9" fontId="6" fillId="11" borderId="0" xfId="0" applyNumberFormat="1" applyFont="1" applyFill="1"/>
    <xf numFmtId="9" fontId="6" fillId="13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30" xfId="0" applyNumberFormat="1" applyFont="1" applyBorder="1" applyAlignment="1">
      <alignment horizontal="center"/>
    </xf>
    <xf numFmtId="9" fontId="6" fillId="0" borderId="31" xfId="0" applyNumberFormat="1" applyFont="1" applyBorder="1" applyAlignment="1">
      <alignment horizontal="center"/>
    </xf>
    <xf numFmtId="9" fontId="6" fillId="11" borderId="31" xfId="0" applyNumberFormat="1" applyFont="1" applyFill="1" applyBorder="1"/>
    <xf numFmtId="9" fontId="6" fillId="13" borderId="36" xfId="0" applyNumberFormat="1" applyFont="1" applyFill="1" applyBorder="1"/>
    <xf numFmtId="9" fontId="6" fillId="13" borderId="33" xfId="0" applyNumberFormat="1" applyFont="1" applyFill="1" applyBorder="1"/>
    <xf numFmtId="9" fontId="6" fillId="13" borderId="34" xfId="0" applyNumberFormat="1" applyFont="1" applyFill="1" applyBorder="1"/>
    <xf numFmtId="9" fontId="6" fillId="0" borderId="34" xfId="0" applyNumberFormat="1" applyFont="1" applyBorder="1"/>
    <xf numFmtId="9" fontId="6" fillId="0" borderId="34" xfId="0" applyNumberFormat="1" applyFont="1" applyBorder="1" applyAlignment="1">
      <alignment horizontal="center"/>
    </xf>
    <xf numFmtId="164" fontId="0" fillId="0" borderId="47" xfId="1" applyNumberFormat="1" applyFont="1" applyBorder="1"/>
    <xf numFmtId="164" fontId="0" fillId="0" borderId="45" xfId="1" applyNumberFormat="1" applyFont="1" applyBorder="1"/>
    <xf numFmtId="164" fontId="0" fillId="0" borderId="46" xfId="1" applyNumberFormat="1" applyFont="1" applyBorder="1"/>
    <xf numFmtId="164" fontId="0" fillId="0" borderId="0" xfId="1" applyNumberFormat="1" applyFont="1" applyBorder="1"/>
    <xf numFmtId="164" fontId="0" fillId="11" borderId="0" xfId="0" applyNumberFormat="1" applyFill="1"/>
    <xf numFmtId="164" fontId="0" fillId="13" borderId="0" xfId="0" applyNumberFormat="1" applyFill="1"/>
    <xf numFmtId="164" fontId="0" fillId="11" borderId="0" xfId="1" applyNumberFormat="1" applyFont="1" applyFill="1" applyBorder="1"/>
    <xf numFmtId="164" fontId="0" fillId="0" borderId="30" xfId="1" applyNumberFormat="1" applyFont="1" applyBorder="1"/>
    <xf numFmtId="164" fontId="0" fillId="0" borderId="31" xfId="1" applyNumberFormat="1" applyFont="1" applyBorder="1"/>
    <xf numFmtId="164" fontId="0" fillId="11" borderId="31" xfId="0" applyNumberFormat="1" applyFill="1" applyBorder="1"/>
    <xf numFmtId="164" fontId="0" fillId="11" borderId="32" xfId="0" applyNumberFormat="1" applyFill="1" applyBorder="1"/>
    <xf numFmtId="164" fontId="0" fillId="13" borderId="36" xfId="0" applyNumberFormat="1" applyFill="1" applyBorder="1"/>
    <xf numFmtId="164" fontId="0" fillId="11" borderId="2" xfId="0" applyNumberFormat="1" applyFill="1" applyBorder="1"/>
    <xf numFmtId="164" fontId="0" fillId="13" borderId="33" xfId="0" applyNumberFormat="1" applyFill="1" applyBorder="1"/>
    <xf numFmtId="164" fontId="0" fillId="13" borderId="34" xfId="0" applyNumberFormat="1" applyFill="1" applyBorder="1"/>
    <xf numFmtId="164" fontId="0" fillId="0" borderId="34" xfId="1" applyNumberFormat="1" applyFont="1" applyBorder="1"/>
    <xf numFmtId="164" fontId="0" fillId="11" borderId="35" xfId="1" applyNumberFormat="1" applyFont="1" applyFill="1" applyBorder="1"/>
    <xf numFmtId="9" fontId="30" fillId="0" borderId="0" xfId="0" applyNumberFormat="1" applyFont="1"/>
    <xf numFmtId="9" fontId="30" fillId="0" borderId="34" xfId="0" applyNumberFormat="1" applyFont="1" applyBorder="1"/>
    <xf numFmtId="164" fontId="0" fillId="0" borderId="44" xfId="0" applyNumberFormat="1" applyBorder="1"/>
    <xf numFmtId="164" fontId="0" fillId="0" borderId="45" xfId="0" applyNumberFormat="1" applyBorder="1"/>
    <xf numFmtId="164" fontId="0" fillId="0" borderId="46" xfId="0" applyNumberFormat="1" applyBorder="1"/>
    <xf numFmtId="164" fontId="2" fillId="0" borderId="34" xfId="1" applyNumberFormat="1" applyFont="1" applyBorder="1"/>
    <xf numFmtId="9" fontId="22" fillId="2" borderId="0" xfId="0" applyNumberFormat="1" applyFont="1" applyFill="1" applyAlignment="1">
      <alignment horizontal="center" vertical="center"/>
    </xf>
    <xf numFmtId="9" fontId="22" fillId="13" borderId="0" xfId="0" applyNumberFormat="1" applyFont="1" applyFill="1" applyAlignment="1">
      <alignment horizontal="center" vertical="center"/>
    </xf>
    <xf numFmtId="9" fontId="22" fillId="2" borderId="30" xfId="0" applyNumberFormat="1" applyFont="1" applyFill="1" applyBorder="1" applyAlignment="1">
      <alignment horizontal="center" vertical="center"/>
    </xf>
    <xf numFmtId="9" fontId="22" fillId="2" borderId="31" xfId="0" applyNumberFormat="1" applyFont="1" applyFill="1" applyBorder="1" applyAlignment="1">
      <alignment horizontal="center" vertical="center"/>
    </xf>
    <xf numFmtId="9" fontId="22" fillId="2" borderId="32" xfId="0" applyNumberFormat="1" applyFont="1" applyFill="1" applyBorder="1" applyAlignment="1">
      <alignment horizontal="center" vertical="center"/>
    </xf>
    <xf numFmtId="9" fontId="22" fillId="2" borderId="2" xfId="0" applyNumberFormat="1" applyFont="1" applyFill="1" applyBorder="1" applyAlignment="1">
      <alignment horizontal="center" vertical="center"/>
    </xf>
    <xf numFmtId="9" fontId="22" fillId="13" borderId="34" xfId="0" applyNumberFormat="1" applyFont="1" applyFill="1" applyBorder="1" applyAlignment="1">
      <alignment horizontal="center" vertical="center"/>
    </xf>
    <xf numFmtId="9" fontId="22" fillId="2" borderId="34" xfId="0" applyNumberFormat="1" applyFont="1" applyFill="1" applyBorder="1" applyAlignment="1">
      <alignment horizontal="center" vertical="center"/>
    </xf>
    <xf numFmtId="9" fontId="22" fillId="2" borderId="35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1" fillId="13" borderId="0" xfId="0" applyFont="1" applyFill="1" applyAlignment="1">
      <alignment vertical="center"/>
    </xf>
    <xf numFmtId="0" fontId="21" fillId="13" borderId="0" xfId="0" applyFont="1" applyFill="1" applyAlignment="1">
      <alignment horizontal="center" vertical="center"/>
    </xf>
    <xf numFmtId="0" fontId="40" fillId="14" borderId="0" xfId="0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/>
    </xf>
    <xf numFmtId="3" fontId="23" fillId="13" borderId="0" xfId="0" applyNumberFormat="1" applyFont="1" applyFill="1" applyAlignment="1">
      <alignment horizontal="center" vertical="center"/>
    </xf>
    <xf numFmtId="0" fontId="23" fillId="11" borderId="0" xfId="0" applyFont="1" applyFill="1" applyAlignment="1">
      <alignment horizontal="center" vertical="center"/>
    </xf>
    <xf numFmtId="10" fontId="23" fillId="11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9" fontId="23" fillId="0" borderId="0" xfId="0" applyNumberFormat="1" applyFont="1" applyAlignment="1">
      <alignment horizontal="center" vertical="center"/>
    </xf>
    <xf numFmtId="1" fontId="23" fillId="13" borderId="0" xfId="0" applyNumberFormat="1" applyFont="1" applyFill="1" applyAlignment="1">
      <alignment horizontal="center" vertical="center"/>
    </xf>
    <xf numFmtId="9" fontId="23" fillId="13" borderId="0" xfId="0" applyNumberFormat="1" applyFont="1" applyFill="1" applyAlignment="1">
      <alignment horizontal="center" vertical="center"/>
    </xf>
    <xf numFmtId="0" fontId="33" fillId="14" borderId="0" xfId="0" applyFont="1" applyFill="1" applyAlignment="1">
      <alignment horizontal="center" vertical="center"/>
    </xf>
    <xf numFmtId="167" fontId="0" fillId="16" borderId="36" xfId="0" applyNumberFormat="1" applyFill="1" applyBorder="1"/>
    <xf numFmtId="167" fontId="0" fillId="16" borderId="33" xfId="0" applyNumberFormat="1" applyFill="1" applyBorder="1"/>
    <xf numFmtId="167" fontId="0" fillId="16" borderId="0" xfId="0" applyNumberFormat="1" applyFill="1"/>
    <xf numFmtId="167" fontId="0" fillId="16" borderId="34" xfId="0" applyNumberFormat="1" applyFill="1" applyBorder="1"/>
    <xf numFmtId="9" fontId="6" fillId="16" borderId="36" xfId="0" applyNumberFormat="1" applyFont="1" applyFill="1" applyBorder="1"/>
    <xf numFmtId="9" fontId="6" fillId="16" borderId="33" xfId="0" applyNumberFormat="1" applyFont="1" applyFill="1" applyBorder="1"/>
    <xf numFmtId="9" fontId="6" fillId="16" borderId="0" xfId="0" applyNumberFormat="1" applyFont="1" applyFill="1"/>
    <xf numFmtId="9" fontId="6" fillId="16" borderId="34" xfId="0" applyNumberFormat="1" applyFont="1" applyFill="1" applyBorder="1"/>
    <xf numFmtId="164" fontId="0" fillId="16" borderId="36" xfId="0" applyNumberFormat="1" applyFill="1" applyBorder="1"/>
    <xf numFmtId="164" fontId="0" fillId="16" borderId="0" xfId="0" applyNumberFormat="1" applyFill="1"/>
    <xf numFmtId="164" fontId="0" fillId="16" borderId="34" xfId="0" applyNumberFormat="1" applyFill="1" applyBorder="1"/>
    <xf numFmtId="164" fontId="0" fillId="16" borderId="33" xfId="0" applyNumberFormat="1" applyFill="1" applyBorder="1"/>
    <xf numFmtId="168" fontId="32" fillId="0" borderId="42" xfId="0" applyNumberFormat="1" applyFont="1" applyBorder="1" applyAlignment="1">
      <alignment horizontal="center" vertical="center"/>
    </xf>
    <xf numFmtId="168" fontId="32" fillId="0" borderId="8" xfId="0" applyNumberFormat="1" applyFont="1" applyBorder="1" applyAlignment="1">
      <alignment horizontal="center" vertical="center"/>
    </xf>
    <xf numFmtId="168" fontId="32" fillId="0" borderId="43" xfId="0" applyNumberFormat="1" applyFont="1" applyBorder="1" applyAlignment="1">
      <alignment horizontal="center" vertical="center"/>
    </xf>
    <xf numFmtId="168" fontId="32" fillId="0" borderId="0" xfId="0" applyNumberFormat="1" applyFont="1" applyAlignment="1">
      <alignment horizontal="center" vertical="center"/>
    </xf>
    <xf numFmtId="167" fontId="7" fillId="0" borderId="1" xfId="0" applyNumberFormat="1" applyFont="1" applyBorder="1"/>
    <xf numFmtId="9" fontId="7" fillId="0" borderId="0" xfId="2" applyFont="1"/>
    <xf numFmtId="167" fontId="0" fillId="17" borderId="31" xfId="0" applyNumberFormat="1" applyFill="1" applyBorder="1"/>
    <xf numFmtId="167" fontId="0" fillId="17" borderId="0" xfId="0" applyNumberFormat="1" applyFill="1"/>
    <xf numFmtId="167" fontId="0" fillId="17" borderId="34" xfId="0" applyNumberFormat="1" applyFill="1" applyBorder="1"/>
    <xf numFmtId="9" fontId="6" fillId="0" borderId="16" xfId="0" applyNumberFormat="1" applyFont="1" applyBorder="1" applyAlignment="1">
      <alignment horizontal="center"/>
    </xf>
    <xf numFmtId="0" fontId="25" fillId="3" borderId="30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2" borderId="31" xfId="0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/>
    </xf>
    <xf numFmtId="3" fontId="0" fillId="0" borderId="0" xfId="0" applyNumberFormat="1"/>
    <xf numFmtId="167" fontId="44" fillId="0" borderId="0" xfId="1" applyNumberFormat="1" applyFont="1" applyBorder="1"/>
    <xf numFmtId="9" fontId="44" fillId="0" borderId="7" xfId="2" applyFont="1" applyBorder="1"/>
    <xf numFmtId="9" fontId="5" fillId="0" borderId="0" xfId="0" applyNumberFormat="1" applyFont="1"/>
    <xf numFmtId="0" fontId="45" fillId="0" borderId="0" xfId="0" applyFont="1" applyAlignment="1">
      <alignment horizontal="center"/>
    </xf>
    <xf numFmtId="3" fontId="45" fillId="0" borderId="0" xfId="0" applyNumberFormat="1" applyFont="1"/>
    <xf numFmtId="167" fontId="46" fillId="0" borderId="0" xfId="1" applyNumberFormat="1" applyFont="1" applyBorder="1"/>
    <xf numFmtId="9" fontId="46" fillId="0" borderId="7" xfId="2" applyFont="1" applyBorder="1"/>
    <xf numFmtId="9" fontId="47" fillId="0" borderId="0" xfId="0" applyNumberFormat="1" applyFont="1"/>
    <xf numFmtId="0" fontId="45" fillId="0" borderId="0" xfId="0" applyFont="1"/>
    <xf numFmtId="167" fontId="46" fillId="0" borderId="0" xfId="1" applyNumberFormat="1" applyFont="1" applyFill="1" applyBorder="1"/>
    <xf numFmtId="9" fontId="46" fillId="0" borderId="7" xfId="2" applyFont="1" applyFill="1" applyBorder="1"/>
    <xf numFmtId="9" fontId="45" fillId="0" borderId="0" xfId="0" applyNumberFormat="1" applyFont="1"/>
    <xf numFmtId="9" fontId="48" fillId="0" borderId="0" xfId="0" applyNumberFormat="1" applyFont="1"/>
    <xf numFmtId="0" fontId="49" fillId="0" borderId="0" xfId="0" applyFont="1" applyAlignment="1">
      <alignment horizontal="center"/>
    </xf>
    <xf numFmtId="0" fontId="49" fillId="0" borderId="0" xfId="0" applyFont="1"/>
    <xf numFmtId="0" fontId="48" fillId="0" borderId="0" xfId="0" applyFont="1"/>
    <xf numFmtId="49" fontId="45" fillId="0" borderId="0" xfId="1" applyNumberFormat="1" applyFont="1" applyFill="1" applyBorder="1" applyAlignment="1">
      <alignment horizontal="right"/>
    </xf>
    <xf numFmtId="0" fontId="29" fillId="12" borderId="0" xfId="0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9" fontId="17" fillId="0" borderId="0" xfId="0" applyNumberFormat="1" applyFont="1" applyAlignment="1">
      <alignment horizontal="center"/>
    </xf>
    <xf numFmtId="9" fontId="26" fillId="6" borderId="0" xfId="0" applyNumberFormat="1" applyFont="1" applyFill="1" applyAlignment="1">
      <alignment horizontal="center"/>
    </xf>
    <xf numFmtId="0" fontId="45" fillId="19" borderId="0" xfId="0" applyFont="1" applyFill="1" applyAlignment="1">
      <alignment horizontal="right"/>
    </xf>
    <xf numFmtId="0" fontId="19" fillId="14" borderId="37" xfId="0" applyFont="1" applyFill="1" applyBorder="1" applyAlignment="1">
      <alignment horizontal="center"/>
    </xf>
    <xf numFmtId="3" fontId="0" fillId="8" borderId="7" xfId="0" applyNumberFormat="1" applyFill="1" applyBorder="1"/>
    <xf numFmtId="9" fontId="5" fillId="0" borderId="37" xfId="0" applyNumberFormat="1" applyFont="1" applyBorder="1"/>
    <xf numFmtId="3" fontId="45" fillId="8" borderId="7" xfId="0" applyNumberFormat="1" applyFont="1" applyFill="1" applyBorder="1"/>
    <xf numFmtId="9" fontId="47" fillId="0" borderId="37" xfId="0" applyNumberFormat="1" applyFont="1" applyBorder="1"/>
    <xf numFmtId="3" fontId="45" fillId="0" borderId="7" xfId="0" applyNumberFormat="1" applyFont="1" applyBorder="1"/>
    <xf numFmtId="9" fontId="45" fillId="0" borderId="37" xfId="0" applyNumberFormat="1" applyFont="1" applyBorder="1"/>
    <xf numFmtId="3" fontId="48" fillId="8" borderId="28" xfId="0" applyNumberFormat="1" applyFont="1" applyFill="1" applyBorder="1"/>
    <xf numFmtId="3" fontId="49" fillId="19" borderId="29" xfId="0" applyNumberFormat="1" applyFont="1" applyFill="1" applyBorder="1"/>
    <xf numFmtId="3" fontId="50" fillId="0" borderId="29" xfId="0" applyNumberFormat="1" applyFont="1" applyBorder="1"/>
    <xf numFmtId="9" fontId="51" fillId="0" borderId="28" xfId="2" applyFont="1" applyFill="1" applyBorder="1"/>
    <xf numFmtId="9" fontId="47" fillId="0" borderId="29" xfId="0" applyNumberFormat="1" applyFont="1" applyBorder="1"/>
    <xf numFmtId="9" fontId="47" fillId="0" borderId="5" xfId="0" applyNumberFormat="1" applyFont="1" applyBorder="1"/>
    <xf numFmtId="0" fontId="2" fillId="6" borderId="0" xfId="0" applyFont="1" applyFill="1"/>
    <xf numFmtId="0" fontId="0" fillId="7" borderId="0" xfId="0" applyFill="1"/>
    <xf numFmtId="0" fontId="15" fillId="15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 textRotation="90"/>
    </xf>
    <xf numFmtId="0" fontId="39" fillId="13" borderId="7" xfId="0" applyFont="1" applyFill="1" applyBorder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0" fontId="34" fillId="6" borderId="0" xfId="0" applyFont="1" applyFill="1" applyAlignment="1">
      <alignment horizontal="left" vertical="center"/>
    </xf>
    <xf numFmtId="0" fontId="41" fillId="13" borderId="7" xfId="0" applyFont="1" applyFill="1" applyBorder="1" applyAlignment="1">
      <alignment horizontal="center" vertical="center"/>
    </xf>
    <xf numFmtId="0" fontId="41" fillId="13" borderId="0" xfId="0" applyFont="1" applyFill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35" fillId="14" borderId="0" xfId="0" applyFont="1" applyFill="1" applyAlignment="1">
      <alignment horizontal="center" vertical="center"/>
    </xf>
    <xf numFmtId="0" fontId="6" fillId="10" borderId="15" xfId="0" applyFont="1" applyFill="1" applyBorder="1" applyAlignment="1">
      <alignment horizontal="center" vertical="center" textRotation="90" wrapText="1"/>
    </xf>
    <xf numFmtId="0" fontId="6" fillId="10" borderId="17" xfId="0" applyFont="1" applyFill="1" applyBorder="1" applyAlignment="1">
      <alignment horizontal="center" vertical="center" textRotation="90" wrapText="1"/>
    </xf>
    <xf numFmtId="0" fontId="6" fillId="10" borderId="19" xfId="0" applyFont="1" applyFill="1" applyBorder="1" applyAlignment="1">
      <alignment horizontal="center" vertical="center" textRotation="90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10" borderId="12" xfId="0" applyFont="1" applyFill="1" applyBorder="1" applyAlignment="1">
      <alignment horizontal="center" vertical="center" textRotation="90" wrapText="1"/>
    </xf>
    <xf numFmtId="0" fontId="6" fillId="10" borderId="13" xfId="0" applyFont="1" applyFill="1" applyBorder="1" applyAlignment="1">
      <alignment horizontal="center" vertical="center" textRotation="90" wrapText="1"/>
    </xf>
    <xf numFmtId="0" fontId="6" fillId="10" borderId="14" xfId="0" applyFont="1" applyFill="1" applyBorder="1" applyAlignment="1">
      <alignment horizontal="center" vertical="center" textRotation="90" wrapText="1"/>
    </xf>
    <xf numFmtId="0" fontId="6" fillId="10" borderId="15" xfId="0" applyFont="1" applyFill="1" applyBorder="1" applyAlignment="1">
      <alignment horizontal="center" vertical="center" textRotation="90"/>
    </xf>
    <xf numFmtId="0" fontId="6" fillId="10" borderId="17" xfId="0" applyFont="1" applyFill="1" applyBorder="1" applyAlignment="1">
      <alignment horizontal="center" vertical="center" textRotation="90"/>
    </xf>
    <xf numFmtId="0" fontId="6" fillId="10" borderId="19" xfId="0" applyFont="1" applyFill="1" applyBorder="1" applyAlignment="1">
      <alignment horizontal="center" vertical="center" textRotation="90"/>
    </xf>
    <xf numFmtId="0" fontId="13" fillId="0" borderId="15" xfId="0" applyFont="1" applyBorder="1" applyAlignment="1">
      <alignment horizontal="center" vertical="center" textRotation="90"/>
    </xf>
    <xf numFmtId="0" fontId="13" fillId="0" borderId="17" xfId="0" applyFont="1" applyBorder="1" applyAlignment="1">
      <alignment horizontal="center" vertical="center" textRotation="90"/>
    </xf>
    <xf numFmtId="0" fontId="13" fillId="0" borderId="19" xfId="0" applyFont="1" applyBorder="1" applyAlignment="1">
      <alignment horizontal="center" vertical="center" textRotation="90"/>
    </xf>
    <xf numFmtId="0" fontId="21" fillId="0" borderId="24" xfId="0" applyFont="1" applyBorder="1" applyAlignment="1">
      <alignment horizontal="center" vertical="center" textRotation="90"/>
    </xf>
    <xf numFmtId="0" fontId="21" fillId="0" borderId="25" xfId="0" applyFont="1" applyBorder="1" applyAlignment="1">
      <alignment horizontal="center" vertical="center" textRotation="90"/>
    </xf>
    <xf numFmtId="0" fontId="21" fillId="0" borderId="26" xfId="0" applyFont="1" applyBorder="1" applyAlignment="1">
      <alignment horizontal="center" vertical="center" textRotation="90"/>
    </xf>
    <xf numFmtId="167" fontId="42" fillId="3" borderId="1" xfId="0" applyNumberFormat="1" applyFont="1" applyFill="1" applyBorder="1" applyAlignment="1">
      <alignment horizontal="center" textRotation="90"/>
    </xf>
    <xf numFmtId="167" fontId="43" fillId="4" borderId="1" xfId="0" applyNumberFormat="1" applyFont="1" applyFill="1" applyBorder="1" applyAlignment="1">
      <alignment horizontal="center" textRotation="90"/>
    </xf>
    <xf numFmtId="167" fontId="43" fillId="2" borderId="1" xfId="0" applyNumberFormat="1" applyFont="1" applyFill="1" applyBorder="1" applyAlignment="1">
      <alignment horizontal="center" textRotation="90"/>
    </xf>
    <xf numFmtId="0" fontId="43" fillId="0" borderId="1" xfId="0" applyFont="1" applyBorder="1" applyAlignment="1">
      <alignment horizontal="center" textRotation="90"/>
    </xf>
    <xf numFmtId="49" fontId="43" fillId="0" borderId="1" xfId="0" applyNumberFormat="1" applyFont="1" applyBorder="1" applyAlignment="1">
      <alignment horizontal="center" textRotation="90"/>
    </xf>
    <xf numFmtId="0" fontId="9" fillId="14" borderId="0" xfId="0" applyFont="1" applyFill="1" applyAlignment="1">
      <alignment horizontal="right"/>
    </xf>
    <xf numFmtId="0" fontId="52" fillId="13" borderId="4" xfId="0" applyFont="1" applyFill="1" applyBorder="1" applyAlignment="1">
      <alignment horizontal="center" vertical="center" wrapText="1"/>
    </xf>
    <xf numFmtId="0" fontId="52" fillId="13" borderId="3" xfId="0" applyFont="1" applyFill="1" applyBorder="1" applyAlignment="1">
      <alignment horizontal="center" vertical="center" wrapText="1"/>
    </xf>
    <xf numFmtId="0" fontId="52" fillId="13" borderId="27" xfId="0" applyFont="1" applyFill="1" applyBorder="1" applyAlignment="1">
      <alignment horizontal="center" vertical="center" wrapText="1"/>
    </xf>
    <xf numFmtId="0" fontId="52" fillId="13" borderId="7" xfId="0" applyFont="1" applyFill="1" applyBorder="1" applyAlignment="1">
      <alignment horizontal="center" vertical="center" wrapText="1"/>
    </xf>
    <xf numFmtId="0" fontId="52" fillId="13" borderId="0" xfId="0" applyFont="1" applyFill="1" applyAlignment="1">
      <alignment horizontal="center" vertical="center" wrapText="1"/>
    </xf>
    <xf numFmtId="0" fontId="52" fillId="13" borderId="37" xfId="0" applyFont="1" applyFill="1" applyBorder="1" applyAlignment="1">
      <alignment horizontal="center" vertical="center" wrapText="1"/>
    </xf>
    <xf numFmtId="0" fontId="52" fillId="13" borderId="28" xfId="0" applyFont="1" applyFill="1" applyBorder="1" applyAlignment="1">
      <alignment horizontal="center" vertical="center" wrapText="1"/>
    </xf>
    <xf numFmtId="0" fontId="52" fillId="13" borderId="29" xfId="0" applyFont="1" applyFill="1" applyBorder="1" applyAlignment="1">
      <alignment horizontal="center" vertical="center" wrapText="1"/>
    </xf>
    <xf numFmtId="0" fontId="52" fillId="13" borderId="5" xfId="0" applyFont="1" applyFill="1" applyBorder="1" applyAlignment="1">
      <alignment horizontal="center" vertical="center" wrapText="1"/>
    </xf>
    <xf numFmtId="0" fontId="18" fillId="14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9" fontId="26" fillId="6" borderId="0" xfId="0" applyNumberFormat="1" applyFont="1" applyFill="1" applyAlignment="1">
      <alignment horizontal="center"/>
    </xf>
    <xf numFmtId="9" fontId="17" fillId="0" borderId="0" xfId="0" applyNumberFormat="1" applyFont="1" applyAlignment="1">
      <alignment horizontal="center"/>
    </xf>
    <xf numFmtId="0" fontId="35" fillId="18" borderId="0" xfId="0" applyFont="1" applyFill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3" borderId="0" xfId="0" applyFont="1" applyFill="1" applyAlignment="1">
      <alignment horizontal="center" vertical="center"/>
    </xf>
    <xf numFmtId="0" fontId="20" fillId="14" borderId="4" xfId="0" applyFont="1" applyFill="1" applyBorder="1" applyAlignment="1">
      <alignment horizontal="center"/>
    </xf>
    <xf numFmtId="0" fontId="20" fillId="14" borderId="3" xfId="0" applyFont="1" applyFill="1" applyBorder="1" applyAlignment="1">
      <alignment horizontal="center"/>
    </xf>
    <xf numFmtId="0" fontId="20" fillId="14" borderId="27" xfId="0" applyFont="1" applyFill="1" applyBorder="1" applyAlignment="1">
      <alignment horizontal="center"/>
    </xf>
    <xf numFmtId="0" fontId="20" fillId="14" borderId="7" xfId="0" applyFont="1" applyFill="1" applyBorder="1" applyAlignment="1">
      <alignment horizontal="center"/>
    </xf>
    <xf numFmtId="0" fontId="20" fillId="14" borderId="0" xfId="0" applyFont="1" applyFill="1" applyAlignment="1">
      <alignment horizontal="center"/>
    </xf>
    <xf numFmtId="0" fontId="20" fillId="14" borderId="37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7" xfId="0" applyFont="1" applyFill="1" applyBorder="1" applyAlignment="1">
      <alignment horizontal="center"/>
    </xf>
  </cellXfs>
  <cellStyles count="25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24" xr:uid="{00000000-0005-0000-0000-000016000000}"/>
    <cellStyle name="Percent" xfId="2" builtinId="5"/>
    <cellStyle name="Warning Text" xfId="3" builtinId="11"/>
  </cellStyles>
  <dxfs count="6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FFFFCC"/>
        </patternFill>
      </fill>
    </dxf>
    <dxf>
      <font>
        <b/>
        <i val="0"/>
        <color auto="1"/>
      </font>
      <fill>
        <patternFill>
          <bgColor rgb="FFFFCCCC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FFFFC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u val="double"/>
        <color rgb="FF00B050"/>
      </font>
    </dxf>
    <dxf>
      <font>
        <b/>
        <i val="0"/>
        <color rgb="FFFF0000"/>
      </font>
    </dxf>
    <dxf>
      <font>
        <b/>
        <i val="0"/>
        <u val="double"/>
        <color theme="3" tint="0.39994506668294322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mruColors>
      <color rgb="FF3366CC"/>
      <color rgb="FF003399"/>
      <color rgb="FF009900"/>
      <color rgb="FF99FFCC"/>
      <color rgb="FFFF5050"/>
      <color rgb="FFFF6600"/>
      <color rgb="FFFF3300"/>
      <color rgb="FFFFCCFF"/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'(SFC RA)'!$C$3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'(SFC RA)'!$B$4:$B$27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'(SFC RA)'!$C$4:$C$27</c:f>
              <c:numCache>
                <c:formatCode>#,##0</c:formatCode>
                <c:ptCount val="24"/>
                <c:pt idx="0">
                  <c:v>67</c:v>
                </c:pt>
                <c:pt idx="1">
                  <c:v>130</c:v>
                </c:pt>
                <c:pt idx="2">
                  <c:v>120</c:v>
                </c:pt>
                <c:pt idx="3">
                  <c:v>140</c:v>
                </c:pt>
                <c:pt idx="4">
                  <c:v>83.585736000000011</c:v>
                </c:pt>
                <c:pt idx="5">
                  <c:v>134</c:v>
                </c:pt>
                <c:pt idx="6">
                  <c:v>102.30894086400001</c:v>
                </c:pt>
                <c:pt idx="7">
                  <c:v>145</c:v>
                </c:pt>
                <c:pt idx="8">
                  <c:v>118.02359418071042</c:v>
                </c:pt>
                <c:pt idx="9">
                  <c:v>150</c:v>
                </c:pt>
                <c:pt idx="10">
                  <c:v>123.33465591884239</c:v>
                </c:pt>
                <c:pt idx="11">
                  <c:v>129.50138871478453</c:v>
                </c:pt>
                <c:pt idx="12">
                  <c:v>134.68144426337591</c:v>
                </c:pt>
                <c:pt idx="13">
                  <c:v>129.29418649284088</c:v>
                </c:pt>
                <c:pt idx="14">
                  <c:v>129.29418649284088</c:v>
                </c:pt>
                <c:pt idx="15">
                  <c:v>131.8800702226977</c:v>
                </c:pt>
                <c:pt idx="16">
                  <c:v>124</c:v>
                </c:pt>
                <c:pt idx="17">
                  <c:v>152.37423313530493</c:v>
                </c:pt>
                <c:pt idx="18">
                  <c:v>144.75552147853969</c:v>
                </c:pt>
                <c:pt idx="19">
                  <c:v>130</c:v>
                </c:pt>
                <c:pt idx="20">
                  <c:v>176.45698068233986</c:v>
                </c:pt>
                <c:pt idx="21">
                  <c:v>169.39870145504625</c:v>
                </c:pt>
                <c:pt idx="22">
                  <c:v>172.78667548414717</c:v>
                </c:pt>
                <c:pt idx="23">
                  <c:v>176.24240899383011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9-4EEC-B832-A829B11469D5}"/>
            </c:ext>
          </c:extLst>
        </c:ser>
        <c:ser>
          <c:idx val="1"/>
          <c:order val="1"/>
          <c:tx>
            <c:strRef>
              <c:f>'(SFC RA)'!$D$3</c:f>
              <c:strCache>
                <c:ptCount val="1"/>
                <c:pt idx="0">
                  <c:v>SFC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'(SFC RA)'!$B$4:$B$27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'(SFC RA)'!$D$4:$D$27</c:f>
              <c:numCache>
                <c:formatCode>#,##0</c:formatCode>
                <c:ptCount val="24"/>
                <c:pt idx="0">
                  <c:v>102.9946878949463</c:v>
                </c:pt>
                <c:pt idx="1">
                  <c:v>105.68326113733973</c:v>
                </c:pt>
                <c:pt idx="2">
                  <c:v>108.37183437973317</c:v>
                </c:pt>
                <c:pt idx="3">
                  <c:v>111.0604076221266</c:v>
                </c:pt>
                <c:pt idx="4">
                  <c:v>113.74898086452005</c:v>
                </c:pt>
                <c:pt idx="5">
                  <c:v>116.4375541069135</c:v>
                </c:pt>
                <c:pt idx="6">
                  <c:v>119.12612734930693</c:v>
                </c:pt>
                <c:pt idx="7">
                  <c:v>121.81470059170037</c:v>
                </c:pt>
                <c:pt idx="8">
                  <c:v>124.50327383409382</c:v>
                </c:pt>
                <c:pt idx="9">
                  <c:v>127.19184707648725</c:v>
                </c:pt>
                <c:pt idx="10">
                  <c:v>129.88042031888068</c:v>
                </c:pt>
                <c:pt idx="11">
                  <c:v>132.56899356127414</c:v>
                </c:pt>
                <c:pt idx="12">
                  <c:v>135.25756680366757</c:v>
                </c:pt>
                <c:pt idx="13">
                  <c:v>137.94614004606103</c:v>
                </c:pt>
                <c:pt idx="14">
                  <c:v>140.63471328845446</c:v>
                </c:pt>
                <c:pt idx="15">
                  <c:v>143.32328653084789</c:v>
                </c:pt>
                <c:pt idx="16">
                  <c:v>146.01185977324133</c:v>
                </c:pt>
                <c:pt idx="17">
                  <c:v>148.70043301563476</c:v>
                </c:pt>
                <c:pt idx="18">
                  <c:v>151.38900625802822</c:v>
                </c:pt>
                <c:pt idx="19">
                  <c:v>154.07757950042165</c:v>
                </c:pt>
                <c:pt idx="20">
                  <c:v>156.76615274281511</c:v>
                </c:pt>
                <c:pt idx="21">
                  <c:v>159.45472598520854</c:v>
                </c:pt>
                <c:pt idx="22">
                  <c:v>162.14329922760197</c:v>
                </c:pt>
                <c:pt idx="23">
                  <c:v>164.8318724699954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9-4EEC-B832-A829B114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90480"/>
        <c:axId val="178731304"/>
      </c:lineChart>
      <c:catAx>
        <c:axId val="178690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1304"/>
        <c:crosses val="autoZero"/>
        <c:auto val="1"/>
        <c:lblAlgn val="ctr"/>
        <c:lblOffset val="100"/>
        <c:noMultiLvlLbl val="0"/>
      </c:catAx>
      <c:valAx>
        <c:axId val="178731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29220523042612E-2"/>
          <c:y val="3.2608704955125203E-2"/>
          <c:w val="0.90341876902855456"/>
          <c:h val="0.85370099476344186"/>
        </c:manualLayout>
      </c:layout>
      <c:lineChart>
        <c:grouping val="standard"/>
        <c:varyColors val="0"/>
        <c:ser>
          <c:idx val="0"/>
          <c:order val="0"/>
          <c:tx>
            <c:strRef>
              <c:f>'yam (SFC ES)'!$C$2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>
                  <a:shade val="76000"/>
                </a:schemeClr>
              </a:solidFill>
            </a:ln>
            <a:effectLst>
              <a:glow rad="139700">
                <a:schemeClr val="accent2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'yam (SFC ES)'!$C$3:$C$26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44</c:v>
                </c:pt>
                <c:pt idx="3">
                  <c:v>37</c:v>
                </c:pt>
                <c:pt idx="4">
                  <c:v>60</c:v>
                </c:pt>
                <c:pt idx="5">
                  <c:v>74</c:v>
                </c:pt>
                <c:pt idx="6">
                  <c:v>60</c:v>
                </c:pt>
                <c:pt idx="7">
                  <c:v>50</c:v>
                </c:pt>
                <c:pt idx="8">
                  <c:v>120</c:v>
                </c:pt>
                <c:pt idx="9">
                  <c:v>105</c:v>
                </c:pt>
                <c:pt idx="10">
                  <c:v>135</c:v>
                </c:pt>
                <c:pt idx="11">
                  <c:v>120</c:v>
                </c:pt>
                <c:pt idx="12">
                  <c:v>130</c:v>
                </c:pt>
                <c:pt idx="13">
                  <c:v>110</c:v>
                </c:pt>
                <c:pt idx="14">
                  <c:v>110</c:v>
                </c:pt>
                <c:pt idx="15" formatCode="#,##0">
                  <c:v>112.2</c:v>
                </c:pt>
                <c:pt idx="16" formatCode="0">
                  <c:v>100.98</c:v>
                </c:pt>
                <c:pt idx="17" formatCode="0">
                  <c:v>107.03880000000001</c:v>
                </c:pt>
                <c:pt idx="18" formatCode="0">
                  <c:v>101.68686000000001</c:v>
                </c:pt>
                <c:pt idx="19" formatCode="0">
                  <c:v>116.93988900000001</c:v>
                </c:pt>
                <c:pt idx="20" formatCode="0">
                  <c:v>123.95628234000002</c:v>
                </c:pt>
                <c:pt idx="21" formatCode="0">
                  <c:v>118.99803104640002</c:v>
                </c:pt>
                <c:pt idx="22" formatCode="0">
                  <c:v>121.37799166732802</c:v>
                </c:pt>
                <c:pt idx="23" formatCode="#,##0">
                  <c:v>123.80555150067458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3-4246-9535-456E2A8964A9}"/>
            </c:ext>
          </c:extLst>
        </c:ser>
        <c:ser>
          <c:idx val="1"/>
          <c:order val="1"/>
          <c:tx>
            <c:strRef>
              <c:f>'yam (SFC ES)'!$D$2</c:f>
              <c:strCache>
                <c:ptCount val="1"/>
                <c:pt idx="0">
                  <c:v>SFC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2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'yam (SFC ES)'!$D$3:$D$26</c:f>
              <c:numCache>
                <c:formatCode>#,##0</c:formatCode>
                <c:ptCount val="24"/>
                <c:pt idx="0">
                  <c:v>30</c:v>
                </c:pt>
                <c:pt idx="1">
                  <c:v>22.229277196597831</c:v>
                </c:pt>
                <c:pt idx="2">
                  <c:v>16.611606280226024</c:v>
                </c:pt>
                <c:pt idx="3">
                  <c:v>37.894367842906462</c:v>
                </c:pt>
                <c:pt idx="4">
                  <c:v>37.199379383756174</c:v>
                </c:pt>
                <c:pt idx="5">
                  <c:v>54.917109639192923</c:v>
                </c:pt>
                <c:pt idx="6">
                  <c:v>69.745894767347622</c:v>
                </c:pt>
                <c:pt idx="7">
                  <c:v>62.172630096529019</c:v>
                </c:pt>
                <c:pt idx="8">
                  <c:v>52.713616669681258</c:v>
                </c:pt>
                <c:pt idx="9">
                  <c:v>105.00000000001799</c:v>
                </c:pt>
                <c:pt idx="10">
                  <c:v>105.00000000000401</c:v>
                </c:pt>
                <c:pt idx="11">
                  <c:v>128.31216841020739</c:v>
                </c:pt>
                <c:pt idx="12">
                  <c:v>121.85301274911562</c:v>
                </c:pt>
                <c:pt idx="13">
                  <c:v>128.18381071006303</c:v>
                </c:pt>
                <c:pt idx="14">
                  <c:v>114.0536754563195</c:v>
                </c:pt>
                <c:pt idx="15">
                  <c:v>110.90367662571813</c:v>
                </c:pt>
                <c:pt idx="16">
                  <c:v>111.91101358622967</c:v>
                </c:pt>
                <c:pt idx="17">
                  <c:v>103.4168259323483</c:v>
                </c:pt>
                <c:pt idx="18">
                  <c:v>106.23136158043155</c:v>
                </c:pt>
                <c:pt idx="19">
                  <c:v>102.69995537431589</c:v>
                </c:pt>
                <c:pt idx="20">
                  <c:v>113.76541306871958</c:v>
                </c:pt>
                <c:pt idx="21">
                  <c:v>121.68445509200251</c:v>
                </c:pt>
                <c:pt idx="22">
                  <c:v>119.5969094329254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3-4246-9535-456E2A89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6016"/>
        <c:axId val="179273744"/>
      </c:lineChart>
      <c:catAx>
        <c:axId val="179216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3744"/>
        <c:crosses val="autoZero"/>
        <c:auto val="1"/>
        <c:lblAlgn val="ctr"/>
        <c:lblOffset val="100"/>
        <c:noMultiLvlLbl val="0"/>
      </c:catAx>
      <c:valAx>
        <c:axId val="1792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4</xdr:row>
      <xdr:rowOff>22514</xdr:rowOff>
    </xdr:from>
    <xdr:to>
      <xdr:col>16</xdr:col>
      <xdr:colOff>779317</xdr:colOff>
      <xdr:row>26</xdr:row>
      <xdr:rowOff>77932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42332</xdr:colOff>
      <xdr:row>3</xdr:row>
      <xdr:rowOff>137583</xdr:rowOff>
    </xdr:from>
    <xdr:to>
      <xdr:col>16</xdr:col>
      <xdr:colOff>74083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showGridLines="0" tabSelected="1" zoomScale="110" zoomScaleNormal="110" workbookViewId="0">
      <selection activeCell="L2" sqref="L2:M3"/>
    </sheetView>
  </sheetViews>
  <sheetFormatPr defaultColWidth="10.875" defaultRowHeight="12.95" customHeight="1" x14ac:dyDescent="0.25"/>
  <cols>
    <col min="1" max="1" width="5.625" style="7" customWidth="1"/>
    <col min="2" max="2" width="5.5" style="8" bestFit="1" customWidth="1"/>
    <col min="3" max="4" width="10.875" style="8"/>
    <col min="5" max="7" width="10.875" style="8" customWidth="1"/>
    <col min="8" max="8" width="5" style="7" customWidth="1"/>
    <col min="9" max="9" width="3.125" style="7" bestFit="1" customWidth="1"/>
    <col min="10" max="10" width="11.875" style="7" bestFit="1" customWidth="1"/>
    <col min="11" max="16384" width="10.875" style="7"/>
  </cols>
  <sheetData>
    <row r="1" spans="1:19" ht="8.25" customHeight="1" x14ac:dyDescent="0.25">
      <c r="B1" s="77"/>
      <c r="C1" s="77"/>
      <c r="D1" s="77"/>
      <c r="E1" s="77"/>
      <c r="F1" s="77"/>
      <c r="G1" s="77"/>
      <c r="Q1" s="77"/>
      <c r="R1" s="77"/>
      <c r="S1" s="77"/>
    </row>
    <row r="2" spans="1:19" ht="12.95" customHeight="1" x14ac:dyDescent="0.25">
      <c r="A2" s="195" t="s">
        <v>96</v>
      </c>
      <c r="D2" s="195" t="s">
        <v>97</v>
      </c>
      <c r="I2" s="194" t="s">
        <v>106</v>
      </c>
      <c r="J2" s="197" t="s">
        <v>109</v>
      </c>
      <c r="K2" s="193">
        <f>INTERCEPT(C4:C27,A4:A27)</f>
        <v>100.30611465255285</v>
      </c>
      <c r="L2" s="276" t="s">
        <v>21</v>
      </c>
      <c r="M2" s="277"/>
      <c r="N2" s="278" t="s">
        <v>20</v>
      </c>
      <c r="O2" s="278"/>
      <c r="P2" s="278"/>
      <c r="Q2" s="278"/>
    </row>
    <row r="3" spans="1:19" ht="12.95" customHeight="1" x14ac:dyDescent="0.25">
      <c r="A3" s="196" t="s">
        <v>19</v>
      </c>
      <c r="B3" s="196" t="s">
        <v>0</v>
      </c>
      <c r="C3" s="197" t="s">
        <v>1</v>
      </c>
      <c r="D3" s="197" t="s">
        <v>2</v>
      </c>
      <c r="E3" s="197" t="s">
        <v>3</v>
      </c>
      <c r="F3" s="197" t="s">
        <v>4</v>
      </c>
      <c r="G3" s="197" t="s">
        <v>5</v>
      </c>
      <c r="I3" s="194" t="s">
        <v>107</v>
      </c>
      <c r="J3" s="197" t="s">
        <v>108</v>
      </c>
      <c r="K3" s="193">
        <f>SLOPE(C4:C27,A4:A27)</f>
        <v>2.6885732423934403</v>
      </c>
      <c r="L3" s="276"/>
      <c r="M3" s="277"/>
      <c r="N3" s="278"/>
      <c r="O3" s="278"/>
      <c r="P3" s="278"/>
      <c r="Q3" s="278"/>
    </row>
    <row r="4" spans="1:19" ht="12.95" customHeight="1" x14ac:dyDescent="0.25">
      <c r="A4" s="8">
        <v>1</v>
      </c>
      <c r="B4" s="8" t="s">
        <v>6</v>
      </c>
      <c r="C4" s="53">
        <v>67</v>
      </c>
      <c r="D4" s="53">
        <f>$K$2+$K$3*A4</f>
        <v>102.9946878949463</v>
      </c>
      <c r="E4" s="53">
        <f>D4-C4</f>
        <v>35.994687894946296</v>
      </c>
      <c r="F4" s="54">
        <f>ABS(E4)</f>
        <v>35.994687894946296</v>
      </c>
      <c r="G4" s="56">
        <f>F4/C4</f>
        <v>0.53723414768576561</v>
      </c>
    </row>
    <row r="5" spans="1:19" ht="12.95" customHeight="1" x14ac:dyDescent="0.25">
      <c r="A5" s="72">
        <v>2</v>
      </c>
      <c r="B5" s="72" t="s">
        <v>7</v>
      </c>
      <c r="C5" s="73">
        <v>130</v>
      </c>
      <c r="D5" s="73">
        <f t="shared" ref="D5:D27" si="0">$K$2+$K$3*A5</f>
        <v>105.68326113733973</v>
      </c>
      <c r="E5" s="73">
        <f t="shared" ref="E5:E27" si="1">D5-C5</f>
        <v>-24.316738862660273</v>
      </c>
      <c r="F5" s="74">
        <f t="shared" ref="F5:F27" si="2">ABS(E5)</f>
        <v>24.316738862660273</v>
      </c>
      <c r="G5" s="75">
        <f t="shared" ref="G5:G27" si="3">F5/C5</f>
        <v>0.18705183740507902</v>
      </c>
      <c r="I5" s="275" t="s">
        <v>105</v>
      </c>
    </row>
    <row r="6" spans="1:19" ht="12.95" customHeight="1" x14ac:dyDescent="0.25">
      <c r="A6" s="8">
        <v>3</v>
      </c>
      <c r="B6" s="8" t="s">
        <v>8</v>
      </c>
      <c r="C6" s="53">
        <v>120</v>
      </c>
      <c r="D6" s="53">
        <f t="shared" si="0"/>
        <v>108.37183437973317</v>
      </c>
      <c r="E6" s="53">
        <f t="shared" si="1"/>
        <v>-11.628165620266827</v>
      </c>
      <c r="F6" s="54">
        <f t="shared" si="2"/>
        <v>11.628165620266827</v>
      </c>
      <c r="G6" s="56">
        <f t="shared" si="3"/>
        <v>9.690138016889023E-2</v>
      </c>
      <c r="I6" s="275"/>
      <c r="N6" s="36"/>
    </row>
    <row r="7" spans="1:19" ht="12.95" customHeight="1" x14ac:dyDescent="0.25">
      <c r="A7" s="68">
        <v>4</v>
      </c>
      <c r="B7" s="68" t="s">
        <v>9</v>
      </c>
      <c r="C7" s="69">
        <v>140</v>
      </c>
      <c r="D7" s="69">
        <f t="shared" si="0"/>
        <v>111.0604076221266</v>
      </c>
      <c r="E7" s="69">
        <f t="shared" si="1"/>
        <v>-28.939592377873396</v>
      </c>
      <c r="F7" s="70">
        <f t="shared" si="2"/>
        <v>28.939592377873396</v>
      </c>
      <c r="G7" s="71">
        <f t="shared" si="3"/>
        <v>0.2067113741276671</v>
      </c>
      <c r="I7" s="275"/>
      <c r="M7" s="36"/>
      <c r="N7" s="36"/>
    </row>
    <row r="8" spans="1:19" ht="12.95" customHeight="1" x14ac:dyDescent="0.25">
      <c r="A8" s="8">
        <v>5</v>
      </c>
      <c r="B8" s="8" t="s">
        <v>10</v>
      </c>
      <c r="C8" s="53">
        <v>83.585736000000011</v>
      </c>
      <c r="D8" s="53">
        <f t="shared" si="0"/>
        <v>113.74898086452005</v>
      </c>
      <c r="E8" s="53">
        <f t="shared" si="1"/>
        <v>30.163244864520038</v>
      </c>
      <c r="F8" s="54">
        <f t="shared" si="2"/>
        <v>30.163244864520038</v>
      </c>
      <c r="G8" s="56">
        <f t="shared" si="3"/>
        <v>0.36086593607933337</v>
      </c>
      <c r="I8" s="275"/>
    </row>
    <row r="9" spans="1:19" ht="12.95" customHeight="1" x14ac:dyDescent="0.25">
      <c r="A9" s="68">
        <v>6</v>
      </c>
      <c r="B9" s="68" t="s">
        <v>11</v>
      </c>
      <c r="C9" s="69">
        <v>134</v>
      </c>
      <c r="D9" s="69">
        <f t="shared" si="0"/>
        <v>116.4375541069135</v>
      </c>
      <c r="E9" s="69">
        <f t="shared" si="1"/>
        <v>-17.562445893086505</v>
      </c>
      <c r="F9" s="70">
        <f t="shared" si="2"/>
        <v>17.562445893086505</v>
      </c>
      <c r="G9" s="71">
        <f t="shared" si="3"/>
        <v>0.13106302905288436</v>
      </c>
      <c r="I9" s="275"/>
    </row>
    <row r="10" spans="1:19" ht="12.95" customHeight="1" x14ac:dyDescent="0.25">
      <c r="A10" s="8">
        <v>7</v>
      </c>
      <c r="B10" s="8" t="s">
        <v>12</v>
      </c>
      <c r="C10" s="53">
        <v>102.30894086400001</v>
      </c>
      <c r="D10" s="53">
        <f t="shared" si="0"/>
        <v>119.12612734930693</v>
      </c>
      <c r="E10" s="53">
        <f t="shared" si="1"/>
        <v>16.81718648530692</v>
      </c>
      <c r="F10" s="54">
        <f t="shared" si="2"/>
        <v>16.81718648530692</v>
      </c>
      <c r="G10" s="56">
        <f t="shared" si="3"/>
        <v>0.16437650847800411</v>
      </c>
      <c r="I10" s="275"/>
    </row>
    <row r="11" spans="1:19" ht="12.95" customHeight="1" x14ac:dyDescent="0.25">
      <c r="A11" s="68">
        <v>8</v>
      </c>
      <c r="B11" s="68" t="s">
        <v>13</v>
      </c>
      <c r="C11" s="69">
        <v>145</v>
      </c>
      <c r="D11" s="69">
        <f t="shared" si="0"/>
        <v>121.81470059170037</v>
      </c>
      <c r="E11" s="69">
        <f t="shared" si="1"/>
        <v>-23.185299408299628</v>
      </c>
      <c r="F11" s="70">
        <f t="shared" si="2"/>
        <v>23.185299408299628</v>
      </c>
      <c r="G11" s="71">
        <f t="shared" si="3"/>
        <v>0.15989861660896296</v>
      </c>
      <c r="I11" s="275"/>
    </row>
    <row r="12" spans="1:19" ht="12.95" customHeight="1" x14ac:dyDescent="0.25">
      <c r="A12" s="8">
        <v>9</v>
      </c>
      <c r="B12" s="8" t="s">
        <v>14</v>
      </c>
      <c r="C12" s="53">
        <v>118.02359418071042</v>
      </c>
      <c r="D12" s="53">
        <f t="shared" si="0"/>
        <v>124.50327383409382</v>
      </c>
      <c r="E12" s="53">
        <f t="shared" si="1"/>
        <v>6.4796796533833998</v>
      </c>
      <c r="F12" s="54">
        <f t="shared" si="2"/>
        <v>6.4796796533833998</v>
      </c>
      <c r="G12" s="56">
        <f t="shared" si="3"/>
        <v>5.490156183061258E-2</v>
      </c>
      <c r="I12" s="275"/>
    </row>
    <row r="13" spans="1:19" ht="12.95" customHeight="1" x14ac:dyDescent="0.25">
      <c r="A13" s="68">
        <v>10</v>
      </c>
      <c r="B13" s="68" t="s">
        <v>15</v>
      </c>
      <c r="C13" s="69">
        <v>150</v>
      </c>
      <c r="D13" s="69">
        <f t="shared" si="0"/>
        <v>127.19184707648725</v>
      </c>
      <c r="E13" s="69">
        <f t="shared" si="1"/>
        <v>-22.80815292351275</v>
      </c>
      <c r="F13" s="70">
        <f t="shared" si="2"/>
        <v>22.80815292351275</v>
      </c>
      <c r="G13" s="71">
        <f t="shared" si="3"/>
        <v>0.15205435282341834</v>
      </c>
      <c r="I13" s="275"/>
    </row>
    <row r="14" spans="1:19" ht="12.95" customHeight="1" x14ac:dyDescent="0.25">
      <c r="A14" s="8">
        <v>11</v>
      </c>
      <c r="B14" s="8" t="s">
        <v>16</v>
      </c>
      <c r="C14" s="53">
        <v>123.33465591884239</v>
      </c>
      <c r="D14" s="53">
        <f t="shared" si="0"/>
        <v>129.88042031888068</v>
      </c>
      <c r="E14" s="53">
        <f t="shared" si="1"/>
        <v>6.5457644000382942</v>
      </c>
      <c r="F14" s="54">
        <f t="shared" si="2"/>
        <v>6.5457644000382942</v>
      </c>
      <c r="G14" s="56">
        <f t="shared" si="3"/>
        <v>5.3073196266470217E-2</v>
      </c>
      <c r="I14" s="275"/>
    </row>
    <row r="15" spans="1:19" ht="12.95" customHeight="1" x14ac:dyDescent="0.25">
      <c r="A15" s="68">
        <v>12</v>
      </c>
      <c r="B15" s="68" t="s">
        <v>17</v>
      </c>
      <c r="C15" s="69">
        <v>129.50138871478453</v>
      </c>
      <c r="D15" s="69">
        <f t="shared" si="0"/>
        <v>132.56899356127414</v>
      </c>
      <c r="E15" s="69">
        <f t="shared" si="1"/>
        <v>3.0676048464896155</v>
      </c>
      <c r="F15" s="70">
        <f t="shared" si="2"/>
        <v>3.0676048464896155</v>
      </c>
      <c r="G15" s="71">
        <f t="shared" si="3"/>
        <v>2.3687814292445517E-2</v>
      </c>
      <c r="I15" s="275"/>
    </row>
    <row r="16" spans="1:19" ht="12.95" customHeight="1" x14ac:dyDescent="0.25">
      <c r="A16" s="8">
        <v>13</v>
      </c>
      <c r="B16" s="8" t="s">
        <v>6</v>
      </c>
      <c r="C16" s="53">
        <v>134.68144426337591</v>
      </c>
      <c r="D16" s="53">
        <f t="shared" si="0"/>
        <v>135.25756680366757</v>
      </c>
      <c r="E16" s="53">
        <f t="shared" si="1"/>
        <v>0.57612254029166365</v>
      </c>
      <c r="F16" s="54">
        <f t="shared" si="2"/>
        <v>0.57612254029166365</v>
      </c>
      <c r="G16" s="56">
        <f t="shared" si="3"/>
        <v>4.2776682670927473E-3</v>
      </c>
      <c r="I16" s="275"/>
    </row>
    <row r="17" spans="1:17" ht="12.95" customHeight="1" x14ac:dyDescent="0.25">
      <c r="A17" s="68">
        <v>14</v>
      </c>
      <c r="B17" s="68" t="s">
        <v>7</v>
      </c>
      <c r="C17" s="69">
        <v>129.29418649284088</v>
      </c>
      <c r="D17" s="69">
        <f t="shared" si="0"/>
        <v>137.94614004606103</v>
      </c>
      <c r="E17" s="69">
        <f t="shared" si="1"/>
        <v>8.651953553220153</v>
      </c>
      <c r="F17" s="70">
        <f t="shared" si="2"/>
        <v>8.651953553220153</v>
      </c>
      <c r="G17" s="71">
        <f t="shared" si="3"/>
        <v>6.6916802587247179E-2</v>
      </c>
      <c r="I17" s="275"/>
    </row>
    <row r="18" spans="1:17" ht="12.95" customHeight="1" x14ac:dyDescent="0.25">
      <c r="A18" s="8">
        <v>15</v>
      </c>
      <c r="B18" s="8" t="s">
        <v>8</v>
      </c>
      <c r="C18" s="53">
        <v>129.29418649284088</v>
      </c>
      <c r="D18" s="53">
        <f t="shared" si="0"/>
        <v>140.63471328845446</v>
      </c>
      <c r="E18" s="53">
        <f t="shared" si="1"/>
        <v>11.340526795613584</v>
      </c>
      <c r="F18" s="54">
        <f t="shared" si="2"/>
        <v>11.340526795613584</v>
      </c>
      <c r="G18" s="56">
        <f t="shared" si="3"/>
        <v>8.771103406293923E-2</v>
      </c>
      <c r="I18" s="275"/>
    </row>
    <row r="19" spans="1:17" ht="12.95" customHeight="1" x14ac:dyDescent="0.25">
      <c r="A19" s="68">
        <v>16</v>
      </c>
      <c r="B19" s="68" t="s">
        <v>9</v>
      </c>
      <c r="C19" s="69">
        <v>131.8800702226977</v>
      </c>
      <c r="D19" s="69">
        <f t="shared" si="0"/>
        <v>143.32328653084789</v>
      </c>
      <c r="E19" s="69">
        <f t="shared" si="1"/>
        <v>11.443216308150198</v>
      </c>
      <c r="F19" s="70">
        <f t="shared" si="2"/>
        <v>11.443216308150198</v>
      </c>
      <c r="G19" s="71">
        <f t="shared" si="3"/>
        <v>8.6769868175128731E-2</v>
      </c>
      <c r="I19" s="275"/>
    </row>
    <row r="20" spans="1:17" ht="12.95" customHeight="1" x14ac:dyDescent="0.25">
      <c r="A20" s="8">
        <v>17</v>
      </c>
      <c r="B20" s="8" t="s">
        <v>10</v>
      </c>
      <c r="C20" s="53">
        <v>124</v>
      </c>
      <c r="D20" s="53">
        <f t="shared" si="0"/>
        <v>146.01185977324133</v>
      </c>
      <c r="E20" s="53">
        <f t="shared" si="1"/>
        <v>22.011859773241326</v>
      </c>
      <c r="F20" s="54">
        <f t="shared" si="2"/>
        <v>22.011859773241326</v>
      </c>
      <c r="G20" s="56">
        <f t="shared" si="3"/>
        <v>0.17751499817130101</v>
      </c>
      <c r="I20" s="275"/>
    </row>
    <row r="21" spans="1:17" ht="12.95" customHeight="1" x14ac:dyDescent="0.25">
      <c r="A21" s="68">
        <v>18</v>
      </c>
      <c r="B21" s="68" t="s">
        <v>11</v>
      </c>
      <c r="C21" s="69">
        <v>152.37423313530493</v>
      </c>
      <c r="D21" s="69">
        <f t="shared" si="0"/>
        <v>148.70043301563476</v>
      </c>
      <c r="E21" s="69">
        <f t="shared" si="1"/>
        <v>-3.6738001196701759</v>
      </c>
      <c r="F21" s="70">
        <f t="shared" si="2"/>
        <v>3.6738001196701759</v>
      </c>
      <c r="G21" s="71">
        <f t="shared" si="3"/>
        <v>2.4110376433579311E-2</v>
      </c>
      <c r="I21" s="275"/>
    </row>
    <row r="22" spans="1:17" ht="12.95" customHeight="1" x14ac:dyDescent="0.25">
      <c r="A22" s="8">
        <v>19</v>
      </c>
      <c r="B22" s="8" t="s">
        <v>12</v>
      </c>
      <c r="C22" s="53">
        <v>144.75552147853969</v>
      </c>
      <c r="D22" s="53">
        <f t="shared" si="0"/>
        <v>151.38900625802822</v>
      </c>
      <c r="E22" s="53">
        <f t="shared" si="1"/>
        <v>6.6334847794885263</v>
      </c>
      <c r="F22" s="54">
        <f t="shared" si="2"/>
        <v>6.6334847794885263</v>
      </c>
      <c r="G22" s="56">
        <f t="shared" si="3"/>
        <v>4.5825435269990403E-2</v>
      </c>
      <c r="I22" s="275"/>
    </row>
    <row r="23" spans="1:17" ht="12.95" customHeight="1" x14ac:dyDescent="0.25">
      <c r="A23" s="68">
        <v>20</v>
      </c>
      <c r="B23" s="68" t="s">
        <v>13</v>
      </c>
      <c r="C23" s="69">
        <v>130</v>
      </c>
      <c r="D23" s="69">
        <f t="shared" si="0"/>
        <v>154.07757950042165</v>
      </c>
      <c r="E23" s="69">
        <f t="shared" si="1"/>
        <v>24.077579500421649</v>
      </c>
      <c r="F23" s="70">
        <f t="shared" si="2"/>
        <v>24.077579500421649</v>
      </c>
      <c r="G23" s="71">
        <f t="shared" si="3"/>
        <v>0.18521215000324345</v>
      </c>
      <c r="I23" s="275"/>
    </row>
    <row r="24" spans="1:17" ht="12.95" customHeight="1" x14ac:dyDescent="0.25">
      <c r="A24" s="8">
        <v>21</v>
      </c>
      <c r="B24" s="8" t="s">
        <v>14</v>
      </c>
      <c r="C24" s="53">
        <v>176.45698068233986</v>
      </c>
      <c r="D24" s="53">
        <f t="shared" si="0"/>
        <v>156.76615274281511</v>
      </c>
      <c r="E24" s="53">
        <f t="shared" si="1"/>
        <v>-19.690827939524752</v>
      </c>
      <c r="F24" s="54">
        <f t="shared" si="2"/>
        <v>19.690827939524752</v>
      </c>
      <c r="G24" s="56">
        <f t="shared" si="3"/>
        <v>0.11158996296651157</v>
      </c>
      <c r="I24" s="275"/>
    </row>
    <row r="25" spans="1:17" ht="12.95" customHeight="1" x14ac:dyDescent="0.25">
      <c r="A25" s="68">
        <v>22</v>
      </c>
      <c r="B25" s="68" t="s">
        <v>15</v>
      </c>
      <c r="C25" s="69">
        <v>169.39870145504625</v>
      </c>
      <c r="D25" s="69">
        <f t="shared" si="0"/>
        <v>159.45472598520854</v>
      </c>
      <c r="E25" s="69">
        <f t="shared" si="1"/>
        <v>-9.9439754698377101</v>
      </c>
      <c r="F25" s="70">
        <f t="shared" si="2"/>
        <v>9.9439754698377101</v>
      </c>
      <c r="G25" s="71">
        <f t="shared" si="3"/>
        <v>5.8701603875497048E-2</v>
      </c>
      <c r="I25" s="275"/>
    </row>
    <row r="26" spans="1:17" ht="12.95" customHeight="1" x14ac:dyDescent="0.25">
      <c r="A26" s="8">
        <v>23</v>
      </c>
      <c r="B26" s="8" t="s">
        <v>16</v>
      </c>
      <c r="C26" s="53">
        <v>172.78667548414717</v>
      </c>
      <c r="D26" s="53">
        <f t="shared" si="0"/>
        <v>162.14329922760197</v>
      </c>
      <c r="E26" s="53">
        <f t="shared" si="1"/>
        <v>-10.643376256545196</v>
      </c>
      <c r="F26" s="54">
        <f t="shared" si="2"/>
        <v>10.643376256545196</v>
      </c>
      <c r="G26" s="56">
        <f t="shared" si="3"/>
        <v>6.159836241262541E-2</v>
      </c>
      <c r="I26" s="275"/>
    </row>
    <row r="27" spans="1:17" ht="12.95" customHeight="1" x14ac:dyDescent="0.25">
      <c r="A27" s="68">
        <v>24</v>
      </c>
      <c r="B27" s="68" t="s">
        <v>17</v>
      </c>
      <c r="C27" s="69">
        <v>176.24240899383011</v>
      </c>
      <c r="D27" s="69">
        <f t="shared" si="0"/>
        <v>164.8318724699954</v>
      </c>
      <c r="E27" s="69">
        <f t="shared" si="1"/>
        <v>-11.410536523834708</v>
      </c>
      <c r="F27" s="70">
        <f t="shared" si="2"/>
        <v>11.410536523834708</v>
      </c>
      <c r="G27" s="71">
        <f t="shared" si="3"/>
        <v>6.4743421228622491E-2</v>
      </c>
      <c r="I27" s="275"/>
    </row>
    <row r="28" spans="1:17" ht="12.95" customHeight="1" x14ac:dyDescent="0.25">
      <c r="J28" s="274" t="s">
        <v>104</v>
      </c>
      <c r="K28" s="274"/>
      <c r="L28" s="274"/>
      <c r="M28" s="274"/>
      <c r="N28" s="274"/>
      <c r="O28" s="274"/>
      <c r="P28" s="274"/>
      <c r="Q28" s="274"/>
    </row>
    <row r="29" spans="1:17" ht="12.95" customHeight="1" x14ac:dyDescent="0.25">
      <c r="C29" s="78">
        <f>SUM(C4:C27)</f>
        <v>3213.9187243793003</v>
      </c>
      <c r="D29" s="192"/>
      <c r="E29" s="192"/>
      <c r="F29" s="78">
        <f>SUM(F4:F27)</f>
        <v>367.60582279022361</v>
      </c>
      <c r="G29" s="76">
        <f>F29/C29</f>
        <v>0.11437931519603652</v>
      </c>
    </row>
  </sheetData>
  <mergeCells count="4">
    <mergeCell ref="J28:Q28"/>
    <mergeCell ref="I5:I27"/>
    <mergeCell ref="L2:M3"/>
    <mergeCell ref="N2:Q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showGridLines="0" zoomScale="120" zoomScaleNormal="120" zoomScalePageLayoutView="150" workbookViewId="0">
      <selection activeCell="J3" sqref="J3"/>
    </sheetView>
  </sheetViews>
  <sheetFormatPr defaultColWidth="10.875" defaultRowHeight="12.95" customHeight="1" x14ac:dyDescent="0.25"/>
  <cols>
    <col min="1" max="2" width="4.625" style="8" customWidth="1"/>
    <col min="3" max="4" width="8" style="8" customWidth="1"/>
    <col min="5" max="5" width="4.375" style="8" bestFit="1" customWidth="1"/>
    <col min="6" max="6" width="7.375" style="8" bestFit="1" customWidth="1"/>
    <col min="7" max="7" width="8" style="9" customWidth="1"/>
    <col min="8" max="8" width="2" style="8" customWidth="1"/>
    <col min="9" max="9" width="10.875" style="8"/>
    <col min="10" max="16384" width="10.875" style="7"/>
  </cols>
  <sheetData>
    <row r="1" spans="1:13" ht="12.95" customHeight="1" x14ac:dyDescent="0.25">
      <c r="A1" s="35"/>
      <c r="B1" s="35"/>
      <c r="C1" s="198" t="s">
        <v>124</v>
      </c>
      <c r="D1" s="198" t="s">
        <v>128</v>
      </c>
      <c r="I1" s="281" t="s">
        <v>37</v>
      </c>
      <c r="J1" s="281"/>
      <c r="K1" s="281"/>
      <c r="L1" s="281"/>
      <c r="M1" s="281"/>
    </row>
    <row r="2" spans="1:13" ht="12.95" customHeight="1" x14ac:dyDescent="0.25">
      <c r="A2" s="209" t="s">
        <v>19</v>
      </c>
      <c r="B2" s="209" t="s">
        <v>0</v>
      </c>
      <c r="C2" s="67" t="s">
        <v>1</v>
      </c>
      <c r="D2" s="67" t="s">
        <v>2</v>
      </c>
      <c r="E2" s="67" t="s">
        <v>3</v>
      </c>
      <c r="F2" s="67" t="s">
        <v>4</v>
      </c>
      <c r="G2" s="67" t="s">
        <v>5</v>
      </c>
      <c r="I2" s="281"/>
      <c r="J2" s="281"/>
      <c r="K2" s="281"/>
      <c r="L2" s="281"/>
      <c r="M2" s="281"/>
    </row>
    <row r="3" spans="1:13" ht="12.95" customHeight="1" x14ac:dyDescent="0.25">
      <c r="A3" s="98">
        <v>1</v>
      </c>
      <c r="B3" s="98" t="s">
        <v>6</v>
      </c>
      <c r="C3" s="98">
        <v>20</v>
      </c>
      <c r="D3" s="200">
        <v>30</v>
      </c>
      <c r="E3" s="201"/>
      <c r="F3" s="201"/>
      <c r="G3" s="202"/>
      <c r="I3" s="67" t="s">
        <v>129</v>
      </c>
      <c r="J3" s="199">
        <v>0.7770722803402168</v>
      </c>
      <c r="K3" s="279" t="s">
        <v>135</v>
      </c>
      <c r="L3" s="280"/>
      <c r="M3" s="280"/>
    </row>
    <row r="4" spans="1:13" ht="12.95" customHeight="1" x14ac:dyDescent="0.25">
      <c r="A4" s="203">
        <v>2</v>
      </c>
      <c r="B4" s="203" t="s">
        <v>7</v>
      </c>
      <c r="C4" s="203">
        <v>15</v>
      </c>
      <c r="D4" s="204">
        <f>$J$3*C3+(1-$J$3)*D3</f>
        <v>22.229277196597831</v>
      </c>
      <c r="E4" s="204">
        <f>C4-D4</f>
        <v>-7.2292771965978311</v>
      </c>
      <c r="F4" s="205">
        <f>ABS(E4)</f>
        <v>7.2292771965978311</v>
      </c>
      <c r="G4" s="206">
        <f>F4/C4</f>
        <v>0.48195181310652208</v>
      </c>
    </row>
    <row r="5" spans="1:13" ht="12.95" customHeight="1" x14ac:dyDescent="0.25">
      <c r="A5" s="98">
        <v>3</v>
      </c>
      <c r="B5" s="98" t="s">
        <v>8</v>
      </c>
      <c r="C5" s="98">
        <v>44</v>
      </c>
      <c r="D5" s="200">
        <f t="shared" ref="D5:D25" si="0">$J$3*C4+(1-$J$3)*D4</f>
        <v>16.611606280226024</v>
      </c>
      <c r="E5" s="200">
        <f t="shared" ref="E5:E25" si="1">C5-D5</f>
        <v>27.388393719773976</v>
      </c>
      <c r="F5" s="207">
        <f t="shared" ref="F5:F25" si="2">ABS(E5)</f>
        <v>27.388393719773976</v>
      </c>
      <c r="G5" s="208">
        <f t="shared" ref="G5:G25" si="3">F5/C5</f>
        <v>0.62246349363122677</v>
      </c>
      <c r="I5" s="7"/>
    </row>
    <row r="6" spans="1:13" ht="12.95" customHeight="1" x14ac:dyDescent="0.25">
      <c r="A6" s="203">
        <v>4</v>
      </c>
      <c r="B6" s="203" t="s">
        <v>9</v>
      </c>
      <c r="C6" s="203">
        <v>37</v>
      </c>
      <c r="D6" s="204">
        <f t="shared" si="0"/>
        <v>37.894367842906462</v>
      </c>
      <c r="E6" s="204">
        <f t="shared" si="1"/>
        <v>-0.89436784290646187</v>
      </c>
      <c r="F6" s="205">
        <f t="shared" si="2"/>
        <v>0.89436784290646187</v>
      </c>
      <c r="G6" s="206">
        <f t="shared" si="3"/>
        <v>2.4172103862336806E-2</v>
      </c>
      <c r="H6" s="7"/>
      <c r="I6" s="7"/>
    </row>
    <row r="7" spans="1:13" ht="12.95" customHeight="1" x14ac:dyDescent="0.25">
      <c r="A7" s="98">
        <v>5</v>
      </c>
      <c r="B7" s="98" t="s">
        <v>10</v>
      </c>
      <c r="C7" s="98">
        <v>60</v>
      </c>
      <c r="D7" s="200">
        <f t="shared" si="0"/>
        <v>37.199379383756174</v>
      </c>
      <c r="E7" s="200">
        <f t="shared" si="1"/>
        <v>22.800620616243826</v>
      </c>
      <c r="F7" s="207">
        <f t="shared" si="2"/>
        <v>22.800620616243826</v>
      </c>
      <c r="G7" s="208">
        <f t="shared" si="3"/>
        <v>0.38001034360406377</v>
      </c>
    </row>
    <row r="8" spans="1:13" ht="12.95" customHeight="1" x14ac:dyDescent="0.25">
      <c r="A8" s="203">
        <v>6</v>
      </c>
      <c r="B8" s="203" t="s">
        <v>11</v>
      </c>
      <c r="C8" s="203">
        <v>74</v>
      </c>
      <c r="D8" s="204">
        <f t="shared" si="0"/>
        <v>54.917109639192923</v>
      </c>
      <c r="E8" s="204">
        <f t="shared" si="1"/>
        <v>19.082890360807077</v>
      </c>
      <c r="F8" s="205">
        <f t="shared" si="2"/>
        <v>19.082890360807077</v>
      </c>
      <c r="G8" s="206">
        <f t="shared" si="3"/>
        <v>0.25787689676766323</v>
      </c>
    </row>
    <row r="9" spans="1:13" ht="12.95" customHeight="1" x14ac:dyDescent="0.25">
      <c r="A9" s="98">
        <v>7</v>
      </c>
      <c r="B9" s="98" t="s">
        <v>12</v>
      </c>
      <c r="C9" s="98">
        <v>60</v>
      </c>
      <c r="D9" s="200">
        <f t="shared" si="0"/>
        <v>69.745894767347622</v>
      </c>
      <c r="E9" s="200">
        <f t="shared" si="1"/>
        <v>-9.7458947673476217</v>
      </c>
      <c r="F9" s="207">
        <f t="shared" si="2"/>
        <v>9.7458947673476217</v>
      </c>
      <c r="G9" s="208">
        <f t="shared" si="3"/>
        <v>0.1624315794557937</v>
      </c>
    </row>
    <row r="10" spans="1:13" ht="12.95" customHeight="1" x14ac:dyDescent="0.25">
      <c r="A10" s="203">
        <v>8</v>
      </c>
      <c r="B10" s="203" t="s">
        <v>13</v>
      </c>
      <c r="C10" s="203">
        <v>50</v>
      </c>
      <c r="D10" s="204">
        <f t="shared" si="0"/>
        <v>62.172630096529019</v>
      </c>
      <c r="E10" s="204">
        <f t="shared" si="1"/>
        <v>-12.172630096529019</v>
      </c>
      <c r="F10" s="205">
        <f t="shared" si="2"/>
        <v>12.172630096529019</v>
      </c>
      <c r="G10" s="206">
        <f t="shared" si="3"/>
        <v>0.24345260193058038</v>
      </c>
    </row>
    <row r="11" spans="1:13" ht="12.95" customHeight="1" x14ac:dyDescent="0.25">
      <c r="A11" s="98">
        <v>9</v>
      </c>
      <c r="B11" s="98" t="s">
        <v>14</v>
      </c>
      <c r="C11" s="98">
        <v>120</v>
      </c>
      <c r="D11" s="200">
        <f t="shared" si="0"/>
        <v>52.713616669681258</v>
      </c>
      <c r="E11" s="200">
        <f t="shared" si="1"/>
        <v>67.286383330318742</v>
      </c>
      <c r="F11" s="207">
        <f t="shared" si="2"/>
        <v>67.286383330318742</v>
      </c>
      <c r="G11" s="208">
        <f t="shared" si="3"/>
        <v>0.56071986108598948</v>
      </c>
    </row>
    <row r="12" spans="1:13" ht="12.95" customHeight="1" x14ac:dyDescent="0.25">
      <c r="A12" s="203">
        <v>10</v>
      </c>
      <c r="B12" s="203" t="s">
        <v>15</v>
      </c>
      <c r="C12" s="203">
        <v>105</v>
      </c>
      <c r="D12" s="204">
        <f t="shared" si="0"/>
        <v>105.00000000001799</v>
      </c>
      <c r="E12" s="204">
        <f t="shared" si="1"/>
        <v>-1.7990942069445737E-11</v>
      </c>
      <c r="F12" s="205">
        <f t="shared" si="2"/>
        <v>1.7990942069445737E-11</v>
      </c>
      <c r="G12" s="206">
        <f t="shared" si="3"/>
        <v>1.7134230542329273E-13</v>
      </c>
    </row>
    <row r="13" spans="1:13" ht="12.95" customHeight="1" x14ac:dyDescent="0.25">
      <c r="A13" s="98">
        <v>11</v>
      </c>
      <c r="B13" s="98" t="s">
        <v>16</v>
      </c>
      <c r="C13" s="98">
        <v>135</v>
      </c>
      <c r="D13" s="200">
        <f t="shared" si="0"/>
        <v>105.00000000000401</v>
      </c>
      <c r="E13" s="200">
        <f t="shared" si="1"/>
        <v>29.999999999995993</v>
      </c>
      <c r="F13" s="207">
        <f t="shared" si="2"/>
        <v>29.999999999995993</v>
      </c>
      <c r="G13" s="208">
        <f t="shared" si="3"/>
        <v>0.22222222222219254</v>
      </c>
    </row>
    <row r="14" spans="1:13" ht="12.95" customHeight="1" x14ac:dyDescent="0.25">
      <c r="A14" s="203">
        <v>12</v>
      </c>
      <c r="B14" s="203" t="s">
        <v>17</v>
      </c>
      <c r="C14" s="203">
        <v>120</v>
      </c>
      <c r="D14" s="204">
        <f t="shared" si="0"/>
        <v>128.31216841020739</v>
      </c>
      <c r="E14" s="204">
        <f t="shared" si="1"/>
        <v>-8.3121684102073914</v>
      </c>
      <c r="F14" s="205">
        <f t="shared" si="2"/>
        <v>8.3121684102073914</v>
      </c>
      <c r="G14" s="206">
        <f t="shared" si="3"/>
        <v>6.9268070085061598E-2</v>
      </c>
    </row>
    <row r="15" spans="1:13" ht="12.95" customHeight="1" x14ac:dyDescent="0.25">
      <c r="A15" s="98">
        <v>13</v>
      </c>
      <c r="B15" s="98" t="s">
        <v>6</v>
      </c>
      <c r="C15" s="98">
        <v>130</v>
      </c>
      <c r="D15" s="200">
        <f t="shared" si="0"/>
        <v>121.85301274911562</v>
      </c>
      <c r="E15" s="200">
        <f t="shared" si="1"/>
        <v>8.1469872508843793</v>
      </c>
      <c r="F15" s="207">
        <f t="shared" si="2"/>
        <v>8.1469872508843793</v>
      </c>
      <c r="G15" s="208">
        <f t="shared" si="3"/>
        <v>6.2669132699110605E-2</v>
      </c>
    </row>
    <row r="16" spans="1:13" ht="12.95" customHeight="1" x14ac:dyDescent="0.25">
      <c r="A16" s="203">
        <v>14</v>
      </c>
      <c r="B16" s="203" t="s">
        <v>7</v>
      </c>
      <c r="C16" s="203">
        <v>110</v>
      </c>
      <c r="D16" s="204">
        <f t="shared" si="0"/>
        <v>128.18381071006303</v>
      </c>
      <c r="E16" s="204">
        <f t="shared" si="1"/>
        <v>-18.183810710063028</v>
      </c>
      <c r="F16" s="205">
        <f t="shared" si="2"/>
        <v>18.183810710063028</v>
      </c>
      <c r="G16" s="206">
        <f t="shared" si="3"/>
        <v>0.16530737009148208</v>
      </c>
    </row>
    <row r="17" spans="1:7" ht="12.95" customHeight="1" x14ac:dyDescent="0.25">
      <c r="A17" s="98">
        <v>15</v>
      </c>
      <c r="B17" s="98" t="s">
        <v>8</v>
      </c>
      <c r="C17" s="98">
        <v>110</v>
      </c>
      <c r="D17" s="200">
        <f t="shared" si="0"/>
        <v>114.0536754563195</v>
      </c>
      <c r="E17" s="200">
        <f t="shared" si="1"/>
        <v>-4.0536754563194961</v>
      </c>
      <c r="F17" s="207">
        <f t="shared" si="2"/>
        <v>4.0536754563194961</v>
      </c>
      <c r="G17" s="208">
        <f t="shared" si="3"/>
        <v>3.6851595057449962E-2</v>
      </c>
    </row>
    <row r="18" spans="1:7" ht="12.95" customHeight="1" x14ac:dyDescent="0.25">
      <c r="A18" s="203">
        <v>16</v>
      </c>
      <c r="B18" s="203" t="s">
        <v>9</v>
      </c>
      <c r="C18" s="204">
        <v>112.2</v>
      </c>
      <c r="D18" s="204">
        <f t="shared" si="0"/>
        <v>110.90367662571813</v>
      </c>
      <c r="E18" s="204">
        <f t="shared" si="1"/>
        <v>1.2963233742818687</v>
      </c>
      <c r="F18" s="205">
        <f t="shared" si="2"/>
        <v>1.2963233742818687</v>
      </c>
      <c r="G18" s="206">
        <f t="shared" si="3"/>
        <v>1.1553684262761753E-2</v>
      </c>
    </row>
    <row r="19" spans="1:7" ht="12.95" customHeight="1" x14ac:dyDescent="0.25">
      <c r="A19" s="98">
        <v>17</v>
      </c>
      <c r="B19" s="98" t="s">
        <v>10</v>
      </c>
      <c r="C19" s="207">
        <v>100.98</v>
      </c>
      <c r="D19" s="200">
        <f t="shared" si="0"/>
        <v>111.91101358622967</v>
      </c>
      <c r="E19" s="200">
        <f t="shared" si="1"/>
        <v>-10.931013586229668</v>
      </c>
      <c r="F19" s="207">
        <f t="shared" si="2"/>
        <v>10.931013586229668</v>
      </c>
      <c r="G19" s="208">
        <f t="shared" si="3"/>
        <v>0.108249292792926</v>
      </c>
    </row>
    <row r="20" spans="1:7" ht="12.95" customHeight="1" x14ac:dyDescent="0.25">
      <c r="A20" s="203">
        <v>18</v>
      </c>
      <c r="B20" s="203" t="s">
        <v>11</v>
      </c>
      <c r="C20" s="205">
        <v>107.03880000000001</v>
      </c>
      <c r="D20" s="204">
        <f t="shared" si="0"/>
        <v>103.4168259323483</v>
      </c>
      <c r="E20" s="204">
        <f t="shared" si="1"/>
        <v>3.6219740676517063</v>
      </c>
      <c r="F20" s="205">
        <f t="shared" si="2"/>
        <v>3.6219740676517063</v>
      </c>
      <c r="G20" s="206">
        <f t="shared" si="3"/>
        <v>3.3837954719706367E-2</v>
      </c>
    </row>
    <row r="21" spans="1:7" ht="12.95" customHeight="1" x14ac:dyDescent="0.25">
      <c r="A21" s="98">
        <v>19</v>
      </c>
      <c r="B21" s="98" t="s">
        <v>12</v>
      </c>
      <c r="C21" s="207">
        <v>101.68686000000001</v>
      </c>
      <c r="D21" s="200">
        <f t="shared" si="0"/>
        <v>106.23136158043155</v>
      </c>
      <c r="E21" s="200">
        <f t="shared" si="1"/>
        <v>-4.5445015804315432</v>
      </c>
      <c r="F21" s="207">
        <f t="shared" si="2"/>
        <v>4.5445015804315432</v>
      </c>
      <c r="G21" s="208">
        <f t="shared" si="3"/>
        <v>4.4691138859352553E-2</v>
      </c>
    </row>
    <row r="22" spans="1:7" ht="12.95" customHeight="1" x14ac:dyDescent="0.25">
      <c r="A22" s="203">
        <v>20</v>
      </c>
      <c r="B22" s="203" t="s">
        <v>13</v>
      </c>
      <c r="C22" s="205">
        <v>116.93988900000001</v>
      </c>
      <c r="D22" s="204">
        <f t="shared" si="0"/>
        <v>102.69995537431589</v>
      </c>
      <c r="E22" s="204">
        <f t="shared" si="1"/>
        <v>14.239933625684117</v>
      </c>
      <c r="F22" s="205">
        <f t="shared" si="2"/>
        <v>14.239933625684117</v>
      </c>
      <c r="G22" s="206">
        <f t="shared" si="3"/>
        <v>0.12177139680442245</v>
      </c>
    </row>
    <row r="23" spans="1:7" ht="12.95" customHeight="1" x14ac:dyDescent="0.25">
      <c r="A23" s="98">
        <v>21</v>
      </c>
      <c r="B23" s="98" t="s">
        <v>14</v>
      </c>
      <c r="C23" s="207">
        <v>123.95628234000002</v>
      </c>
      <c r="D23" s="200">
        <f t="shared" si="0"/>
        <v>113.76541306871958</v>
      </c>
      <c r="E23" s="200">
        <f t="shared" si="1"/>
        <v>10.190869271280434</v>
      </c>
      <c r="F23" s="207">
        <f t="shared" si="2"/>
        <v>10.190869271280434</v>
      </c>
      <c r="G23" s="208">
        <f t="shared" si="3"/>
        <v>8.2213414914525038E-2</v>
      </c>
    </row>
    <row r="24" spans="1:7" ht="12.95" customHeight="1" x14ac:dyDescent="0.25">
      <c r="A24" s="203">
        <v>22</v>
      </c>
      <c r="B24" s="203" t="s">
        <v>15</v>
      </c>
      <c r="C24" s="205">
        <v>118.99803104640002</v>
      </c>
      <c r="D24" s="204">
        <f t="shared" si="0"/>
        <v>121.68445509200251</v>
      </c>
      <c r="E24" s="204">
        <f t="shared" si="1"/>
        <v>-2.686424045602493</v>
      </c>
      <c r="F24" s="205">
        <f t="shared" si="2"/>
        <v>2.686424045602493</v>
      </c>
      <c r="G24" s="206">
        <f t="shared" si="3"/>
        <v>2.2575365507980512E-2</v>
      </c>
    </row>
    <row r="25" spans="1:7" ht="12.95" customHeight="1" x14ac:dyDescent="0.25">
      <c r="A25" s="98">
        <v>23</v>
      </c>
      <c r="B25" s="98" t="s">
        <v>16</v>
      </c>
      <c r="C25" s="207">
        <v>121.37799166732802</v>
      </c>
      <c r="D25" s="200">
        <f t="shared" si="0"/>
        <v>119.5969094329254</v>
      </c>
      <c r="E25" s="200">
        <f t="shared" si="1"/>
        <v>1.7810822344026178</v>
      </c>
      <c r="F25" s="207">
        <f t="shared" si="2"/>
        <v>1.7810822344026178</v>
      </c>
      <c r="G25" s="208">
        <f t="shared" si="3"/>
        <v>1.4673848281195787E-2</v>
      </c>
    </row>
    <row r="26" spans="1:7" ht="12.95" customHeight="1" x14ac:dyDescent="0.25">
      <c r="A26" s="203">
        <v>24</v>
      </c>
      <c r="B26" s="203" t="s">
        <v>17</v>
      </c>
      <c r="C26" s="204">
        <v>123.80555150067458</v>
      </c>
      <c r="D26" s="204"/>
      <c r="E26" s="204"/>
      <c r="F26" s="205"/>
      <c r="G26" s="206"/>
    </row>
    <row r="27" spans="1:7" ht="6" customHeight="1" x14ac:dyDescent="0.25">
      <c r="C27" s="53"/>
      <c r="D27" s="53"/>
      <c r="E27" s="53"/>
      <c r="F27" s="54"/>
      <c r="G27" s="55"/>
    </row>
    <row r="28" spans="1:7" ht="12.95" customHeight="1" x14ac:dyDescent="0.25">
      <c r="C28" s="78">
        <f>SUM(C3:C26)</f>
        <v>2216.9834055544025</v>
      </c>
      <c r="D28" s="53"/>
      <c r="E28" s="53"/>
      <c r="F28" s="78">
        <f>SUM(F4:F25)</f>
        <v>284.58922154357725</v>
      </c>
      <c r="G28" s="79">
        <f>F28/C28</f>
        <v>0.12836777254650214</v>
      </c>
    </row>
  </sheetData>
  <mergeCells count="2">
    <mergeCell ref="K3:M3"/>
    <mergeCell ref="I1:M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4"/>
  <sheetViews>
    <sheetView showGridLines="0" zoomScale="130" zoomScaleNormal="130" workbookViewId="0">
      <selection activeCell="N20" sqref="N20"/>
    </sheetView>
  </sheetViews>
  <sheetFormatPr defaultRowHeight="15.75" x14ac:dyDescent="0.25"/>
  <cols>
    <col min="1" max="1" width="1.5" customWidth="1"/>
    <col min="2" max="2" width="8.875" customWidth="1"/>
    <col min="3" max="3" width="8" style="17" bestFit="1" customWidth="1"/>
    <col min="4" max="13" width="8.625" customWidth="1"/>
    <col min="14" max="14" width="7.625" customWidth="1"/>
    <col min="15" max="15" width="1.625" customWidth="1"/>
  </cols>
  <sheetData>
    <row r="2" spans="2:16" ht="15.75" customHeight="1" x14ac:dyDescent="0.25">
      <c r="D2" s="282" t="s">
        <v>131</v>
      </c>
      <c r="E2" s="282"/>
      <c r="F2" s="282"/>
      <c r="G2" s="282"/>
      <c r="H2" s="282"/>
      <c r="I2" s="282"/>
      <c r="J2" s="282"/>
      <c r="K2" s="282"/>
      <c r="L2" s="282"/>
      <c r="M2" s="282"/>
    </row>
    <row r="3" spans="2:16" ht="15.75" customHeight="1" x14ac:dyDescent="0.25">
      <c r="D3" s="282"/>
      <c r="E3" s="282"/>
      <c r="F3" s="282"/>
      <c r="G3" s="282"/>
      <c r="H3" s="282"/>
      <c r="I3" s="282"/>
      <c r="J3" s="282"/>
      <c r="K3" s="282"/>
      <c r="L3" s="282"/>
      <c r="M3" s="282"/>
    </row>
    <row r="5" spans="2:16" ht="16.5" thickBot="1" x14ac:dyDescent="0.3">
      <c r="D5" s="286" t="s">
        <v>26</v>
      </c>
      <c r="E5" s="287"/>
      <c r="F5" s="287"/>
      <c r="G5" s="287"/>
      <c r="H5" s="286" t="s">
        <v>27</v>
      </c>
      <c r="I5" s="287"/>
      <c r="J5" s="287"/>
      <c r="K5" s="288"/>
      <c r="L5" s="286" t="s">
        <v>28</v>
      </c>
      <c r="M5" s="288"/>
    </row>
    <row r="6" spans="2:16" ht="16.5" thickBot="1" x14ac:dyDescent="0.3">
      <c r="C6" s="80" t="s">
        <v>1</v>
      </c>
      <c r="D6" s="18" t="s">
        <v>22</v>
      </c>
      <c r="E6" s="18" t="s">
        <v>23</v>
      </c>
      <c r="F6" s="18" t="s">
        <v>24</v>
      </c>
      <c r="G6" s="18" t="s">
        <v>25</v>
      </c>
      <c r="H6" s="18" t="s">
        <v>22</v>
      </c>
      <c r="I6" s="18" t="s">
        <v>23</v>
      </c>
      <c r="J6" s="18" t="s">
        <v>24</v>
      </c>
      <c r="K6" s="18" t="s">
        <v>25</v>
      </c>
      <c r="L6" s="18" t="s">
        <v>22</v>
      </c>
      <c r="M6" s="18" t="s">
        <v>23</v>
      </c>
      <c r="N6" s="19" t="s">
        <v>98</v>
      </c>
      <c r="P6" s="60" t="s">
        <v>18</v>
      </c>
    </row>
    <row r="7" spans="2:16" x14ac:dyDescent="0.25">
      <c r="B7" s="289" t="s">
        <v>127</v>
      </c>
      <c r="C7" s="222" t="s">
        <v>110</v>
      </c>
      <c r="D7" s="136">
        <v>25000</v>
      </c>
      <c r="E7" s="137">
        <v>26200</v>
      </c>
      <c r="F7" s="137">
        <v>25000</v>
      </c>
      <c r="G7" s="137">
        <v>28000</v>
      </c>
      <c r="H7" s="137">
        <v>24000</v>
      </c>
      <c r="I7" s="137">
        <v>28100</v>
      </c>
      <c r="J7" s="138"/>
      <c r="K7" s="138"/>
      <c r="L7" s="138"/>
      <c r="M7" s="139"/>
      <c r="N7" s="131">
        <f>SUM(D7:M7)</f>
        <v>156300</v>
      </c>
      <c r="P7" s="59">
        <f>AVERAGE(D7:I7)</f>
        <v>26050</v>
      </c>
    </row>
    <row r="8" spans="2:16" x14ac:dyDescent="0.25">
      <c r="B8" s="290"/>
      <c r="C8" s="223" t="s">
        <v>111</v>
      </c>
      <c r="D8" s="210"/>
      <c r="E8" s="21">
        <v>26400</v>
      </c>
      <c r="F8" s="21">
        <v>26500</v>
      </c>
      <c r="G8" s="21">
        <v>28600</v>
      </c>
      <c r="H8" s="21">
        <v>29800</v>
      </c>
      <c r="I8" s="21">
        <v>28100</v>
      </c>
      <c r="J8" s="21">
        <v>25500</v>
      </c>
      <c r="K8" s="134"/>
      <c r="L8" s="134"/>
      <c r="M8" s="141"/>
      <c r="N8" s="132">
        <f>SUM(E8:M8)</f>
        <v>164900</v>
      </c>
      <c r="P8" s="57">
        <f>AVERAGE(E8:J8)</f>
        <v>27483.333333333332</v>
      </c>
    </row>
    <row r="9" spans="2:16" x14ac:dyDescent="0.25">
      <c r="B9" s="290"/>
      <c r="C9" s="223" t="s">
        <v>112</v>
      </c>
      <c r="D9" s="210"/>
      <c r="E9" s="212"/>
      <c r="F9" s="21">
        <v>25500</v>
      </c>
      <c r="G9" s="21">
        <v>26500</v>
      </c>
      <c r="H9" s="21">
        <v>23500</v>
      </c>
      <c r="I9" s="21">
        <v>28100</v>
      </c>
      <c r="J9" s="21">
        <v>25500</v>
      </c>
      <c r="K9" s="21">
        <v>28000</v>
      </c>
      <c r="L9" s="134"/>
      <c r="M9" s="141"/>
      <c r="N9" s="132">
        <f>SUM(F9:M9)</f>
        <v>157100</v>
      </c>
      <c r="P9" s="57">
        <f>AVERAGE(F9:K9)</f>
        <v>26183.333333333332</v>
      </c>
    </row>
    <row r="10" spans="2:16" ht="16.5" thickBot="1" x14ac:dyDescent="0.3">
      <c r="B10" s="291"/>
      <c r="C10" s="224" t="s">
        <v>113</v>
      </c>
      <c r="D10" s="211"/>
      <c r="E10" s="213"/>
      <c r="F10" s="213"/>
      <c r="G10" s="144">
        <v>29000</v>
      </c>
      <c r="H10" s="144">
        <v>31800</v>
      </c>
      <c r="I10" s="144">
        <v>29000</v>
      </c>
      <c r="J10" s="144">
        <v>25500</v>
      </c>
      <c r="K10" s="144">
        <v>28000</v>
      </c>
      <c r="L10" s="144">
        <v>32500</v>
      </c>
      <c r="M10" s="145"/>
      <c r="N10" s="133">
        <f>SUM(G10:M10)</f>
        <v>175800</v>
      </c>
      <c r="P10" s="58">
        <f>AVERAGE(G10:L10)</f>
        <v>29300</v>
      </c>
    </row>
    <row r="11" spans="2:16" ht="16.5" thickBot="1" x14ac:dyDescent="0.3">
      <c r="B11" s="20"/>
      <c r="C11" s="225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</row>
    <row r="12" spans="2:16" x14ac:dyDescent="0.25">
      <c r="B12" s="292" t="s">
        <v>99</v>
      </c>
      <c r="C12" s="222" t="s">
        <v>110</v>
      </c>
      <c r="D12" s="152" t="s">
        <v>114</v>
      </c>
      <c r="E12" s="153" t="s">
        <v>114</v>
      </c>
      <c r="F12" s="153" t="s">
        <v>114</v>
      </c>
      <c r="G12" s="153" t="s">
        <v>114</v>
      </c>
      <c r="H12" s="153" t="s">
        <v>114</v>
      </c>
      <c r="I12" s="153" t="s">
        <v>114</v>
      </c>
      <c r="J12" s="154"/>
      <c r="K12" s="138"/>
      <c r="L12" s="138"/>
      <c r="M12" s="139"/>
      <c r="N12" s="146" t="s">
        <v>114</v>
      </c>
    </row>
    <row r="13" spans="2:16" x14ac:dyDescent="0.25">
      <c r="B13" s="293"/>
      <c r="C13" s="223" t="s">
        <v>111</v>
      </c>
      <c r="D13" s="214"/>
      <c r="E13" s="25">
        <f>E8/E7-1</f>
        <v>7.6335877862594437E-3</v>
      </c>
      <c r="F13" s="25">
        <f t="shared" ref="F13:H13" si="0">F8/F7-1</f>
        <v>6.0000000000000053E-2</v>
      </c>
      <c r="G13" s="25">
        <f t="shared" si="0"/>
        <v>2.1428571428571352E-2</v>
      </c>
      <c r="H13" s="177">
        <f t="shared" si="0"/>
        <v>0.2416666666666667</v>
      </c>
      <c r="I13" s="25">
        <f>I8/I7-1</f>
        <v>0</v>
      </c>
      <c r="J13" s="151" t="s">
        <v>114</v>
      </c>
      <c r="K13" s="134"/>
      <c r="L13" s="134"/>
      <c r="M13" s="141"/>
      <c r="N13" s="147">
        <f>SUM(E8:I8)/SUM(E7:I7)-1</f>
        <v>6.1690784463061643E-2</v>
      </c>
    </row>
    <row r="14" spans="2:16" x14ac:dyDescent="0.25">
      <c r="B14" s="293"/>
      <c r="C14" s="223" t="s">
        <v>112</v>
      </c>
      <c r="D14" s="214"/>
      <c r="E14" s="216"/>
      <c r="F14" s="25">
        <f>F9/F8-1</f>
        <v>-3.7735849056603765E-2</v>
      </c>
      <c r="G14" s="25">
        <f>G9/G8-1</f>
        <v>-7.3426573426573438E-2</v>
      </c>
      <c r="H14" s="25">
        <f>H9/H8-1</f>
        <v>-0.21140939597315433</v>
      </c>
      <c r="I14" s="25">
        <f>I9/I8-1</f>
        <v>0</v>
      </c>
      <c r="J14" s="25">
        <f>J9/J8-1</f>
        <v>0</v>
      </c>
      <c r="K14" s="151" t="s">
        <v>114</v>
      </c>
      <c r="L14" s="149"/>
      <c r="M14" s="141"/>
      <c r="N14" s="147">
        <f>SUM(F9:J9)/SUM(F8:J8)-1</f>
        <v>-6.7870036101082998E-2</v>
      </c>
    </row>
    <row r="15" spans="2:16" ht="16.5" thickBot="1" x14ac:dyDescent="0.3">
      <c r="B15" s="294"/>
      <c r="C15" s="224" t="s">
        <v>113</v>
      </c>
      <c r="D15" s="215"/>
      <c r="E15" s="217"/>
      <c r="F15" s="217"/>
      <c r="G15" s="178">
        <f>G10/G9-1</f>
        <v>9.4339622641509413E-2</v>
      </c>
      <c r="H15" s="178">
        <v>0.32</v>
      </c>
      <c r="I15" s="158">
        <f t="shared" ref="I15:J15" si="1">I10/I9-1</f>
        <v>3.2028469750889688E-2</v>
      </c>
      <c r="J15" s="158">
        <f t="shared" si="1"/>
        <v>0</v>
      </c>
      <c r="K15" s="158">
        <f>K10/K9-1</f>
        <v>0</v>
      </c>
      <c r="L15" s="159" t="s">
        <v>114</v>
      </c>
      <c r="M15" s="145"/>
      <c r="N15" s="148">
        <f>SUM(G10:K10)/SUM(G9:K9)-1</f>
        <v>8.8905775075987847E-2</v>
      </c>
    </row>
    <row r="16" spans="2:16" ht="16.5" thickBot="1" x14ac:dyDescent="0.3">
      <c r="B16" s="20"/>
      <c r="C16" s="2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2:14" x14ac:dyDescent="0.25">
      <c r="B17" s="283" t="s">
        <v>136</v>
      </c>
      <c r="C17" s="222" t="s">
        <v>110</v>
      </c>
      <c r="D17" s="167">
        <f>30000/D7</f>
        <v>1.2</v>
      </c>
      <c r="E17" s="168">
        <f t="shared" ref="E17:L20" si="2">30000/E7</f>
        <v>1.1450381679389312</v>
      </c>
      <c r="F17" s="168">
        <f t="shared" si="2"/>
        <v>1.2</v>
      </c>
      <c r="G17" s="168">
        <f t="shared" si="2"/>
        <v>1.0714285714285714</v>
      </c>
      <c r="H17" s="168">
        <f t="shared" si="2"/>
        <v>1.25</v>
      </c>
      <c r="I17" s="168">
        <f t="shared" si="2"/>
        <v>1.0676156583629892</v>
      </c>
      <c r="J17" s="169"/>
      <c r="K17" s="169"/>
      <c r="L17" s="169"/>
      <c r="M17" s="170"/>
      <c r="N17" s="179">
        <f>30000*6/N7</f>
        <v>1.1516314779270633</v>
      </c>
    </row>
    <row r="18" spans="2:14" x14ac:dyDescent="0.25">
      <c r="B18" s="284"/>
      <c r="C18" s="223" t="s">
        <v>111</v>
      </c>
      <c r="D18" s="218"/>
      <c r="E18" s="163">
        <f t="shared" si="2"/>
        <v>1.1363636363636365</v>
      </c>
      <c r="F18" s="163">
        <f t="shared" si="2"/>
        <v>1.1320754716981132</v>
      </c>
      <c r="G18" s="163">
        <f t="shared" si="2"/>
        <v>1.048951048951049</v>
      </c>
      <c r="H18" s="163">
        <f t="shared" si="2"/>
        <v>1.0067114093959733</v>
      </c>
      <c r="I18" s="163">
        <f t="shared" si="2"/>
        <v>1.0676156583629892</v>
      </c>
      <c r="J18" s="163">
        <f t="shared" si="2"/>
        <v>1.1764705882352942</v>
      </c>
      <c r="K18" s="166"/>
      <c r="L18" s="164"/>
      <c r="M18" s="172"/>
      <c r="N18" s="180">
        <f t="shared" ref="N18:N19" si="3">30000*6/N8</f>
        <v>1.0915706488781078</v>
      </c>
    </row>
    <row r="19" spans="2:14" x14ac:dyDescent="0.25">
      <c r="B19" s="284"/>
      <c r="C19" s="223" t="s">
        <v>112</v>
      </c>
      <c r="D19" s="218"/>
      <c r="E19" s="219"/>
      <c r="F19" s="163">
        <f t="shared" si="2"/>
        <v>1.1764705882352942</v>
      </c>
      <c r="G19" s="163">
        <f t="shared" si="2"/>
        <v>1.1320754716981132</v>
      </c>
      <c r="H19" s="163">
        <f t="shared" si="2"/>
        <v>1.2765957446808511</v>
      </c>
      <c r="I19" s="163">
        <f t="shared" si="2"/>
        <v>1.0676156583629892</v>
      </c>
      <c r="J19" s="163">
        <f t="shared" si="2"/>
        <v>1.1764705882352942</v>
      </c>
      <c r="K19" s="163">
        <f t="shared" si="2"/>
        <v>1.0714285714285714</v>
      </c>
      <c r="L19" s="164"/>
      <c r="M19" s="172"/>
      <c r="N19" s="180">
        <f t="shared" si="3"/>
        <v>1.1457670273711011</v>
      </c>
    </row>
    <row r="20" spans="2:14" ht="16.5" thickBot="1" x14ac:dyDescent="0.3">
      <c r="B20" s="285"/>
      <c r="C20" s="224" t="s">
        <v>113</v>
      </c>
      <c r="D20" s="221"/>
      <c r="E20" s="220"/>
      <c r="F20" s="220"/>
      <c r="G20" s="175">
        <f t="shared" si="2"/>
        <v>1.0344827586206897</v>
      </c>
      <c r="H20" s="182">
        <f t="shared" si="2"/>
        <v>0.94339622641509435</v>
      </c>
      <c r="I20" s="175">
        <f t="shared" si="2"/>
        <v>1.0344827586206897</v>
      </c>
      <c r="J20" s="175">
        <f t="shared" si="2"/>
        <v>1.1764705882352942</v>
      </c>
      <c r="K20" s="175">
        <f t="shared" si="2"/>
        <v>1.0714285714285714</v>
      </c>
      <c r="L20" s="182">
        <f t="shared" si="2"/>
        <v>0.92307692307692313</v>
      </c>
      <c r="M20" s="176"/>
      <c r="N20" s="181">
        <f>30000*6/N10</f>
        <v>1.0238907849829351</v>
      </c>
    </row>
    <row r="21" spans="2:14" x14ac:dyDescent="0.25"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</row>
    <row r="22" spans="2:14" x14ac:dyDescent="0.25"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8"/>
    </row>
    <row r="23" spans="2:14" x14ac:dyDescent="0.25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8"/>
    </row>
    <row r="24" spans="2:14" x14ac:dyDescent="0.25"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8"/>
    </row>
  </sheetData>
  <mergeCells count="7">
    <mergeCell ref="D2:M3"/>
    <mergeCell ref="B17:B20"/>
    <mergeCell ref="D5:G5"/>
    <mergeCell ref="H5:K5"/>
    <mergeCell ref="L5:M5"/>
    <mergeCell ref="B7:B10"/>
    <mergeCell ref="B12:B15"/>
  </mergeCells>
  <conditionalFormatting sqref="C7:N16 C17:C20 O7:O11 J17:M17 L18:M19 D18:D20 E19:E20 F20">
    <cfRule type="cellIs" dxfId="66" priority="2" stopIfTrue="1" operator="lessThanOrEqual">
      <formula>-0.001</formula>
    </cfRule>
  </conditionalFormatting>
  <conditionalFormatting sqref="D6:N6 P6 B7 C7:C20 B12 B17">
    <cfRule type="cellIs" dxfId="65" priority="1" stopIfTrue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23"/>
  <sheetViews>
    <sheetView showGridLines="0" topLeftCell="A2" zoomScale="130" zoomScaleNormal="130" workbookViewId="0">
      <selection activeCell="F22" sqref="F22"/>
    </sheetView>
  </sheetViews>
  <sheetFormatPr defaultRowHeight="15.75" x14ac:dyDescent="0.25"/>
  <cols>
    <col min="1" max="1" width="1.125" customWidth="1"/>
    <col min="2" max="2" width="5" customWidth="1"/>
    <col min="3" max="3" width="8" style="6" bestFit="1" customWidth="1"/>
    <col min="4" max="13" width="8.125" customWidth="1"/>
    <col min="14" max="14" width="7.625" customWidth="1"/>
    <col min="15" max="15" width="2.5" customWidth="1"/>
    <col min="16" max="16" width="7.625" customWidth="1"/>
    <col min="17" max="17" width="4.25" customWidth="1"/>
    <col min="18" max="18" width="7.625" customWidth="1"/>
  </cols>
  <sheetData>
    <row r="1" spans="2:18" ht="6" customHeight="1" x14ac:dyDescent="0.25">
      <c r="C1" s="66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2:18" x14ac:dyDescent="0.25">
      <c r="C2" s="66"/>
      <c r="D2" s="282" t="s">
        <v>130</v>
      </c>
      <c r="E2" s="282"/>
      <c r="F2" s="282"/>
      <c r="G2" s="282"/>
      <c r="H2" s="282"/>
      <c r="I2" s="282"/>
      <c r="J2" s="282"/>
      <c r="K2" s="282"/>
      <c r="L2" s="282"/>
      <c r="M2" s="282"/>
      <c r="N2" s="28"/>
    </row>
    <row r="3" spans="2:18" x14ac:dyDescent="0.25">
      <c r="C3" s="66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"/>
    </row>
    <row r="4" spans="2:18" x14ac:dyDescent="0.25">
      <c r="C4" s="66"/>
      <c r="D4" s="27"/>
      <c r="E4" s="27"/>
      <c r="F4" s="27"/>
      <c r="G4" s="27"/>
      <c r="H4" s="27"/>
      <c r="I4" s="27"/>
      <c r="J4" s="27"/>
      <c r="K4" s="27"/>
      <c r="L4" s="27"/>
      <c r="M4" s="27"/>
      <c r="N4" s="28"/>
    </row>
    <row r="5" spans="2:18" ht="16.5" thickBot="1" x14ac:dyDescent="0.3">
      <c r="C5" s="66"/>
      <c r="D5" s="286" t="s">
        <v>26</v>
      </c>
      <c r="E5" s="287"/>
      <c r="F5" s="287"/>
      <c r="G5" s="287"/>
      <c r="H5" s="286" t="s">
        <v>27</v>
      </c>
      <c r="I5" s="287"/>
      <c r="J5" s="287"/>
      <c r="K5" s="288"/>
      <c r="L5" s="286" t="s">
        <v>28</v>
      </c>
      <c r="M5" s="288"/>
    </row>
    <row r="6" spans="2:18" ht="16.5" thickBot="1" x14ac:dyDescent="0.3">
      <c r="C6" s="80" t="s">
        <v>1</v>
      </c>
      <c r="D6" s="18" t="s">
        <v>22</v>
      </c>
      <c r="E6" s="18" t="s">
        <v>23</v>
      </c>
      <c r="F6" s="18" t="s">
        <v>24</v>
      </c>
      <c r="G6" s="18" t="s">
        <v>25</v>
      </c>
      <c r="H6" s="18" t="s">
        <v>22</v>
      </c>
      <c r="I6" s="18" t="s">
        <v>23</v>
      </c>
      <c r="J6" s="18" t="s">
        <v>24</v>
      </c>
      <c r="K6" s="18" t="s">
        <v>25</v>
      </c>
      <c r="L6" s="18" t="s">
        <v>22</v>
      </c>
      <c r="M6" s="18" t="s">
        <v>23</v>
      </c>
      <c r="N6" s="19" t="s">
        <v>98</v>
      </c>
      <c r="P6" s="62" t="s">
        <v>31</v>
      </c>
      <c r="Q6" t="s">
        <v>138</v>
      </c>
      <c r="R6" s="63" t="s">
        <v>115</v>
      </c>
    </row>
    <row r="7" spans="2:18" x14ac:dyDescent="0.25">
      <c r="B7" s="289" t="s">
        <v>30</v>
      </c>
      <c r="C7" s="222" t="s">
        <v>110</v>
      </c>
      <c r="D7" s="136">
        <v>29000</v>
      </c>
      <c r="E7" s="137">
        <v>42000</v>
      </c>
      <c r="F7" s="137">
        <v>20800</v>
      </c>
      <c r="G7" s="137">
        <v>23500</v>
      </c>
      <c r="H7" s="228">
        <v>28900</v>
      </c>
      <c r="I7" s="228">
        <v>46000</v>
      </c>
      <c r="J7" s="138"/>
      <c r="K7" s="138"/>
      <c r="L7" s="138"/>
      <c r="M7" s="139"/>
      <c r="N7" s="131">
        <f>SUM(D7:M7)</f>
        <v>190200</v>
      </c>
      <c r="P7" s="61">
        <f>SUM(H7:I7)</f>
        <v>74900</v>
      </c>
      <c r="Q7" s="227">
        <f>P7/SUM(F7:I7)</f>
        <v>0.62835570469798663</v>
      </c>
      <c r="R7" s="226">
        <f>SUM(F7:I7)</f>
        <v>119200</v>
      </c>
    </row>
    <row r="8" spans="2:18" x14ac:dyDescent="0.25">
      <c r="B8" s="290"/>
      <c r="C8" s="223" t="s">
        <v>111</v>
      </c>
      <c r="D8" s="140"/>
      <c r="E8" s="21">
        <v>39000</v>
      </c>
      <c r="F8" s="21">
        <v>19600</v>
      </c>
      <c r="G8" s="21">
        <v>24000</v>
      </c>
      <c r="H8" s="229">
        <v>31080</v>
      </c>
      <c r="I8" s="229">
        <v>46000</v>
      </c>
      <c r="J8" s="21">
        <v>24200</v>
      </c>
      <c r="K8" s="134"/>
      <c r="L8" s="134"/>
      <c r="M8" s="141"/>
      <c r="N8" s="132">
        <f>SUM(D8:M8)</f>
        <v>183880</v>
      </c>
      <c r="P8" s="61">
        <f>SUM(H8:I8)</f>
        <v>77080</v>
      </c>
      <c r="Q8" s="227">
        <f>P8/SUM(F8:I8)</f>
        <v>0.63871395425919786</v>
      </c>
      <c r="R8" s="226">
        <f>SUM(F8:I8)</f>
        <v>120680</v>
      </c>
    </row>
    <row r="9" spans="2:18" x14ac:dyDescent="0.25">
      <c r="B9" s="290"/>
      <c r="C9" s="223" t="s">
        <v>112</v>
      </c>
      <c r="D9" s="140"/>
      <c r="E9" s="135"/>
      <c r="F9" s="21">
        <v>19200</v>
      </c>
      <c r="G9" s="21">
        <v>22100</v>
      </c>
      <c r="H9" s="229">
        <v>30600</v>
      </c>
      <c r="I9" s="229">
        <v>47500</v>
      </c>
      <c r="J9" s="21">
        <v>20800</v>
      </c>
      <c r="K9" s="21">
        <v>23400</v>
      </c>
      <c r="L9" s="134"/>
      <c r="M9" s="141"/>
      <c r="N9" s="132">
        <f>SUM(D9:M9)</f>
        <v>163600</v>
      </c>
      <c r="P9" s="61">
        <f t="shared" ref="P9:P10" si="0">SUM(H9:I9)</f>
        <v>78100</v>
      </c>
      <c r="Q9" s="227">
        <f>P9/SUM(G9:J9)</f>
        <v>0.6454545454545455</v>
      </c>
      <c r="R9" s="226">
        <f>SUM(F9:I9)</f>
        <v>119400</v>
      </c>
    </row>
    <row r="10" spans="2:18" ht="16.5" thickBot="1" x14ac:dyDescent="0.3">
      <c r="B10" s="291"/>
      <c r="C10" s="224" t="s">
        <v>113</v>
      </c>
      <c r="D10" s="142"/>
      <c r="E10" s="143"/>
      <c r="F10" s="143"/>
      <c r="G10" s="144">
        <v>21000</v>
      </c>
      <c r="H10" s="230">
        <v>32000</v>
      </c>
      <c r="I10" s="230">
        <v>47000</v>
      </c>
      <c r="J10" s="144">
        <v>20600</v>
      </c>
      <c r="K10" s="144">
        <v>24300</v>
      </c>
      <c r="L10" s="144">
        <v>29200</v>
      </c>
      <c r="M10" s="145"/>
      <c r="N10" s="133">
        <f>SUM(D10:M10)</f>
        <v>174100</v>
      </c>
      <c r="P10" s="61">
        <f t="shared" si="0"/>
        <v>79000</v>
      </c>
      <c r="Q10" s="227">
        <f>P10/SUM(G10:J10)</f>
        <v>0.65505804311774463</v>
      </c>
      <c r="R10" s="226">
        <f>SUM(F10:I10)</f>
        <v>100000</v>
      </c>
    </row>
    <row r="11" spans="2:18" ht="16.5" thickBot="1" x14ac:dyDescent="0.3">
      <c r="B11" s="20"/>
      <c r="C11" s="225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</row>
    <row r="12" spans="2:18" x14ac:dyDescent="0.25">
      <c r="B12" s="292" t="s">
        <v>99</v>
      </c>
      <c r="C12" s="222" t="s">
        <v>110</v>
      </c>
      <c r="D12" s="152" t="s">
        <v>114</v>
      </c>
      <c r="E12" s="153" t="s">
        <v>114</v>
      </c>
      <c r="F12" s="153" t="s">
        <v>114</v>
      </c>
      <c r="G12" s="153" t="s">
        <v>114</v>
      </c>
      <c r="H12" s="153" t="s">
        <v>114</v>
      </c>
      <c r="I12" s="153" t="s">
        <v>114</v>
      </c>
      <c r="J12" s="154"/>
      <c r="K12" s="138"/>
      <c r="L12" s="138"/>
      <c r="M12" s="139"/>
      <c r="N12" s="146" t="s">
        <v>114</v>
      </c>
      <c r="P12" s="231" t="s">
        <v>114</v>
      </c>
    </row>
    <row r="13" spans="2:18" x14ac:dyDescent="0.25">
      <c r="B13" s="293"/>
      <c r="C13" s="223" t="s">
        <v>111</v>
      </c>
      <c r="D13" s="155"/>
      <c r="E13" s="25">
        <f>E8/E7-1</f>
        <v>-7.1428571428571397E-2</v>
      </c>
      <c r="F13" s="25">
        <f>F8/F7-1</f>
        <v>-5.7692307692307709E-2</v>
      </c>
      <c r="G13" s="25">
        <f t="shared" ref="G13:H13" si="1">G8/G7-1</f>
        <v>2.1276595744680771E-2</v>
      </c>
      <c r="H13" s="25">
        <f t="shared" si="1"/>
        <v>7.5432525951557139E-2</v>
      </c>
      <c r="I13" s="25">
        <f>I8/I7-1</f>
        <v>0</v>
      </c>
      <c r="J13" s="151" t="s">
        <v>114</v>
      </c>
      <c r="K13" s="134"/>
      <c r="L13" s="134"/>
      <c r="M13" s="141"/>
      <c r="N13" s="147">
        <f>SUM(E8:I8)/SUM(E7:I7)-1</f>
        <v>-9.4292803970222883E-3</v>
      </c>
      <c r="P13" s="23">
        <f>P8/P7-1</f>
        <v>2.9105473965286954E-2</v>
      </c>
    </row>
    <row r="14" spans="2:18" x14ac:dyDescent="0.25">
      <c r="B14" s="293"/>
      <c r="C14" s="223" t="s">
        <v>112</v>
      </c>
      <c r="D14" s="155"/>
      <c r="E14" s="150"/>
      <c r="F14" s="25">
        <f>F9/F8-1</f>
        <v>-2.0408163265306145E-2</v>
      </c>
      <c r="G14" s="25">
        <f>G9/G8-1</f>
        <v>-7.9166666666666718E-2</v>
      </c>
      <c r="H14" s="25">
        <f>H9/H8-1</f>
        <v>-1.5444015444015413E-2</v>
      </c>
      <c r="I14" s="25">
        <f>I9/I8-1</f>
        <v>3.2608695652173836E-2</v>
      </c>
      <c r="J14" s="25">
        <f>J9/J8-1</f>
        <v>-0.14049586776859502</v>
      </c>
      <c r="K14" s="151" t="s">
        <v>114</v>
      </c>
      <c r="L14" s="149"/>
      <c r="M14" s="141"/>
      <c r="N14" s="147">
        <f>SUM(F9:J9)/SUM(F8:J8)-1</f>
        <v>-3.2302595251242461E-2</v>
      </c>
      <c r="P14" s="23">
        <f>P9/P8-1</f>
        <v>1.3233004670472281E-2</v>
      </c>
    </row>
    <row r="15" spans="2:18" ht="16.5" thickBot="1" x14ac:dyDescent="0.3">
      <c r="B15" s="294"/>
      <c r="C15" s="224" t="s">
        <v>113</v>
      </c>
      <c r="D15" s="156"/>
      <c r="E15" s="157"/>
      <c r="F15" s="157"/>
      <c r="G15" s="158">
        <f>G10/G9-1</f>
        <v>-4.9773755656108642E-2</v>
      </c>
      <c r="H15" s="158">
        <f t="shared" ref="H15:J15" si="2">H10/H9-1</f>
        <v>4.5751633986928164E-2</v>
      </c>
      <c r="I15" s="158">
        <f t="shared" si="2"/>
        <v>-1.0526315789473717E-2</v>
      </c>
      <c r="J15" s="158">
        <f t="shared" si="2"/>
        <v>-9.6153846153845812E-3</v>
      </c>
      <c r="K15" s="158">
        <f>K10/K9-1</f>
        <v>3.8461538461538547E-2</v>
      </c>
      <c r="L15" s="159" t="s">
        <v>114</v>
      </c>
      <c r="M15" s="145"/>
      <c r="N15" s="148">
        <f>SUM(G10:K10)/SUM(G9:K9)-1</f>
        <v>3.4626038781162549E-3</v>
      </c>
      <c r="P15" s="24">
        <f t="shared" ref="P15" si="3">P10/P9-1</f>
        <v>1.1523687580025532E-2</v>
      </c>
    </row>
    <row r="16" spans="2:18" x14ac:dyDescent="0.25">
      <c r="C16" s="225"/>
    </row>
    <row r="17" spans="2:18" ht="16.5" thickBot="1" x14ac:dyDescent="0.3">
      <c r="C17" s="225"/>
      <c r="N17" s="63" t="s">
        <v>72</v>
      </c>
      <c r="O17" s="1"/>
      <c r="P17" s="63" t="s">
        <v>31</v>
      </c>
      <c r="Q17" s="1"/>
      <c r="R17" s="63" t="s">
        <v>115</v>
      </c>
    </row>
    <row r="18" spans="2:18" x14ac:dyDescent="0.25">
      <c r="B18" s="283" t="s">
        <v>137</v>
      </c>
      <c r="C18" s="222" t="s">
        <v>110</v>
      </c>
      <c r="D18" s="167">
        <f>30000/D7</f>
        <v>1.0344827586206897</v>
      </c>
      <c r="E18" s="168">
        <f>30000/E7</f>
        <v>0.7142857142857143</v>
      </c>
      <c r="F18" s="168">
        <f t="shared" ref="E18:L21" si="4">30000/F7</f>
        <v>1.4423076923076923</v>
      </c>
      <c r="G18" s="168">
        <f t="shared" si="4"/>
        <v>1.2765957446808511</v>
      </c>
      <c r="H18" s="168">
        <f t="shared" si="4"/>
        <v>1.0380622837370241</v>
      </c>
      <c r="I18" s="168">
        <f>30000/I7</f>
        <v>0.65217391304347827</v>
      </c>
      <c r="J18" s="169"/>
      <c r="K18" s="169"/>
      <c r="L18" s="169"/>
      <c r="M18" s="170"/>
      <c r="N18" s="160">
        <f>30000*6/N7</f>
        <v>0.94637223974763407</v>
      </c>
      <c r="P18" s="26">
        <f>30000*2/P7</f>
        <v>0.8010680907877169</v>
      </c>
      <c r="R18" s="26">
        <f>30000*4/SUM(F7:I7)</f>
        <v>1.0067114093959733</v>
      </c>
    </row>
    <row r="19" spans="2:18" x14ac:dyDescent="0.25">
      <c r="B19" s="284"/>
      <c r="C19" s="223" t="s">
        <v>111</v>
      </c>
      <c r="D19" s="171"/>
      <c r="E19" s="163">
        <f t="shared" si="4"/>
        <v>0.76923076923076927</v>
      </c>
      <c r="F19" s="163">
        <f t="shared" si="4"/>
        <v>1.5306122448979591</v>
      </c>
      <c r="G19" s="163">
        <f t="shared" si="4"/>
        <v>1.25</v>
      </c>
      <c r="H19" s="163">
        <f t="shared" si="4"/>
        <v>0.96525096525096521</v>
      </c>
      <c r="I19" s="163">
        <f t="shared" si="4"/>
        <v>0.65217391304347827</v>
      </c>
      <c r="J19" s="163">
        <f t="shared" si="4"/>
        <v>1.2396694214876034</v>
      </c>
      <c r="K19" s="166"/>
      <c r="L19" s="164"/>
      <c r="M19" s="172"/>
      <c r="N19" s="161">
        <f>30000*6/N8</f>
        <v>0.97889928214052646</v>
      </c>
      <c r="P19" s="26">
        <f t="shared" ref="P19:P21" si="5">30000*2/P8</f>
        <v>0.77841203943954329</v>
      </c>
      <c r="R19" s="26">
        <f>30000*4/SUM(F8:I8)</f>
        <v>0.99436526350679488</v>
      </c>
    </row>
    <row r="20" spans="2:18" x14ac:dyDescent="0.25">
      <c r="B20" s="284"/>
      <c r="C20" s="223" t="s">
        <v>112</v>
      </c>
      <c r="D20" s="171"/>
      <c r="E20" s="165"/>
      <c r="F20" s="163">
        <f t="shared" si="4"/>
        <v>1.5625</v>
      </c>
      <c r="G20" s="163">
        <f t="shared" si="4"/>
        <v>1.3574660633484164</v>
      </c>
      <c r="H20" s="163">
        <f t="shared" si="4"/>
        <v>0.98039215686274506</v>
      </c>
      <c r="I20" s="163">
        <f t="shared" si="4"/>
        <v>0.63157894736842102</v>
      </c>
      <c r="J20" s="163">
        <f t="shared" si="4"/>
        <v>1.4423076923076923</v>
      </c>
      <c r="K20" s="163">
        <f t="shared" si="4"/>
        <v>1.2820512820512822</v>
      </c>
      <c r="L20" s="164"/>
      <c r="M20" s="172"/>
      <c r="N20" s="161">
        <f>30000*6/N9</f>
        <v>1.1002444987775062</v>
      </c>
      <c r="P20" s="26">
        <f t="shared" si="5"/>
        <v>0.76824583866837393</v>
      </c>
      <c r="R20" s="26">
        <f>30000*4/SUM(F9:I9)</f>
        <v>1.0050251256281406</v>
      </c>
    </row>
    <row r="21" spans="2:18" ht="16.5" thickBot="1" x14ac:dyDescent="0.3">
      <c r="B21" s="285"/>
      <c r="C21" s="224" t="s">
        <v>113</v>
      </c>
      <c r="D21" s="173"/>
      <c r="E21" s="174"/>
      <c r="F21" s="174"/>
      <c r="G21" s="175">
        <f t="shared" si="4"/>
        <v>1.4285714285714286</v>
      </c>
      <c r="H21" s="175">
        <f t="shared" si="4"/>
        <v>0.9375</v>
      </c>
      <c r="I21" s="175">
        <f t="shared" si="4"/>
        <v>0.63829787234042556</v>
      </c>
      <c r="J21" s="175">
        <f t="shared" si="4"/>
        <v>1.4563106796116505</v>
      </c>
      <c r="K21" s="175">
        <f t="shared" si="4"/>
        <v>1.2345679012345678</v>
      </c>
      <c r="L21" s="175">
        <f t="shared" si="4"/>
        <v>1.0273972602739727</v>
      </c>
      <c r="M21" s="176"/>
      <c r="N21" s="162">
        <f>30000*6/N10</f>
        <v>1.0338885697874785</v>
      </c>
      <c r="P21" s="26">
        <f t="shared" si="5"/>
        <v>0.759493670886076</v>
      </c>
      <c r="R21" s="26">
        <f>30000*3/SUM(G10:I10)</f>
        <v>0.9</v>
      </c>
    </row>
    <row r="22" spans="2:18" x14ac:dyDescent="0.25">
      <c r="C22" s="66"/>
    </row>
    <row r="23" spans="2:18" x14ac:dyDescent="0.25">
      <c r="C23" s="66"/>
    </row>
  </sheetData>
  <mergeCells count="7">
    <mergeCell ref="D2:M3"/>
    <mergeCell ref="B18:B21"/>
    <mergeCell ref="D5:G5"/>
    <mergeCell ref="H5:K5"/>
    <mergeCell ref="L5:M5"/>
    <mergeCell ref="B7:B10"/>
    <mergeCell ref="B12:B15"/>
  </mergeCells>
  <conditionalFormatting sqref="C7:C21">
    <cfRule type="cellIs" dxfId="64" priority="6" stopIfTrue="1" operator="lessThan">
      <formula>0</formula>
    </cfRule>
    <cfRule type="cellIs" dxfId="63" priority="7" stopIfTrue="1" operator="lessThanOrEqual">
      <formula>-0.001</formula>
    </cfRule>
  </conditionalFormatting>
  <conditionalFormatting sqref="D8:D10">
    <cfRule type="cellIs" dxfId="62" priority="10" stopIfTrue="1" operator="lessThanOrEqual">
      <formula>-0.001</formula>
    </cfRule>
  </conditionalFormatting>
  <conditionalFormatting sqref="D7:G7 O7:O11 E8:G8 J18:M18 L19:M20 D19:D21 E20:E21 F21">
    <cfRule type="cellIs" dxfId="61" priority="17" stopIfTrue="1" operator="lessThanOrEqual">
      <formula>-0.001</formula>
    </cfRule>
  </conditionalFormatting>
  <conditionalFormatting sqref="D18:I18 N18:N21 P18:P21 E19:J19 F20:K20 G21:L21">
    <cfRule type="cellIs" dxfId="60" priority="15" operator="lessThan">
      <formula>1</formula>
    </cfRule>
  </conditionalFormatting>
  <conditionalFormatting sqref="D6:N6 P6 B7 B12 B18">
    <cfRule type="cellIs" dxfId="59" priority="16" stopIfTrue="1" operator="lessThan">
      <formula>0</formula>
    </cfRule>
  </conditionalFormatting>
  <conditionalFormatting sqref="D11:N15">
    <cfRule type="cellIs" dxfId="58" priority="3" stopIfTrue="1" operator="lessThanOrEqual">
      <formula>-0.001</formula>
    </cfRule>
  </conditionalFormatting>
  <conditionalFormatting sqref="E9:N10">
    <cfRule type="cellIs" dxfId="57" priority="9" stopIfTrue="1" operator="lessThanOrEqual">
      <formula>-0.001</formula>
    </cfRule>
  </conditionalFormatting>
  <conditionalFormatting sqref="H7:N8">
    <cfRule type="cellIs" dxfId="56" priority="8" stopIfTrue="1" operator="lessThanOrEqual">
      <formula>-0.001</formula>
    </cfRule>
  </conditionalFormatting>
  <conditionalFormatting sqref="P12:P15">
    <cfRule type="cellIs" dxfId="55" priority="14" stopIfTrue="1" operator="lessThanOrEqual">
      <formula>-0.001</formula>
    </cfRule>
  </conditionalFormatting>
  <conditionalFormatting sqref="R18:R21">
    <cfRule type="cellIs" dxfId="54" priority="2" operator="lessThan">
      <formula>1</formula>
    </cfRule>
  </conditionalFormatting>
  <pageMargins left="0.7" right="0.7" top="0.75" bottom="0.75" header="0.3" footer="0.3"/>
  <pageSetup paperSize="9" orientation="portrait" r:id="rId1"/>
  <ignoredErrors>
    <ignoredError sqref="P9:P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7"/>
  <sheetViews>
    <sheetView showGridLines="0" zoomScale="110" zoomScaleNormal="110" workbookViewId="0">
      <selection activeCell="M24" sqref="M24"/>
    </sheetView>
  </sheetViews>
  <sheetFormatPr defaultColWidth="8.5" defaultRowHeight="18" customHeight="1" x14ac:dyDescent="0.25"/>
  <cols>
    <col min="1" max="1" width="2.5" style="8" customWidth="1"/>
    <col min="2" max="5" width="2.375" style="8" customWidth="1"/>
    <col min="6" max="6" width="4.875" style="8" bestFit="1" customWidth="1"/>
    <col min="7" max="7" width="11.625" style="8" customWidth="1"/>
    <col min="8" max="11" width="8.625" style="8" bestFit="1" customWidth="1"/>
    <col min="12" max="15" width="8.75" style="8" bestFit="1" customWidth="1"/>
    <col min="16" max="19" width="8.625" style="8" bestFit="1" customWidth="1"/>
    <col min="20" max="20" width="2.625" style="8" customWidth="1"/>
    <col min="21" max="16384" width="8.5" style="8"/>
  </cols>
  <sheetData>
    <row r="1" spans="2:20" ht="8.25" customHeight="1" x14ac:dyDescent="0.25"/>
    <row r="2" spans="2:20" ht="27.75" customHeight="1" x14ac:dyDescent="0.25">
      <c r="F2" s="7"/>
      <c r="G2" s="7"/>
      <c r="H2" s="282" t="s">
        <v>132</v>
      </c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</row>
    <row r="3" spans="2:20" ht="8.25" customHeight="1" thickBot="1" x14ac:dyDescent="0.3"/>
    <row r="4" spans="2:20" ht="18" customHeight="1" thickBot="1" x14ac:dyDescent="0.3">
      <c r="G4" s="80" t="s">
        <v>32</v>
      </c>
      <c r="H4" s="86">
        <v>41640</v>
      </c>
      <c r="I4" s="86">
        <v>41671</v>
      </c>
      <c r="J4" s="86">
        <v>41699</v>
      </c>
      <c r="K4" s="86">
        <v>41730</v>
      </c>
      <c r="L4" s="86">
        <v>41760</v>
      </c>
      <c r="M4" s="86">
        <v>41791</v>
      </c>
      <c r="N4" s="86">
        <v>41821</v>
      </c>
      <c r="O4" s="86">
        <v>41852</v>
      </c>
      <c r="P4" s="86">
        <v>41883</v>
      </c>
      <c r="Q4" s="86">
        <v>41913</v>
      </c>
      <c r="R4" s="86">
        <v>41944</v>
      </c>
      <c r="S4" s="86">
        <v>41974</v>
      </c>
      <c r="T4" s="64"/>
    </row>
    <row r="5" spans="2:20" ht="15" customHeight="1" x14ac:dyDescent="0.25">
      <c r="B5" s="304" t="s">
        <v>38</v>
      </c>
      <c r="C5" s="305" t="s">
        <v>39</v>
      </c>
      <c r="D5" s="304" t="s">
        <v>134</v>
      </c>
      <c r="F5" s="295" t="s">
        <v>100</v>
      </c>
      <c r="G5" s="83" t="s">
        <v>118</v>
      </c>
      <c r="H5" s="89">
        <v>8900</v>
      </c>
      <c r="I5" s="90">
        <v>6450</v>
      </c>
      <c r="J5" s="90">
        <v>7600</v>
      </c>
      <c r="K5" s="90">
        <v>4300</v>
      </c>
      <c r="L5" s="90">
        <v>30000</v>
      </c>
      <c r="M5" s="90">
        <v>25950</v>
      </c>
      <c r="N5" s="90">
        <v>38800</v>
      </c>
      <c r="O5" s="90">
        <v>14600</v>
      </c>
      <c r="P5" s="90">
        <v>1600</v>
      </c>
      <c r="Q5" s="90">
        <v>1800</v>
      </c>
      <c r="R5" s="90">
        <v>7600</v>
      </c>
      <c r="S5" s="91">
        <v>5000</v>
      </c>
      <c r="T5" s="35"/>
    </row>
    <row r="6" spans="2:20" ht="15" customHeight="1" x14ac:dyDescent="0.25">
      <c r="B6" s="304"/>
      <c r="C6" s="305"/>
      <c r="D6" s="304"/>
      <c r="F6" s="296"/>
      <c r="G6" s="84" t="s">
        <v>119</v>
      </c>
      <c r="H6" s="92"/>
      <c r="I6" s="87">
        <v>6450</v>
      </c>
      <c r="J6" s="87">
        <v>7600</v>
      </c>
      <c r="K6" s="87">
        <v>4300</v>
      </c>
      <c r="L6" s="87">
        <v>30000</v>
      </c>
      <c r="M6" s="87">
        <v>27000</v>
      </c>
      <c r="N6" s="87">
        <v>41650</v>
      </c>
      <c r="O6" s="87">
        <v>10400</v>
      </c>
      <c r="P6" s="87">
        <v>1600</v>
      </c>
      <c r="Q6" s="87">
        <v>1800</v>
      </c>
      <c r="R6" s="87">
        <v>7600</v>
      </c>
      <c r="S6" s="93">
        <v>5000</v>
      </c>
      <c r="T6" s="35"/>
    </row>
    <row r="7" spans="2:20" ht="15" customHeight="1" x14ac:dyDescent="0.25">
      <c r="B7" s="304"/>
      <c r="C7" s="305"/>
      <c r="D7" s="304"/>
      <c r="F7" s="296"/>
      <c r="G7" s="84" t="s">
        <v>117</v>
      </c>
      <c r="H7" s="92"/>
      <c r="I7" s="88"/>
      <c r="J7" s="87">
        <v>5400</v>
      </c>
      <c r="K7" s="87">
        <v>4300</v>
      </c>
      <c r="L7" s="87">
        <v>30000</v>
      </c>
      <c r="M7" s="87">
        <v>27000</v>
      </c>
      <c r="N7" s="87">
        <v>41650</v>
      </c>
      <c r="O7" s="87">
        <v>10400</v>
      </c>
      <c r="P7" s="87">
        <v>1400</v>
      </c>
      <c r="Q7" s="87">
        <v>1800</v>
      </c>
      <c r="R7" s="87">
        <v>9400</v>
      </c>
      <c r="S7" s="93">
        <v>5000</v>
      </c>
      <c r="T7" s="35"/>
    </row>
    <row r="8" spans="2:20" ht="15" customHeight="1" x14ac:dyDescent="0.25">
      <c r="B8" s="304"/>
      <c r="C8" s="305"/>
      <c r="D8" s="304"/>
      <c r="F8" s="296"/>
      <c r="G8" s="84" t="s">
        <v>120</v>
      </c>
      <c r="H8" s="92"/>
      <c r="I8" s="88"/>
      <c r="J8" s="88"/>
      <c r="K8" s="87">
        <v>4300</v>
      </c>
      <c r="L8" s="87">
        <v>32900</v>
      </c>
      <c r="M8" s="87">
        <v>39800</v>
      </c>
      <c r="N8" s="87">
        <v>41650</v>
      </c>
      <c r="O8" s="87">
        <v>10400</v>
      </c>
      <c r="P8" s="87">
        <v>1400</v>
      </c>
      <c r="Q8" s="87">
        <v>1800</v>
      </c>
      <c r="R8" s="87">
        <v>9400</v>
      </c>
      <c r="S8" s="93">
        <v>5000</v>
      </c>
      <c r="T8" s="35"/>
    </row>
    <row r="9" spans="2:20" ht="15" customHeight="1" x14ac:dyDescent="0.25">
      <c r="B9" s="304"/>
      <c r="C9" s="305"/>
      <c r="D9" s="304"/>
      <c r="F9" s="296"/>
      <c r="G9" s="84" t="s">
        <v>121</v>
      </c>
      <c r="H9" s="92"/>
      <c r="I9" s="88"/>
      <c r="J9" s="88"/>
      <c r="K9" s="88"/>
      <c r="L9" s="87">
        <v>32900</v>
      </c>
      <c r="M9" s="87">
        <v>39800</v>
      </c>
      <c r="N9" s="87">
        <v>51000</v>
      </c>
      <c r="O9" s="87">
        <v>14000</v>
      </c>
      <c r="P9" s="87">
        <v>1550</v>
      </c>
      <c r="Q9" s="87">
        <v>1400</v>
      </c>
      <c r="R9" s="87">
        <v>9400</v>
      </c>
      <c r="S9" s="93">
        <v>5000</v>
      </c>
      <c r="T9" s="35"/>
    </row>
    <row r="10" spans="2:20" ht="15" customHeight="1" x14ac:dyDescent="0.25">
      <c r="B10" s="304"/>
      <c r="C10" s="305"/>
      <c r="D10" s="304"/>
      <c r="F10" s="296"/>
      <c r="G10" s="84" t="s">
        <v>122</v>
      </c>
      <c r="H10" s="92"/>
      <c r="I10" s="88"/>
      <c r="J10" s="88"/>
      <c r="K10" s="88"/>
      <c r="L10" s="88"/>
      <c r="M10" s="87">
        <v>39800</v>
      </c>
      <c r="N10" s="87">
        <v>42200</v>
      </c>
      <c r="O10" s="87">
        <v>10800</v>
      </c>
      <c r="P10" s="87">
        <v>1800</v>
      </c>
      <c r="Q10" s="87">
        <v>1400</v>
      </c>
      <c r="R10" s="87">
        <v>9400</v>
      </c>
      <c r="S10" s="93">
        <v>5000</v>
      </c>
      <c r="T10" s="35"/>
    </row>
    <row r="11" spans="2:20" ht="15" customHeight="1" thickBot="1" x14ac:dyDescent="0.3">
      <c r="B11" s="304"/>
      <c r="C11" s="305"/>
      <c r="D11" s="304"/>
      <c r="F11" s="297"/>
      <c r="G11" s="85" t="s">
        <v>123</v>
      </c>
      <c r="H11" s="94"/>
      <c r="I11" s="95"/>
      <c r="J11" s="95"/>
      <c r="K11" s="95"/>
      <c r="L11" s="95"/>
      <c r="M11" s="95"/>
      <c r="N11" s="96">
        <v>42200</v>
      </c>
      <c r="O11" s="96">
        <v>12000</v>
      </c>
      <c r="P11" s="96">
        <v>1550</v>
      </c>
      <c r="Q11" s="96">
        <v>1400</v>
      </c>
      <c r="R11" s="96">
        <v>18000</v>
      </c>
      <c r="S11" s="97">
        <v>8400</v>
      </c>
      <c r="T11" s="35"/>
    </row>
    <row r="12" spans="2:20" ht="6.75" customHeight="1" thickBot="1" x14ac:dyDescent="0.3">
      <c r="G12" s="29"/>
    </row>
    <row r="13" spans="2:20" ht="15" customHeight="1" x14ac:dyDescent="0.25">
      <c r="B13" s="301" t="s">
        <v>34</v>
      </c>
      <c r="C13" s="302" t="s">
        <v>35</v>
      </c>
      <c r="D13" s="303" t="s">
        <v>36</v>
      </c>
      <c r="F13" s="295" t="s">
        <v>101</v>
      </c>
      <c r="G13" s="83" t="s">
        <v>118</v>
      </c>
      <c r="H13" s="232" t="s">
        <v>34</v>
      </c>
      <c r="I13" s="233" t="s">
        <v>35</v>
      </c>
      <c r="J13" s="233" t="s">
        <v>35</v>
      </c>
      <c r="K13" s="234" t="s">
        <v>36</v>
      </c>
      <c r="L13" s="234" t="s">
        <v>36</v>
      </c>
      <c r="M13" s="234" t="s">
        <v>36</v>
      </c>
      <c r="N13" s="234" t="s">
        <v>36</v>
      </c>
      <c r="O13" s="234" t="s">
        <v>36</v>
      </c>
      <c r="P13" s="234" t="s">
        <v>36</v>
      </c>
      <c r="Q13" s="234" t="s">
        <v>36</v>
      </c>
      <c r="R13" s="234" t="s">
        <v>36</v>
      </c>
      <c r="S13" s="235" t="s">
        <v>36</v>
      </c>
    </row>
    <row r="14" spans="2:20" ht="15" customHeight="1" x14ac:dyDescent="0.25">
      <c r="B14" s="301"/>
      <c r="C14" s="302"/>
      <c r="D14" s="303"/>
      <c r="F14" s="296"/>
      <c r="G14" s="84" t="s">
        <v>119</v>
      </c>
      <c r="H14" s="105"/>
      <c r="I14" s="99" t="s">
        <v>34</v>
      </c>
      <c r="J14" s="100" t="s">
        <v>35</v>
      </c>
      <c r="K14" s="100" t="s">
        <v>35</v>
      </c>
      <c r="L14" s="101" t="s">
        <v>36</v>
      </c>
      <c r="M14" s="101" t="s">
        <v>36</v>
      </c>
      <c r="N14" s="101" t="s">
        <v>36</v>
      </c>
      <c r="O14" s="101" t="s">
        <v>36</v>
      </c>
      <c r="P14" s="101" t="s">
        <v>36</v>
      </c>
      <c r="Q14" s="101" t="s">
        <v>36</v>
      </c>
      <c r="R14" s="101" t="s">
        <v>36</v>
      </c>
      <c r="S14" s="106" t="s">
        <v>36</v>
      </c>
    </row>
    <row r="15" spans="2:20" ht="15" customHeight="1" x14ac:dyDescent="0.25">
      <c r="B15" s="301"/>
      <c r="C15" s="302"/>
      <c r="D15" s="303"/>
      <c r="F15" s="296"/>
      <c r="G15" s="84" t="s">
        <v>117</v>
      </c>
      <c r="H15" s="105"/>
      <c r="I15" s="98"/>
      <c r="J15" s="99" t="s">
        <v>34</v>
      </c>
      <c r="K15" s="100" t="s">
        <v>35</v>
      </c>
      <c r="L15" s="100" t="s">
        <v>35</v>
      </c>
      <c r="M15" s="101" t="s">
        <v>36</v>
      </c>
      <c r="N15" s="101" t="s">
        <v>36</v>
      </c>
      <c r="O15" s="101" t="s">
        <v>36</v>
      </c>
      <c r="P15" s="101" t="s">
        <v>36</v>
      </c>
      <c r="Q15" s="101" t="s">
        <v>36</v>
      </c>
      <c r="R15" s="101" t="s">
        <v>36</v>
      </c>
      <c r="S15" s="106" t="s">
        <v>36</v>
      </c>
    </row>
    <row r="16" spans="2:20" ht="15" customHeight="1" x14ac:dyDescent="0.25">
      <c r="B16" s="301"/>
      <c r="C16" s="302"/>
      <c r="D16" s="303"/>
      <c r="F16" s="296"/>
      <c r="G16" s="84" t="s">
        <v>120</v>
      </c>
      <c r="H16" s="105"/>
      <c r="I16" s="98"/>
      <c r="J16" s="98"/>
      <c r="K16" s="99" t="s">
        <v>34</v>
      </c>
      <c r="L16" s="100" t="s">
        <v>35</v>
      </c>
      <c r="M16" s="100" t="s">
        <v>35</v>
      </c>
      <c r="N16" s="101" t="s">
        <v>36</v>
      </c>
      <c r="O16" s="101" t="s">
        <v>36</v>
      </c>
      <c r="P16" s="101" t="s">
        <v>36</v>
      </c>
      <c r="Q16" s="101" t="s">
        <v>36</v>
      </c>
      <c r="R16" s="101" t="s">
        <v>36</v>
      </c>
      <c r="S16" s="106" t="s">
        <v>36</v>
      </c>
    </row>
    <row r="17" spans="2:19" ht="15" customHeight="1" x14ac:dyDescent="0.25">
      <c r="B17" s="301"/>
      <c r="C17" s="302"/>
      <c r="D17" s="303"/>
      <c r="F17" s="296"/>
      <c r="G17" s="84" t="s">
        <v>121</v>
      </c>
      <c r="H17" s="105"/>
      <c r="I17" s="98"/>
      <c r="J17" s="98"/>
      <c r="K17" s="98"/>
      <c r="L17" s="99" t="s">
        <v>34</v>
      </c>
      <c r="M17" s="100" t="s">
        <v>35</v>
      </c>
      <c r="N17" s="100" t="s">
        <v>35</v>
      </c>
      <c r="O17" s="101" t="s">
        <v>36</v>
      </c>
      <c r="P17" s="101" t="s">
        <v>36</v>
      </c>
      <c r="Q17" s="101" t="s">
        <v>36</v>
      </c>
      <c r="R17" s="101" t="s">
        <v>36</v>
      </c>
      <c r="S17" s="106" t="s">
        <v>36</v>
      </c>
    </row>
    <row r="18" spans="2:19" ht="15" customHeight="1" x14ac:dyDescent="0.25">
      <c r="B18" s="301"/>
      <c r="C18" s="302"/>
      <c r="D18" s="303"/>
      <c r="F18" s="296"/>
      <c r="G18" s="84" t="s">
        <v>122</v>
      </c>
      <c r="H18" s="105"/>
      <c r="I18" s="98"/>
      <c r="J18" s="98"/>
      <c r="K18" s="98"/>
      <c r="L18" s="98"/>
      <c r="M18" s="99" t="s">
        <v>34</v>
      </c>
      <c r="N18" s="100" t="s">
        <v>35</v>
      </c>
      <c r="O18" s="100" t="s">
        <v>35</v>
      </c>
      <c r="P18" s="101" t="s">
        <v>36</v>
      </c>
      <c r="Q18" s="101" t="s">
        <v>36</v>
      </c>
      <c r="R18" s="101" t="s">
        <v>36</v>
      </c>
      <c r="S18" s="106" t="s">
        <v>36</v>
      </c>
    </row>
    <row r="19" spans="2:19" ht="15" customHeight="1" thickBot="1" x14ac:dyDescent="0.3">
      <c r="B19" s="301"/>
      <c r="C19" s="302"/>
      <c r="D19" s="303"/>
      <c r="F19" s="297"/>
      <c r="G19" s="85" t="s">
        <v>123</v>
      </c>
      <c r="H19" s="107"/>
      <c r="I19" s="108"/>
      <c r="J19" s="108"/>
      <c r="K19" s="108"/>
      <c r="L19" s="108"/>
      <c r="M19" s="108"/>
      <c r="N19" s="109" t="s">
        <v>34</v>
      </c>
      <c r="O19" s="110" t="s">
        <v>35</v>
      </c>
      <c r="P19" s="110" t="s">
        <v>35</v>
      </c>
      <c r="Q19" s="111" t="s">
        <v>36</v>
      </c>
      <c r="R19" s="111" t="s">
        <v>36</v>
      </c>
      <c r="S19" s="112" t="s">
        <v>36</v>
      </c>
    </row>
    <row r="20" spans="2:19" ht="6.75" customHeight="1" thickBot="1" x14ac:dyDescent="0.3"/>
    <row r="21" spans="2:19" ht="15" customHeight="1" x14ac:dyDescent="0.25">
      <c r="F21" s="298" t="s">
        <v>29</v>
      </c>
      <c r="G21" s="83" t="s">
        <v>118</v>
      </c>
      <c r="H21" s="102" t="s">
        <v>116</v>
      </c>
      <c r="I21" s="103" t="s">
        <v>116</v>
      </c>
      <c r="J21" s="103" t="s">
        <v>116</v>
      </c>
      <c r="K21" s="103" t="s">
        <v>116</v>
      </c>
      <c r="L21" s="103" t="s">
        <v>116</v>
      </c>
      <c r="M21" s="103" t="s">
        <v>116</v>
      </c>
      <c r="N21" s="103" t="s">
        <v>116</v>
      </c>
      <c r="O21" s="103" t="s">
        <v>116</v>
      </c>
      <c r="P21" s="103" t="s">
        <v>116</v>
      </c>
      <c r="Q21" s="103" t="s">
        <v>116</v>
      </c>
      <c r="R21" s="103" t="s">
        <v>116</v>
      </c>
      <c r="S21" s="104" t="s">
        <v>116</v>
      </c>
    </row>
    <row r="22" spans="2:19" ht="15" customHeight="1" x14ac:dyDescent="0.25">
      <c r="F22" s="299"/>
      <c r="G22" s="84" t="s">
        <v>119</v>
      </c>
      <c r="H22" s="114"/>
      <c r="I22" s="117">
        <f>I6/I5-1</f>
        <v>0</v>
      </c>
      <c r="J22" s="118">
        <f>J6/J5-1</f>
        <v>0</v>
      </c>
      <c r="K22" s="118">
        <f t="shared" ref="K22:S23" si="0">K6/K5-1</f>
        <v>0</v>
      </c>
      <c r="L22" s="113">
        <f t="shared" si="0"/>
        <v>0</v>
      </c>
      <c r="M22" s="119">
        <f t="shared" si="0"/>
        <v>4.0462427745664664E-2</v>
      </c>
      <c r="N22" s="119">
        <f t="shared" si="0"/>
        <v>7.3453608247422641E-2</v>
      </c>
      <c r="O22" s="113">
        <f t="shared" si="0"/>
        <v>-0.28767123287671237</v>
      </c>
      <c r="P22" s="113">
        <f t="shared" si="0"/>
        <v>0</v>
      </c>
      <c r="Q22" s="113">
        <f t="shared" si="0"/>
        <v>0</v>
      </c>
      <c r="R22" s="113">
        <f t="shared" si="0"/>
        <v>0</v>
      </c>
      <c r="S22" s="115">
        <f t="shared" si="0"/>
        <v>0</v>
      </c>
    </row>
    <row r="23" spans="2:19" ht="15" customHeight="1" x14ac:dyDescent="0.25">
      <c r="F23" s="299"/>
      <c r="G23" s="84" t="s">
        <v>117</v>
      </c>
      <c r="H23" s="114"/>
      <c r="I23" s="120"/>
      <c r="J23" s="117">
        <f>J7/J6-1</f>
        <v>-0.28947368421052633</v>
      </c>
      <c r="K23" s="118">
        <f>K7/K6-1</f>
        <v>0</v>
      </c>
      <c r="L23" s="118">
        <f>L7/L6-1</f>
        <v>0</v>
      </c>
      <c r="M23" s="113">
        <f t="shared" si="0"/>
        <v>0</v>
      </c>
      <c r="N23" s="113">
        <f t="shared" si="0"/>
        <v>0</v>
      </c>
      <c r="O23" s="113">
        <f t="shared" si="0"/>
        <v>0</v>
      </c>
      <c r="P23" s="113">
        <f t="shared" si="0"/>
        <v>-0.125</v>
      </c>
      <c r="Q23" s="113">
        <f>Q7/Q6-1</f>
        <v>0</v>
      </c>
      <c r="R23" s="113">
        <f>R7/R6-1</f>
        <v>0.23684210526315796</v>
      </c>
      <c r="S23" s="115">
        <f>S7/S6-1</f>
        <v>0</v>
      </c>
    </row>
    <row r="24" spans="2:19" ht="15" customHeight="1" x14ac:dyDescent="0.25">
      <c r="F24" s="299"/>
      <c r="G24" s="84" t="s">
        <v>120</v>
      </c>
      <c r="H24" s="114"/>
      <c r="I24" s="120"/>
      <c r="J24" s="120"/>
      <c r="K24" s="117">
        <f>K8/K7-1</f>
        <v>0</v>
      </c>
      <c r="L24" s="118">
        <f t="shared" ref="L24:S25" si="1">L8/L7-1</f>
        <v>9.6666666666666679E-2</v>
      </c>
      <c r="M24" s="118">
        <f t="shared" si="1"/>
        <v>0.47407407407407409</v>
      </c>
      <c r="N24" s="113">
        <f t="shared" si="1"/>
        <v>0</v>
      </c>
      <c r="O24" s="113">
        <f t="shared" si="1"/>
        <v>0</v>
      </c>
      <c r="P24" s="113">
        <f t="shared" si="1"/>
        <v>0</v>
      </c>
      <c r="Q24" s="113">
        <f t="shared" si="1"/>
        <v>0</v>
      </c>
      <c r="R24" s="113">
        <f t="shared" si="1"/>
        <v>0</v>
      </c>
      <c r="S24" s="115">
        <f t="shared" si="1"/>
        <v>0</v>
      </c>
    </row>
    <row r="25" spans="2:19" ht="15" customHeight="1" x14ac:dyDescent="0.25">
      <c r="F25" s="299"/>
      <c r="G25" s="84" t="s">
        <v>121</v>
      </c>
      <c r="H25" s="114"/>
      <c r="I25" s="120"/>
      <c r="J25" s="120"/>
      <c r="K25" s="120"/>
      <c r="L25" s="117">
        <f t="shared" ref="L25:S27" si="2">L9/L8-1</f>
        <v>0</v>
      </c>
      <c r="M25" s="118">
        <f t="shared" si="2"/>
        <v>0</v>
      </c>
      <c r="N25" s="118">
        <f t="shared" si="2"/>
        <v>0.22448979591836737</v>
      </c>
      <c r="O25" s="113">
        <f t="shared" si="2"/>
        <v>0.34615384615384626</v>
      </c>
      <c r="P25" s="119">
        <f t="shared" si="2"/>
        <v>0.10714285714285721</v>
      </c>
      <c r="Q25" s="113">
        <f t="shared" si="1"/>
        <v>-0.22222222222222221</v>
      </c>
      <c r="R25" s="113">
        <f t="shared" si="1"/>
        <v>0</v>
      </c>
      <c r="S25" s="115">
        <f t="shared" si="1"/>
        <v>0</v>
      </c>
    </row>
    <row r="26" spans="2:19" ht="15" customHeight="1" x14ac:dyDescent="0.25">
      <c r="F26" s="299"/>
      <c r="G26" s="84" t="s">
        <v>122</v>
      </c>
      <c r="H26" s="114"/>
      <c r="I26" s="120"/>
      <c r="J26" s="120"/>
      <c r="K26" s="120"/>
      <c r="L26" s="120"/>
      <c r="M26" s="117">
        <f>M10/M9-1</f>
        <v>0</v>
      </c>
      <c r="N26" s="118">
        <f t="shared" si="2"/>
        <v>-0.17254901960784319</v>
      </c>
      <c r="O26" s="118">
        <f t="shared" si="2"/>
        <v>-0.22857142857142854</v>
      </c>
      <c r="P26" s="113">
        <f t="shared" si="2"/>
        <v>0.16129032258064524</v>
      </c>
      <c r="Q26" s="113">
        <f t="shared" si="2"/>
        <v>0</v>
      </c>
      <c r="R26" s="113">
        <f t="shared" si="2"/>
        <v>0</v>
      </c>
      <c r="S26" s="115">
        <f t="shared" si="2"/>
        <v>0</v>
      </c>
    </row>
    <row r="27" spans="2:19" ht="15" customHeight="1" thickBot="1" x14ac:dyDescent="0.3">
      <c r="F27" s="300"/>
      <c r="G27" s="85" t="s">
        <v>123</v>
      </c>
      <c r="H27" s="116"/>
      <c r="I27" s="121"/>
      <c r="J27" s="121"/>
      <c r="K27" s="121"/>
      <c r="L27" s="121"/>
      <c r="M27" s="121"/>
      <c r="N27" s="122">
        <f>N11/N10-1</f>
        <v>0</v>
      </c>
      <c r="O27" s="123">
        <f t="shared" si="2"/>
        <v>0.11111111111111116</v>
      </c>
      <c r="P27" s="124">
        <f t="shared" si="2"/>
        <v>-0.13888888888888884</v>
      </c>
      <c r="Q27" s="125">
        <f t="shared" si="2"/>
        <v>0</v>
      </c>
      <c r="R27" s="125">
        <f t="shared" si="2"/>
        <v>0.91489361702127669</v>
      </c>
      <c r="S27" s="126">
        <f t="shared" si="2"/>
        <v>0.67999999999999994</v>
      </c>
    </row>
  </sheetData>
  <mergeCells count="10">
    <mergeCell ref="H2:S2"/>
    <mergeCell ref="F5:F11"/>
    <mergeCell ref="F21:F27"/>
    <mergeCell ref="F13:F19"/>
    <mergeCell ref="B13:B19"/>
    <mergeCell ref="C13:C19"/>
    <mergeCell ref="D13:D19"/>
    <mergeCell ref="B5:B11"/>
    <mergeCell ref="C5:C11"/>
    <mergeCell ref="D5:D11"/>
  </mergeCells>
  <conditionalFormatting sqref="B13:D13">
    <cfRule type="cellIs" dxfId="53" priority="6" stopIfTrue="1" operator="lessThanOrEqual">
      <formula>-0.001</formula>
    </cfRule>
  </conditionalFormatting>
  <conditionalFormatting sqref="H22:H27">
    <cfRule type="cellIs" dxfId="52" priority="3" operator="notEqual">
      <formula>0</formula>
    </cfRule>
    <cfRule type="cellIs" dxfId="51" priority="7" operator="lessThan">
      <formula>0</formula>
    </cfRule>
  </conditionalFormatting>
  <conditionalFormatting sqref="I22:S27">
    <cfRule type="cellIs" dxfId="50" priority="2" operator="not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0"/>
  <sheetViews>
    <sheetView showGridLines="0" zoomScale="120" zoomScaleNormal="120" zoomScalePageLayoutView="150" workbookViewId="0">
      <selection activeCell="H12" sqref="H12"/>
    </sheetView>
  </sheetViews>
  <sheetFormatPr defaultColWidth="8.5" defaultRowHeight="18" customHeight="1" x14ac:dyDescent="0.25"/>
  <cols>
    <col min="1" max="1" width="1.5" style="8" customWidth="1"/>
    <col min="2" max="2" width="4.125" style="8" bestFit="1" customWidth="1"/>
    <col min="3" max="3" width="11.375" style="8" customWidth="1"/>
    <col min="4" max="7" width="8.625" style="8" bestFit="1" customWidth="1"/>
    <col min="8" max="11" width="8.75" style="8" bestFit="1" customWidth="1"/>
    <col min="12" max="15" width="8.625" style="8" bestFit="1" customWidth="1"/>
    <col min="16" max="16" width="2.625" style="8" customWidth="1"/>
    <col min="17" max="17" width="9.125" style="8" bestFit="1" customWidth="1"/>
    <col min="18" max="16384" width="8.5" style="8"/>
  </cols>
  <sheetData>
    <row r="1" spans="2:19" ht="5.25" customHeight="1" x14ac:dyDescent="0.25"/>
    <row r="2" spans="2:19" ht="27" customHeight="1" x14ac:dyDescent="0.25">
      <c r="B2" s="7"/>
      <c r="C2" s="7"/>
      <c r="D2" s="282" t="s">
        <v>133</v>
      </c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</row>
    <row r="3" spans="2:19" ht="8.25" customHeight="1" thickBot="1" x14ac:dyDescent="0.3"/>
    <row r="4" spans="2:19" ht="18" customHeight="1" thickBot="1" x14ac:dyDescent="0.3">
      <c r="C4" s="80" t="s">
        <v>32</v>
      </c>
      <c r="D4" s="86">
        <v>41640</v>
      </c>
      <c r="E4" s="86">
        <v>41671</v>
      </c>
      <c r="F4" s="86">
        <v>41699</v>
      </c>
      <c r="G4" s="86">
        <v>41730</v>
      </c>
      <c r="H4" s="86">
        <v>41760</v>
      </c>
      <c r="I4" s="86">
        <v>41791</v>
      </c>
      <c r="J4" s="86">
        <v>41821</v>
      </c>
      <c r="K4" s="86">
        <v>41852</v>
      </c>
      <c r="L4" s="86">
        <v>41883</v>
      </c>
      <c r="M4" s="86">
        <v>41913</v>
      </c>
      <c r="N4" s="86">
        <v>41944</v>
      </c>
      <c r="O4" s="86">
        <v>41974</v>
      </c>
      <c r="Q4" s="81" t="s">
        <v>72</v>
      </c>
    </row>
    <row r="5" spans="2:19" ht="18" customHeight="1" x14ac:dyDescent="0.25">
      <c r="B5" s="295" t="s">
        <v>100</v>
      </c>
      <c r="C5" s="83" t="s">
        <v>118</v>
      </c>
      <c r="D5" s="89">
        <v>2400</v>
      </c>
      <c r="E5" s="90">
        <v>2450</v>
      </c>
      <c r="F5" s="90">
        <v>2800</v>
      </c>
      <c r="G5" s="90">
        <v>3400</v>
      </c>
      <c r="H5" s="90">
        <v>30000</v>
      </c>
      <c r="I5" s="90">
        <v>25950</v>
      </c>
      <c r="J5" s="90">
        <v>38800</v>
      </c>
      <c r="K5" s="90">
        <v>14600</v>
      </c>
      <c r="L5" s="90">
        <v>1600</v>
      </c>
      <c r="M5" s="90">
        <v>1500</v>
      </c>
      <c r="N5" s="90">
        <v>400</v>
      </c>
      <c r="O5" s="91">
        <v>3000</v>
      </c>
      <c r="Q5" s="30">
        <f t="shared" ref="Q5:Q11" si="0">SUM(D5:O5)</f>
        <v>126900</v>
      </c>
    </row>
    <row r="6" spans="2:19" ht="18" customHeight="1" x14ac:dyDescent="0.25">
      <c r="B6" s="296"/>
      <c r="C6" s="84" t="s">
        <v>119</v>
      </c>
      <c r="D6" s="92">
        <v>1778</v>
      </c>
      <c r="E6" s="87">
        <v>2450</v>
      </c>
      <c r="F6" s="87">
        <v>2800</v>
      </c>
      <c r="G6" s="87">
        <v>3400</v>
      </c>
      <c r="H6" s="87">
        <v>29000</v>
      </c>
      <c r="I6" s="87">
        <v>27000</v>
      </c>
      <c r="J6" s="87">
        <v>41200</v>
      </c>
      <c r="K6" s="87">
        <v>10400</v>
      </c>
      <c r="L6" s="87">
        <v>1600</v>
      </c>
      <c r="M6" s="87">
        <v>1500</v>
      </c>
      <c r="N6" s="87">
        <v>400</v>
      </c>
      <c r="O6" s="93">
        <v>3000</v>
      </c>
      <c r="Q6" s="31">
        <f t="shared" si="0"/>
        <v>124528</v>
      </c>
    </row>
    <row r="7" spans="2:19" ht="18" customHeight="1" x14ac:dyDescent="0.25">
      <c r="B7" s="296"/>
      <c r="C7" s="84" t="s">
        <v>117</v>
      </c>
      <c r="D7" s="92">
        <v>1778</v>
      </c>
      <c r="E7" s="88">
        <v>1434</v>
      </c>
      <c r="F7" s="87">
        <v>2800</v>
      </c>
      <c r="G7" s="87">
        <v>4300</v>
      </c>
      <c r="H7" s="87">
        <v>31000</v>
      </c>
      <c r="I7" s="87">
        <v>29800</v>
      </c>
      <c r="J7" s="87">
        <v>41200</v>
      </c>
      <c r="K7" s="87">
        <v>10400</v>
      </c>
      <c r="L7" s="87">
        <v>1400</v>
      </c>
      <c r="M7" s="87">
        <v>1500</v>
      </c>
      <c r="N7" s="87">
        <v>500</v>
      </c>
      <c r="O7" s="93">
        <v>3200</v>
      </c>
      <c r="Q7" s="31">
        <f t="shared" si="0"/>
        <v>129312</v>
      </c>
    </row>
    <row r="8" spans="2:19" ht="18" customHeight="1" x14ac:dyDescent="0.25">
      <c r="B8" s="296"/>
      <c r="C8" s="84" t="s">
        <v>120</v>
      </c>
      <c r="D8" s="92">
        <v>1778</v>
      </c>
      <c r="E8" s="88">
        <v>1434</v>
      </c>
      <c r="F8" s="88">
        <v>3486</v>
      </c>
      <c r="G8" s="87">
        <v>4200</v>
      </c>
      <c r="H8" s="87">
        <v>32900</v>
      </c>
      <c r="I8" s="87">
        <v>29800</v>
      </c>
      <c r="J8" s="87">
        <v>41200</v>
      </c>
      <c r="K8" s="87">
        <v>10400</v>
      </c>
      <c r="L8" s="87">
        <v>1400</v>
      </c>
      <c r="M8" s="87">
        <v>1500</v>
      </c>
      <c r="N8" s="87">
        <v>500</v>
      </c>
      <c r="O8" s="93">
        <v>3200</v>
      </c>
      <c r="Q8" s="31">
        <f t="shared" si="0"/>
        <v>131798</v>
      </c>
    </row>
    <row r="9" spans="2:19" ht="18" customHeight="1" x14ac:dyDescent="0.25">
      <c r="B9" s="296"/>
      <c r="C9" s="84" t="s">
        <v>121</v>
      </c>
      <c r="D9" s="92">
        <v>1778</v>
      </c>
      <c r="E9" s="88">
        <v>1434</v>
      </c>
      <c r="F9" s="88">
        <v>3486</v>
      </c>
      <c r="G9" s="88">
        <v>3497</v>
      </c>
      <c r="H9" s="87">
        <v>36000</v>
      </c>
      <c r="I9" s="87">
        <v>34200</v>
      </c>
      <c r="J9" s="87">
        <v>47000</v>
      </c>
      <c r="K9" s="87">
        <v>13700</v>
      </c>
      <c r="L9" s="87">
        <v>1550</v>
      </c>
      <c r="M9" s="87">
        <v>1200</v>
      </c>
      <c r="N9" s="87">
        <v>500</v>
      </c>
      <c r="O9" s="93">
        <v>3200</v>
      </c>
      <c r="Q9" s="31">
        <f t="shared" si="0"/>
        <v>147545</v>
      </c>
    </row>
    <row r="10" spans="2:19" ht="18" customHeight="1" x14ac:dyDescent="0.25">
      <c r="B10" s="296"/>
      <c r="C10" s="84" t="s">
        <v>122</v>
      </c>
      <c r="D10" s="92">
        <v>1778</v>
      </c>
      <c r="E10" s="88">
        <v>1434</v>
      </c>
      <c r="F10" s="88">
        <v>3486</v>
      </c>
      <c r="G10" s="88">
        <v>3497</v>
      </c>
      <c r="H10" s="88">
        <v>20035</v>
      </c>
      <c r="I10" s="87">
        <v>24800</v>
      </c>
      <c r="J10" s="87">
        <v>42200</v>
      </c>
      <c r="K10" s="87">
        <v>8700</v>
      </c>
      <c r="L10" s="87">
        <v>1550</v>
      </c>
      <c r="M10" s="87">
        <v>1200</v>
      </c>
      <c r="N10" s="87">
        <v>500</v>
      </c>
      <c r="O10" s="93">
        <v>3200</v>
      </c>
      <c r="Q10" s="31">
        <f t="shared" si="0"/>
        <v>112380</v>
      </c>
    </row>
    <row r="11" spans="2:19" ht="18" customHeight="1" thickBot="1" x14ac:dyDescent="0.3">
      <c r="B11" s="297"/>
      <c r="C11" s="85" t="s">
        <v>123</v>
      </c>
      <c r="D11" s="94">
        <v>1778</v>
      </c>
      <c r="E11" s="95">
        <v>1434</v>
      </c>
      <c r="F11" s="95">
        <v>3486</v>
      </c>
      <c r="G11" s="95">
        <v>3497</v>
      </c>
      <c r="H11" s="95">
        <v>20035</v>
      </c>
      <c r="I11" s="95">
        <v>25941</v>
      </c>
      <c r="J11" s="96">
        <v>42200</v>
      </c>
      <c r="K11" s="96">
        <v>12000</v>
      </c>
      <c r="L11" s="96">
        <v>1550</v>
      </c>
      <c r="M11" s="96">
        <v>1200</v>
      </c>
      <c r="N11" s="96">
        <v>500</v>
      </c>
      <c r="O11" s="97">
        <v>3200</v>
      </c>
      <c r="Q11" s="32">
        <f t="shared" si="0"/>
        <v>116821</v>
      </c>
      <c r="S11" s="10"/>
    </row>
    <row r="12" spans="2:19" ht="10.5" customHeight="1" thickBot="1" x14ac:dyDescent="0.3">
      <c r="C12" s="29"/>
    </row>
    <row r="13" spans="2:19" ht="13.5" thickBot="1" x14ac:dyDescent="0.3">
      <c r="C13" s="29"/>
      <c r="Q13" s="82" t="s">
        <v>33</v>
      </c>
    </row>
    <row r="14" spans="2:19" ht="18" customHeight="1" x14ac:dyDescent="0.25">
      <c r="B14" s="298" t="s">
        <v>29</v>
      </c>
      <c r="C14" s="83" t="s">
        <v>118</v>
      </c>
      <c r="D14" s="185" t="s">
        <v>116</v>
      </c>
      <c r="E14" s="186" t="s">
        <v>116</v>
      </c>
      <c r="F14" s="186" t="s">
        <v>116</v>
      </c>
      <c r="G14" s="186" t="s">
        <v>116</v>
      </c>
      <c r="H14" s="186" t="s">
        <v>116</v>
      </c>
      <c r="I14" s="186" t="s">
        <v>116</v>
      </c>
      <c r="J14" s="186" t="s">
        <v>116</v>
      </c>
      <c r="K14" s="186" t="s">
        <v>116</v>
      </c>
      <c r="L14" s="186" t="s">
        <v>116</v>
      </c>
      <c r="M14" s="186" t="s">
        <v>116</v>
      </c>
      <c r="N14" s="186" t="s">
        <v>116</v>
      </c>
      <c r="O14" s="187" t="s">
        <v>116</v>
      </c>
      <c r="Q14" s="65" t="s">
        <v>116</v>
      </c>
    </row>
    <row r="15" spans="2:19" ht="18" customHeight="1" x14ac:dyDescent="0.25">
      <c r="B15" s="299"/>
      <c r="C15" s="84" t="s">
        <v>119</v>
      </c>
      <c r="D15" s="114">
        <f>D6/D5-1</f>
        <v>-0.25916666666666666</v>
      </c>
      <c r="E15" s="183">
        <f>E6/E5-1</f>
        <v>0</v>
      </c>
      <c r="F15" s="183">
        <f t="shared" ref="F15:O16" si="1">F6/F5-1</f>
        <v>0</v>
      </c>
      <c r="G15" s="183">
        <f t="shared" si="1"/>
        <v>0</v>
      </c>
      <c r="H15" s="183">
        <f t="shared" si="1"/>
        <v>-3.3333333333333326E-2</v>
      </c>
      <c r="I15" s="183">
        <f t="shared" si="1"/>
        <v>4.0462427745664664E-2</v>
      </c>
      <c r="J15" s="183">
        <f t="shared" si="1"/>
        <v>6.1855670103092786E-2</v>
      </c>
      <c r="K15" s="183">
        <f t="shared" si="1"/>
        <v>-0.28767123287671237</v>
      </c>
      <c r="L15" s="183">
        <f t="shared" si="1"/>
        <v>0</v>
      </c>
      <c r="M15" s="183">
        <f t="shared" si="1"/>
        <v>0</v>
      </c>
      <c r="N15" s="183">
        <f t="shared" si="1"/>
        <v>0</v>
      </c>
      <c r="O15" s="188">
        <f t="shared" si="1"/>
        <v>0</v>
      </c>
      <c r="Q15" s="33">
        <f t="shared" ref="Q15:Q20" si="2">Q6/$Q$5-1</f>
        <v>-1.8691883372734419E-2</v>
      </c>
    </row>
    <row r="16" spans="2:19" ht="18" customHeight="1" x14ac:dyDescent="0.25">
      <c r="B16" s="299"/>
      <c r="C16" s="84" t="s">
        <v>117</v>
      </c>
      <c r="D16" s="114">
        <f>D7/D5-1</f>
        <v>-0.25916666666666666</v>
      </c>
      <c r="E16" s="184">
        <f>E7/E6-1</f>
        <v>-0.41469387755102038</v>
      </c>
      <c r="F16" s="183">
        <f>F7/F6-1</f>
        <v>0</v>
      </c>
      <c r="G16" s="183">
        <f>G7/G6-1</f>
        <v>0.26470588235294112</v>
      </c>
      <c r="H16" s="183">
        <f>H7/H6-1</f>
        <v>6.8965517241379226E-2</v>
      </c>
      <c r="I16" s="183">
        <f t="shared" si="1"/>
        <v>0.10370370370370363</v>
      </c>
      <c r="J16" s="183">
        <f t="shared" si="1"/>
        <v>0</v>
      </c>
      <c r="K16" s="183">
        <f t="shared" si="1"/>
        <v>0</v>
      </c>
      <c r="L16" s="183">
        <f t="shared" si="1"/>
        <v>-0.125</v>
      </c>
      <c r="M16" s="183">
        <f>M7/M6-1</f>
        <v>0</v>
      </c>
      <c r="N16" s="183">
        <f>N7/N6-1</f>
        <v>0.25</v>
      </c>
      <c r="O16" s="188">
        <f>O7/O6-1</f>
        <v>6.6666666666666652E-2</v>
      </c>
      <c r="Q16" s="33">
        <f>Q7/$Q$5-1</f>
        <v>1.9007092198581654E-2</v>
      </c>
    </row>
    <row r="17" spans="2:17" ht="18" customHeight="1" x14ac:dyDescent="0.25">
      <c r="B17" s="299"/>
      <c r="C17" s="84" t="s">
        <v>120</v>
      </c>
      <c r="D17" s="114">
        <f>D8/D5-1</f>
        <v>-0.25916666666666666</v>
      </c>
      <c r="E17" s="184">
        <f>E8/E6-1</f>
        <v>-0.41469387755102038</v>
      </c>
      <c r="F17" s="184">
        <f>F8/F7-1</f>
        <v>0.24500000000000011</v>
      </c>
      <c r="G17" s="183">
        <f>G8/G7-1</f>
        <v>-2.3255813953488413E-2</v>
      </c>
      <c r="H17" s="183">
        <f t="shared" ref="H17:O18" si="3">H8/H7-1</f>
        <v>6.1290322580645151E-2</v>
      </c>
      <c r="I17" s="183">
        <f t="shared" si="3"/>
        <v>0</v>
      </c>
      <c r="J17" s="183">
        <f t="shared" si="3"/>
        <v>0</v>
      </c>
      <c r="K17" s="183">
        <f t="shared" si="3"/>
        <v>0</v>
      </c>
      <c r="L17" s="183">
        <f t="shared" si="3"/>
        <v>0</v>
      </c>
      <c r="M17" s="183">
        <f t="shared" si="3"/>
        <v>0</v>
      </c>
      <c r="N17" s="183">
        <f t="shared" si="3"/>
        <v>0</v>
      </c>
      <c r="O17" s="188">
        <f t="shared" si="3"/>
        <v>0</v>
      </c>
      <c r="Q17" s="33">
        <f t="shared" si="2"/>
        <v>3.8597320724980344E-2</v>
      </c>
    </row>
    <row r="18" spans="2:17" ht="18" customHeight="1" x14ac:dyDescent="0.25">
      <c r="B18" s="299"/>
      <c r="C18" s="84" t="s">
        <v>121</v>
      </c>
      <c r="D18" s="114">
        <f>D9/D5-1</f>
        <v>-0.25916666666666666</v>
      </c>
      <c r="E18" s="184">
        <f>E9/E6-1</f>
        <v>-0.41469387755102038</v>
      </c>
      <c r="F18" s="184">
        <f>F9/F7-1</f>
        <v>0.24500000000000011</v>
      </c>
      <c r="G18" s="184">
        <f t="shared" ref="G18:O20" si="4">G9/G8-1</f>
        <v>-0.16738095238095241</v>
      </c>
      <c r="H18" s="183">
        <f t="shared" si="4"/>
        <v>9.4224924012157985E-2</v>
      </c>
      <c r="I18" s="183">
        <f t="shared" si="4"/>
        <v>0.1476510067114094</v>
      </c>
      <c r="J18" s="183">
        <f t="shared" si="4"/>
        <v>0.14077669902912615</v>
      </c>
      <c r="K18" s="183">
        <f t="shared" si="4"/>
        <v>0.31730769230769229</v>
      </c>
      <c r="L18" s="183">
        <f t="shared" si="4"/>
        <v>0.10714285714285721</v>
      </c>
      <c r="M18" s="183">
        <f t="shared" si="3"/>
        <v>-0.19999999999999996</v>
      </c>
      <c r="N18" s="183">
        <f t="shared" si="3"/>
        <v>0</v>
      </c>
      <c r="O18" s="188">
        <f t="shared" si="3"/>
        <v>0</v>
      </c>
      <c r="Q18" s="33">
        <f t="shared" si="2"/>
        <v>0.16268715524034683</v>
      </c>
    </row>
    <row r="19" spans="2:17" ht="18" customHeight="1" x14ac:dyDescent="0.25">
      <c r="B19" s="299"/>
      <c r="C19" s="84" t="s">
        <v>122</v>
      </c>
      <c r="D19" s="114">
        <f>D10/D5-1</f>
        <v>-0.25916666666666666</v>
      </c>
      <c r="E19" s="184">
        <f>E10/E6-1</f>
        <v>-0.41469387755102038</v>
      </c>
      <c r="F19" s="184">
        <f>F10/F7-1</f>
        <v>0.24500000000000011</v>
      </c>
      <c r="G19" s="184">
        <f>G9/G8-1</f>
        <v>-0.16738095238095241</v>
      </c>
      <c r="H19" s="184">
        <f>H10/H9-1</f>
        <v>-0.44347222222222227</v>
      </c>
      <c r="I19" s="183">
        <f>I10/I9-1</f>
        <v>-0.27485380116959068</v>
      </c>
      <c r="J19" s="183">
        <f t="shared" si="4"/>
        <v>-0.10212765957446812</v>
      </c>
      <c r="K19" s="183">
        <f t="shared" si="4"/>
        <v>-0.36496350364963503</v>
      </c>
      <c r="L19" s="183">
        <f t="shared" si="4"/>
        <v>0</v>
      </c>
      <c r="M19" s="183">
        <f t="shared" si="4"/>
        <v>0</v>
      </c>
      <c r="N19" s="183">
        <f t="shared" si="4"/>
        <v>0</v>
      </c>
      <c r="O19" s="188">
        <f t="shared" si="4"/>
        <v>0</v>
      </c>
      <c r="Q19" s="33">
        <f t="shared" si="2"/>
        <v>-0.11442080378250596</v>
      </c>
    </row>
    <row r="20" spans="2:17" ht="18" customHeight="1" thickBot="1" x14ac:dyDescent="0.3">
      <c r="B20" s="300"/>
      <c r="C20" s="85" t="s">
        <v>123</v>
      </c>
      <c r="D20" s="116">
        <f>D11/D5-1</f>
        <v>-0.25916666666666666</v>
      </c>
      <c r="E20" s="189">
        <f>E11/E6-1</f>
        <v>-0.41469387755102038</v>
      </c>
      <c r="F20" s="189">
        <f>F11/F7-1</f>
        <v>0.24500000000000011</v>
      </c>
      <c r="G20" s="189">
        <f>G9/G8-1</f>
        <v>-0.16738095238095241</v>
      </c>
      <c r="H20" s="189">
        <f>H11/H9-1</f>
        <v>-0.44347222222222227</v>
      </c>
      <c r="I20" s="189">
        <f>I11/I10-1</f>
        <v>4.6008064516128933E-2</v>
      </c>
      <c r="J20" s="190">
        <f>J11/J10-1</f>
        <v>0</v>
      </c>
      <c r="K20" s="190">
        <f t="shared" si="4"/>
        <v>0.3793103448275863</v>
      </c>
      <c r="L20" s="190">
        <f t="shared" si="4"/>
        <v>0</v>
      </c>
      <c r="M20" s="190">
        <f t="shared" si="4"/>
        <v>0</v>
      </c>
      <c r="N20" s="190">
        <f t="shared" si="4"/>
        <v>0</v>
      </c>
      <c r="O20" s="191">
        <f t="shared" si="4"/>
        <v>0</v>
      </c>
      <c r="Q20" s="34">
        <f t="shared" si="2"/>
        <v>-7.9424743892829053E-2</v>
      </c>
    </row>
  </sheetData>
  <mergeCells count="3">
    <mergeCell ref="B5:B11"/>
    <mergeCell ref="B14:B20"/>
    <mergeCell ref="D2:O2"/>
  </mergeCells>
  <conditionalFormatting sqref="D15:O20">
    <cfRule type="cellIs" dxfId="49" priority="1" operator="greaterThan">
      <formula>0</formula>
    </cfRule>
    <cfRule type="cellIs" dxfId="48" priority="2" operator="lessThan">
      <formula>0</formula>
    </cfRule>
  </conditionalFormatting>
  <conditionalFormatting sqref="Q14:Q20">
    <cfRule type="cellIs" dxfId="47" priority="4" stopIfTrue="1" operator="lessThanOrEqual">
      <formula>-0.001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38"/>
  <sheetViews>
    <sheetView workbookViewId="0">
      <selection activeCell="L19" sqref="L19"/>
    </sheetView>
  </sheetViews>
  <sheetFormatPr defaultColWidth="10.875" defaultRowHeight="12.75" x14ac:dyDescent="0.2"/>
  <cols>
    <col min="1" max="1" width="4.5" style="6" customWidth="1"/>
    <col min="2" max="2" width="8.375" style="11" customWidth="1"/>
    <col min="3" max="3" width="10.875" style="11"/>
    <col min="4" max="4" width="5.75" style="11" bestFit="1" customWidth="1"/>
    <col min="5" max="5" width="2.625" style="11" customWidth="1"/>
    <col min="6" max="6" width="21" style="6" bestFit="1" customWidth="1"/>
    <col min="7" max="7" width="2.5" style="6" customWidth="1"/>
    <col min="8" max="16384" width="10.875" style="6"/>
  </cols>
  <sheetData>
    <row r="1" spans="2:10" ht="3.75" customHeight="1" x14ac:dyDescent="0.2"/>
    <row r="2" spans="2:10" ht="12.95" customHeight="1" x14ac:dyDescent="0.2">
      <c r="B2" s="307" t="s">
        <v>126</v>
      </c>
      <c r="C2" s="308"/>
      <c r="D2" s="309"/>
      <c r="F2" s="255" t="s">
        <v>125</v>
      </c>
      <c r="G2" s="37"/>
      <c r="H2" s="316" t="s">
        <v>77</v>
      </c>
      <c r="I2" s="316"/>
      <c r="J2" s="316"/>
    </row>
    <row r="3" spans="2:10" ht="12.95" customHeight="1" x14ac:dyDescent="0.2">
      <c r="B3" s="310"/>
      <c r="C3" s="311"/>
      <c r="D3" s="312"/>
      <c r="F3" s="254" t="s">
        <v>75</v>
      </c>
      <c r="H3" s="317" t="s">
        <v>80</v>
      </c>
      <c r="I3" s="317"/>
      <c r="J3" s="317"/>
    </row>
    <row r="4" spans="2:10" ht="12.95" customHeight="1" x14ac:dyDescent="0.2">
      <c r="B4" s="310"/>
      <c r="C4" s="311"/>
      <c r="D4" s="312"/>
      <c r="F4" s="257" t="s">
        <v>74</v>
      </c>
      <c r="G4" s="43"/>
      <c r="H4" s="318" t="s">
        <v>79</v>
      </c>
      <c r="I4" s="318"/>
      <c r="J4" s="318"/>
    </row>
    <row r="5" spans="2:10" ht="12.95" customHeight="1" x14ac:dyDescent="0.2">
      <c r="B5" s="313"/>
      <c r="C5" s="314"/>
      <c r="D5" s="315"/>
      <c r="F5" s="256" t="s">
        <v>73</v>
      </c>
      <c r="H5" s="319" t="s">
        <v>78</v>
      </c>
      <c r="I5" s="319"/>
      <c r="J5" s="319"/>
    </row>
    <row r="6" spans="2:10" ht="4.5" customHeight="1" x14ac:dyDescent="0.2">
      <c r="F6" s="11"/>
      <c r="H6" s="11"/>
      <c r="I6" s="11"/>
      <c r="J6" s="11"/>
    </row>
    <row r="7" spans="2:10" ht="12.95" customHeight="1" x14ac:dyDescent="0.2">
      <c r="B7" s="127" t="s">
        <v>40</v>
      </c>
      <c r="C7" s="127" t="s">
        <v>2</v>
      </c>
      <c r="D7" s="127" t="s">
        <v>41</v>
      </c>
      <c r="E7" s="38"/>
      <c r="F7" s="128" t="s">
        <v>76</v>
      </c>
      <c r="H7" s="127" t="s">
        <v>81</v>
      </c>
      <c r="I7" s="127" t="s">
        <v>82</v>
      </c>
      <c r="J7" s="127" t="s">
        <v>76</v>
      </c>
    </row>
    <row r="8" spans="2:10" ht="12.95" customHeight="1" x14ac:dyDescent="0.2">
      <c r="B8" s="40" t="s">
        <v>42</v>
      </c>
      <c r="C8" s="12">
        <v>6200</v>
      </c>
      <c r="D8" s="12">
        <v>3000</v>
      </c>
      <c r="E8" s="12"/>
      <c r="F8" s="41">
        <f>D8/C8</f>
        <v>0.4838709677419355</v>
      </c>
      <c r="H8" s="14">
        <f>ABS(C8-D8)</f>
        <v>3200</v>
      </c>
      <c r="I8" s="15">
        <f>IF(H8/D8&gt;1,1,H8/D8)</f>
        <v>1</v>
      </c>
      <c r="J8" s="43">
        <f t="shared" ref="J8:J25" si="0">1-I8</f>
        <v>0</v>
      </c>
    </row>
    <row r="9" spans="2:10" ht="12.95" customHeight="1" x14ac:dyDescent="0.2">
      <c r="B9" s="40" t="s">
        <v>43</v>
      </c>
      <c r="C9" s="12">
        <v>25</v>
      </c>
      <c r="D9" s="12">
        <v>203</v>
      </c>
      <c r="E9" s="12"/>
      <c r="F9" s="41">
        <f t="shared" ref="F9:F25" si="1">D9/C9</f>
        <v>8.1199999999999992</v>
      </c>
      <c r="H9" s="14">
        <f t="shared" ref="H9:H25" si="2">ABS(C9-D9)</f>
        <v>178</v>
      </c>
      <c r="I9" s="15">
        <f t="shared" ref="I9:I25" si="3">IF(H9/D9&gt;1,1,H9/D9)</f>
        <v>0.87684729064039413</v>
      </c>
      <c r="J9" s="43">
        <f t="shared" si="0"/>
        <v>0.12315270935960587</v>
      </c>
    </row>
    <row r="10" spans="2:10" ht="12.95" customHeight="1" x14ac:dyDescent="0.2">
      <c r="B10" s="40" t="s">
        <v>44</v>
      </c>
      <c r="C10" s="12">
        <v>210</v>
      </c>
      <c r="D10" s="12">
        <v>700</v>
      </c>
      <c r="E10" s="12"/>
      <c r="F10" s="41">
        <f t="shared" si="1"/>
        <v>3.3333333333333335</v>
      </c>
      <c r="H10" s="14">
        <f t="shared" si="2"/>
        <v>490</v>
      </c>
      <c r="I10" s="15">
        <f t="shared" si="3"/>
        <v>0.7</v>
      </c>
      <c r="J10" s="43">
        <f t="shared" si="0"/>
        <v>0.30000000000000004</v>
      </c>
    </row>
    <row r="11" spans="2:10" ht="12.95" customHeight="1" x14ac:dyDescent="0.2">
      <c r="B11" s="40" t="s">
        <v>45</v>
      </c>
      <c r="C11" s="12">
        <v>1500</v>
      </c>
      <c r="D11" s="12">
        <v>1000</v>
      </c>
      <c r="E11" s="12"/>
      <c r="F11" s="41">
        <f t="shared" si="1"/>
        <v>0.66666666666666663</v>
      </c>
      <c r="H11" s="14">
        <f t="shared" si="2"/>
        <v>500</v>
      </c>
      <c r="I11" s="15">
        <f t="shared" si="3"/>
        <v>0.5</v>
      </c>
      <c r="J11" s="43">
        <f t="shared" si="0"/>
        <v>0.5</v>
      </c>
    </row>
    <row r="12" spans="2:10" ht="12.95" customHeight="1" x14ac:dyDescent="0.2">
      <c r="B12" s="40" t="s">
        <v>46</v>
      </c>
      <c r="C12" s="12">
        <v>500</v>
      </c>
      <c r="D12" s="12">
        <v>1000</v>
      </c>
      <c r="E12" s="12"/>
      <c r="F12" s="41">
        <f t="shared" si="1"/>
        <v>2</v>
      </c>
      <c r="H12" s="14">
        <f t="shared" si="2"/>
        <v>500</v>
      </c>
      <c r="I12" s="15">
        <f t="shared" si="3"/>
        <v>0.5</v>
      </c>
      <c r="J12" s="43">
        <f t="shared" si="0"/>
        <v>0.5</v>
      </c>
    </row>
    <row r="13" spans="2:10" ht="12.95" customHeight="1" x14ac:dyDescent="0.2">
      <c r="B13" s="40" t="s">
        <v>47</v>
      </c>
      <c r="C13" s="12">
        <v>1750</v>
      </c>
      <c r="D13" s="12">
        <v>1200</v>
      </c>
      <c r="E13" s="12"/>
      <c r="F13" s="41">
        <f t="shared" si="1"/>
        <v>0.68571428571428572</v>
      </c>
      <c r="H13" s="14">
        <f t="shared" si="2"/>
        <v>550</v>
      </c>
      <c r="I13" s="15">
        <f t="shared" si="3"/>
        <v>0.45833333333333331</v>
      </c>
      <c r="J13" s="43">
        <f t="shared" si="0"/>
        <v>0.54166666666666674</v>
      </c>
    </row>
    <row r="14" spans="2:10" ht="12.95" customHeight="1" x14ac:dyDescent="0.2">
      <c r="B14" s="40" t="s">
        <v>48</v>
      </c>
      <c r="C14" s="12">
        <v>2000</v>
      </c>
      <c r="D14" s="12">
        <v>1400</v>
      </c>
      <c r="E14" s="12"/>
      <c r="F14" s="41">
        <f t="shared" si="1"/>
        <v>0.7</v>
      </c>
      <c r="H14" s="14">
        <f t="shared" si="2"/>
        <v>600</v>
      </c>
      <c r="I14" s="15">
        <f t="shared" si="3"/>
        <v>0.42857142857142855</v>
      </c>
      <c r="J14" s="43">
        <f t="shared" si="0"/>
        <v>0.5714285714285714</v>
      </c>
    </row>
    <row r="15" spans="2:10" ht="12.95" customHeight="1" x14ac:dyDescent="0.2">
      <c r="B15" s="40" t="s">
        <v>49</v>
      </c>
      <c r="C15" s="12">
        <v>550</v>
      </c>
      <c r="D15" s="12">
        <v>927.66600000000005</v>
      </c>
      <c r="E15" s="12"/>
      <c r="F15" s="41">
        <f t="shared" si="1"/>
        <v>1.6866654545454547</v>
      </c>
      <c r="H15" s="14">
        <f t="shared" si="2"/>
        <v>377.66600000000005</v>
      </c>
      <c r="I15" s="15">
        <f t="shared" si="3"/>
        <v>0.40711419842917607</v>
      </c>
      <c r="J15" s="43">
        <f t="shared" si="0"/>
        <v>0.59288580157082393</v>
      </c>
    </row>
    <row r="16" spans="2:10" ht="12.95" customHeight="1" x14ac:dyDescent="0.2">
      <c r="B16" s="40" t="s">
        <v>50</v>
      </c>
      <c r="C16" s="12">
        <v>120</v>
      </c>
      <c r="D16" s="12">
        <v>197</v>
      </c>
      <c r="E16" s="12"/>
      <c r="F16" s="41">
        <f t="shared" si="1"/>
        <v>1.6416666666666666</v>
      </c>
      <c r="H16" s="14">
        <f t="shared" si="2"/>
        <v>77</v>
      </c>
      <c r="I16" s="15">
        <f t="shared" si="3"/>
        <v>0.39086294416243655</v>
      </c>
      <c r="J16" s="43">
        <f t="shared" si="0"/>
        <v>0.6091370558375635</v>
      </c>
    </row>
    <row r="17" spans="2:10" ht="12.95" customHeight="1" x14ac:dyDescent="0.2">
      <c r="B17" s="40" t="s">
        <v>51</v>
      </c>
      <c r="C17" s="12">
        <v>4800</v>
      </c>
      <c r="D17" s="12">
        <v>7840</v>
      </c>
      <c r="E17" s="12"/>
      <c r="F17" s="41">
        <f t="shared" si="1"/>
        <v>1.6333333333333333</v>
      </c>
      <c r="H17" s="14">
        <f t="shared" si="2"/>
        <v>3040</v>
      </c>
      <c r="I17" s="15">
        <f t="shared" si="3"/>
        <v>0.38775510204081631</v>
      </c>
      <c r="J17" s="43">
        <f t="shared" si="0"/>
        <v>0.61224489795918369</v>
      </c>
    </row>
    <row r="18" spans="2:10" ht="12.95" customHeight="1" x14ac:dyDescent="0.2">
      <c r="B18" s="40" t="s">
        <v>52</v>
      </c>
      <c r="C18" s="12">
        <v>750</v>
      </c>
      <c r="D18" s="12">
        <v>1200</v>
      </c>
      <c r="E18" s="12"/>
      <c r="F18" s="41">
        <f t="shared" si="1"/>
        <v>1.6</v>
      </c>
      <c r="H18" s="14">
        <f t="shared" si="2"/>
        <v>450</v>
      </c>
      <c r="I18" s="15">
        <f t="shared" si="3"/>
        <v>0.375</v>
      </c>
      <c r="J18" s="43">
        <f t="shared" si="0"/>
        <v>0.625</v>
      </c>
    </row>
    <row r="19" spans="2:10" ht="12.95" customHeight="1" x14ac:dyDescent="0.2">
      <c r="B19" s="40" t="s">
        <v>53</v>
      </c>
      <c r="C19" s="12">
        <v>2000</v>
      </c>
      <c r="D19" s="12">
        <v>3200</v>
      </c>
      <c r="E19" s="12"/>
      <c r="F19" s="41">
        <f t="shared" si="1"/>
        <v>1.6</v>
      </c>
      <c r="H19" s="14">
        <f t="shared" si="2"/>
        <v>1200</v>
      </c>
      <c r="I19" s="15">
        <f t="shared" si="3"/>
        <v>0.375</v>
      </c>
      <c r="J19" s="43">
        <f t="shared" si="0"/>
        <v>0.625</v>
      </c>
    </row>
    <row r="20" spans="2:10" ht="12.95" customHeight="1" x14ac:dyDescent="0.2">
      <c r="B20" s="40" t="s">
        <v>54</v>
      </c>
      <c r="C20" s="12">
        <v>325.34905709902336</v>
      </c>
      <c r="D20" s="12">
        <v>454</v>
      </c>
      <c r="E20" s="12"/>
      <c r="F20" s="41">
        <f t="shared" si="1"/>
        <v>1.3954243606792456</v>
      </c>
      <c r="H20" s="14">
        <f t="shared" si="2"/>
        <v>128.65094290097664</v>
      </c>
      <c r="I20" s="15">
        <f t="shared" si="3"/>
        <v>0.28337212092726133</v>
      </c>
      <c r="J20" s="43">
        <f t="shared" si="0"/>
        <v>0.71662787907273873</v>
      </c>
    </row>
    <row r="21" spans="2:10" ht="12.95" customHeight="1" x14ac:dyDescent="0.2">
      <c r="B21" s="40" t="s">
        <v>55</v>
      </c>
      <c r="C21" s="12">
        <v>12900</v>
      </c>
      <c r="D21" s="12">
        <v>16800</v>
      </c>
      <c r="E21" s="12"/>
      <c r="F21" s="41">
        <f t="shared" si="1"/>
        <v>1.3023255813953489</v>
      </c>
      <c r="H21" s="14">
        <f t="shared" si="2"/>
        <v>3900</v>
      </c>
      <c r="I21" s="15">
        <f t="shared" si="3"/>
        <v>0.23214285714285715</v>
      </c>
      <c r="J21" s="43">
        <f t="shared" si="0"/>
        <v>0.76785714285714279</v>
      </c>
    </row>
    <row r="22" spans="2:10" ht="12.95" customHeight="1" x14ac:dyDescent="0.2">
      <c r="B22" s="40" t="s">
        <v>56</v>
      </c>
      <c r="C22" s="12">
        <v>650</v>
      </c>
      <c r="D22" s="12">
        <v>546</v>
      </c>
      <c r="E22" s="12"/>
      <c r="F22" s="41">
        <f t="shared" si="1"/>
        <v>0.84</v>
      </c>
      <c r="H22" s="14">
        <f t="shared" si="2"/>
        <v>104</v>
      </c>
      <c r="I22" s="15">
        <f t="shared" si="3"/>
        <v>0.19047619047619047</v>
      </c>
      <c r="J22" s="43">
        <f t="shared" si="0"/>
        <v>0.80952380952380953</v>
      </c>
    </row>
    <row r="23" spans="2:10" ht="12.95" customHeight="1" x14ac:dyDescent="0.2">
      <c r="B23" s="40" t="s">
        <v>57</v>
      </c>
      <c r="C23" s="12">
        <v>750</v>
      </c>
      <c r="D23" s="12">
        <v>820</v>
      </c>
      <c r="E23" s="12"/>
      <c r="F23" s="41">
        <f t="shared" si="1"/>
        <v>1.0933333333333333</v>
      </c>
      <c r="H23" s="14">
        <f t="shared" si="2"/>
        <v>70</v>
      </c>
      <c r="I23" s="15">
        <f t="shared" si="3"/>
        <v>8.5365853658536592E-2</v>
      </c>
      <c r="J23" s="43">
        <f t="shared" si="0"/>
        <v>0.91463414634146345</v>
      </c>
    </row>
    <row r="24" spans="2:10" ht="12.95" customHeight="1" x14ac:dyDescent="0.2">
      <c r="B24" s="40" t="s">
        <v>58</v>
      </c>
      <c r="C24" s="12">
        <v>11000</v>
      </c>
      <c r="D24" s="12">
        <v>11500</v>
      </c>
      <c r="E24" s="12"/>
      <c r="F24" s="41">
        <f t="shared" si="1"/>
        <v>1.0454545454545454</v>
      </c>
      <c r="H24" s="14">
        <f t="shared" si="2"/>
        <v>500</v>
      </c>
      <c r="I24" s="15">
        <f t="shared" si="3"/>
        <v>4.3478260869565216E-2</v>
      </c>
      <c r="J24" s="43">
        <f t="shared" si="0"/>
        <v>0.95652173913043481</v>
      </c>
    </row>
    <row r="25" spans="2:10" ht="12.95" customHeight="1" x14ac:dyDescent="0.2">
      <c r="B25" s="40" t="s">
        <v>59</v>
      </c>
      <c r="C25" s="12">
        <v>275</v>
      </c>
      <c r="D25" s="12">
        <v>268</v>
      </c>
      <c r="E25" s="12"/>
      <c r="F25" s="41">
        <f t="shared" si="1"/>
        <v>0.97454545454545449</v>
      </c>
      <c r="H25" s="14">
        <f t="shared" si="2"/>
        <v>7</v>
      </c>
      <c r="I25" s="15">
        <f t="shared" si="3"/>
        <v>2.6119402985074626E-2</v>
      </c>
      <c r="J25" s="43">
        <f t="shared" si="0"/>
        <v>0.97388059701492535</v>
      </c>
    </row>
    <row r="26" spans="2:10" ht="12.95" customHeight="1" x14ac:dyDescent="0.2">
      <c r="C26" s="12"/>
      <c r="D26" s="12"/>
      <c r="E26" s="12"/>
      <c r="F26" s="42"/>
      <c r="H26" s="14"/>
      <c r="I26" s="15"/>
      <c r="J26" s="16"/>
    </row>
    <row r="27" spans="2:10" ht="12.95" customHeight="1" x14ac:dyDescent="0.2">
      <c r="B27" s="127" t="s">
        <v>72</v>
      </c>
      <c r="C27" s="129">
        <f>SUM(C8:C25)</f>
        <v>46305.349057099025</v>
      </c>
      <c r="D27" s="129">
        <f>SUM(D8:D25)</f>
        <v>52255.665999999997</v>
      </c>
      <c r="E27" s="3"/>
      <c r="F27" s="41">
        <f>D27/C27</f>
        <v>1.1285017187876858</v>
      </c>
      <c r="H27" s="2">
        <f>SUM(H8:H25)</f>
        <v>15872.316942900978</v>
      </c>
      <c r="I27" s="15">
        <f>IF(H27/D27&gt;1,1,H27/D27)</f>
        <v>0.30374346282183023</v>
      </c>
      <c r="J27" s="43">
        <f>IF(I27&gt;1,0,1-I27)</f>
        <v>0.69625653717816971</v>
      </c>
    </row>
    <row r="28" spans="2:10" ht="12.95" customHeight="1" x14ac:dyDescent="0.2"/>
    <row r="29" spans="2:10" ht="12.95" customHeight="1" x14ac:dyDescent="0.2">
      <c r="B29" s="306" t="s">
        <v>18</v>
      </c>
      <c r="C29" s="306"/>
      <c r="D29" s="306"/>
      <c r="F29" s="43">
        <f>AVERAGEA(F8:F25)</f>
        <v>1.7112407768560891</v>
      </c>
      <c r="J29" s="43">
        <f>AVERAGEA(J8:J25)</f>
        <v>0.59664227870905173</v>
      </c>
    </row>
    <row r="30" spans="2:10" ht="12.95" customHeight="1" x14ac:dyDescent="0.2"/>
    <row r="31" spans="2:10" ht="12.95" customHeight="1" x14ac:dyDescent="0.2"/>
    <row r="32" spans="2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</sheetData>
  <mergeCells count="6">
    <mergeCell ref="B29:D29"/>
    <mergeCell ref="B2:D5"/>
    <mergeCell ref="H2:J2"/>
    <mergeCell ref="H3:J3"/>
    <mergeCell ref="H4:J4"/>
    <mergeCell ref="H5:J5"/>
  </mergeCells>
  <conditionalFormatting sqref="F5">
    <cfRule type="cellIs" dxfId="46" priority="30" operator="greaterThan">
      <formula>1.3</formula>
    </cfRule>
    <cfRule type="cellIs" dxfId="45" priority="29" operator="lessThan">
      <formula>0.7</formula>
    </cfRule>
    <cfRule type="cellIs" dxfId="44" priority="35" stopIfTrue="1" operator="lessThan">
      <formula>0.75</formula>
    </cfRule>
    <cfRule type="cellIs" dxfId="43" priority="34" stopIfTrue="1" operator="greaterThan">
      <formula>1.1</formula>
    </cfRule>
    <cfRule type="cellIs" dxfId="42" priority="33" operator="between">
      <formula>0.85</formula>
      <formula>1.15</formula>
    </cfRule>
    <cfRule type="cellIs" dxfId="41" priority="32" operator="between">
      <formula>0.7</formula>
      <formula>0.85</formula>
    </cfRule>
    <cfRule type="cellIs" dxfId="40" priority="31" operator="between">
      <formula>1.15</formula>
      <formula>1.3</formula>
    </cfRule>
    <cfRule type="cellIs" dxfId="39" priority="36" stopIfTrue="1" operator="between">
      <formula>0.75</formula>
      <formula>0.9</formula>
    </cfRule>
    <cfRule type="cellIs" dxfId="38" priority="37" operator="greaterThan">
      <formula>0.9</formula>
    </cfRule>
  </conditionalFormatting>
  <conditionalFormatting sqref="F8:F25">
    <cfRule type="cellIs" dxfId="37" priority="9" operator="lessThan">
      <formula>0.7</formula>
    </cfRule>
    <cfRule type="cellIs" dxfId="36" priority="10" operator="greaterThan">
      <formula>1.3</formula>
    </cfRule>
    <cfRule type="cellIs" dxfId="35" priority="11" operator="between">
      <formula>1.15</formula>
      <formula>1.3</formula>
    </cfRule>
    <cfRule type="cellIs" dxfId="34" priority="12" operator="between">
      <formula>0.7</formula>
      <formula>0.85</formula>
    </cfRule>
    <cfRule type="cellIs" dxfId="33" priority="13" operator="between">
      <formula>0.85</formula>
      <formula>1.15</formula>
    </cfRule>
  </conditionalFormatting>
  <conditionalFormatting sqref="F26">
    <cfRule type="cellIs" dxfId="32" priority="41" stopIfTrue="1" operator="greaterThan">
      <formula>1.1</formula>
    </cfRule>
  </conditionalFormatting>
  <conditionalFormatting sqref="F27">
    <cfRule type="cellIs" dxfId="31" priority="4" operator="lessThan">
      <formula>0.7</formula>
    </cfRule>
    <cfRule type="cellIs" dxfId="30" priority="5" operator="greaterThan">
      <formula>1.3</formula>
    </cfRule>
    <cfRule type="cellIs" dxfId="29" priority="6" operator="between">
      <formula>1.15</formula>
      <formula>1.3</formula>
    </cfRule>
    <cfRule type="cellIs" dxfId="28" priority="7" operator="between">
      <formula>0.7</formula>
      <formula>0.85</formula>
    </cfRule>
    <cfRule type="cellIs" dxfId="27" priority="8" operator="between">
      <formula>0.85</formula>
      <formula>1.15</formula>
    </cfRule>
  </conditionalFormatting>
  <conditionalFormatting sqref="F29">
    <cfRule type="cellIs" dxfId="26" priority="1" operator="between">
      <formula>0.75</formula>
      <formula>0.9</formula>
    </cfRule>
    <cfRule type="cellIs" dxfId="25" priority="2" operator="lessThan">
      <formula>0.75</formula>
    </cfRule>
    <cfRule type="cellIs" dxfId="24" priority="3" operator="greaterThan">
      <formula>0.9</formula>
    </cfRule>
  </conditionalFormatting>
  <conditionalFormatting sqref="H5">
    <cfRule type="cellIs" dxfId="23" priority="24" operator="between">
      <formula>0.85</formula>
      <formula>1.15</formula>
    </cfRule>
    <cfRule type="cellIs" dxfId="22" priority="25" stopIfTrue="1" operator="greaterThan">
      <formula>1.1</formula>
    </cfRule>
    <cfRule type="cellIs" dxfId="21" priority="26" stopIfTrue="1" operator="lessThan">
      <formula>0.75</formula>
    </cfRule>
    <cfRule type="cellIs" dxfId="20" priority="27" stopIfTrue="1" operator="between">
      <formula>0.75</formula>
      <formula>0.9</formula>
    </cfRule>
    <cfRule type="cellIs" dxfId="19" priority="28" operator="greaterThan">
      <formula>0.9</formula>
    </cfRule>
    <cfRule type="cellIs" dxfId="18" priority="20" operator="lessThan">
      <formula>0.7</formula>
    </cfRule>
    <cfRule type="cellIs" dxfId="17" priority="22" operator="between">
      <formula>1.15</formula>
      <formula>1.3</formula>
    </cfRule>
    <cfRule type="cellIs" dxfId="16" priority="23" operator="between">
      <formula>0.7</formula>
      <formula>0.85</formula>
    </cfRule>
    <cfRule type="cellIs" dxfId="15" priority="21" operator="greaterThan">
      <formula>1.3</formula>
    </cfRule>
  </conditionalFormatting>
  <conditionalFormatting sqref="J8:J25">
    <cfRule type="cellIs" dxfId="14" priority="38" operator="between">
      <formula>0.75</formula>
      <formula>0.9</formula>
    </cfRule>
    <cfRule type="cellIs" dxfId="13" priority="39" operator="lessThan">
      <formula>0.75</formula>
    </cfRule>
    <cfRule type="cellIs" dxfId="12" priority="40" operator="greaterThan">
      <formula>0.9</formula>
    </cfRule>
  </conditionalFormatting>
  <conditionalFormatting sqref="J27">
    <cfRule type="cellIs" dxfId="11" priority="19" operator="greaterThan">
      <formula>0.9</formula>
    </cfRule>
    <cfRule type="cellIs" dxfId="10" priority="18" operator="lessThan">
      <formula>0.75</formula>
    </cfRule>
    <cfRule type="cellIs" dxfId="9" priority="17" operator="between">
      <formula>0.75</formula>
      <formula>0.9</formula>
    </cfRule>
  </conditionalFormatting>
  <conditionalFormatting sqref="J29">
    <cfRule type="cellIs" dxfId="8" priority="16" operator="greaterThan">
      <formula>0.9</formula>
    </cfRule>
    <cfRule type="cellIs" dxfId="7" priority="15" operator="lessThan">
      <formula>0.75</formula>
    </cfRule>
    <cfRule type="cellIs" dxfId="6" priority="14" operator="between">
      <formula>0.75</formula>
      <formula>0.9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3"/>
  <sheetViews>
    <sheetView showGridLines="0" zoomScaleNormal="100" workbookViewId="0">
      <pane ySplit="5" topLeftCell="A18" activePane="bottomLeft" state="frozen"/>
      <selection pane="bottomLeft" activeCell="L36" sqref="L36"/>
    </sheetView>
  </sheetViews>
  <sheetFormatPr defaultColWidth="10.875" defaultRowHeight="12.95" customHeight="1" x14ac:dyDescent="0.2"/>
  <cols>
    <col min="1" max="1" width="0.5" style="6" customWidth="1"/>
    <col min="2" max="2" width="6.875" style="6" bestFit="1" customWidth="1"/>
    <col min="3" max="3" width="1.125" style="6" customWidth="1"/>
    <col min="4" max="8" width="10.875" style="6"/>
    <col min="9" max="9" width="6.5" style="6" bestFit="1" customWidth="1"/>
    <col min="10" max="10" width="10.875" style="6"/>
    <col min="11" max="11" width="6.875" style="6" customWidth="1"/>
    <col min="12" max="16" width="10.875" style="6"/>
    <col min="17" max="17" width="6.5" style="6" bestFit="1" customWidth="1"/>
    <col min="18" max="16384" width="10.875" style="6"/>
  </cols>
  <sheetData>
    <row r="1" spans="2:18" ht="22.5" customHeight="1" x14ac:dyDescent="0.2">
      <c r="D1" s="320" t="s">
        <v>90</v>
      </c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</row>
    <row r="2" spans="2:18" ht="6" customHeight="1" x14ac:dyDescent="0.2"/>
    <row r="3" spans="2:18" ht="12.95" customHeight="1" x14ac:dyDescent="0.3">
      <c r="D3" s="321" t="s">
        <v>103</v>
      </c>
      <c r="E3" s="322"/>
      <c r="F3" s="322"/>
      <c r="G3" s="325" t="s">
        <v>85</v>
      </c>
      <c r="H3" s="326"/>
      <c r="I3" s="326"/>
      <c r="J3" s="327"/>
      <c r="L3" s="321" t="s">
        <v>102</v>
      </c>
      <c r="M3" s="322"/>
      <c r="N3" s="322"/>
      <c r="O3" s="325" t="s">
        <v>85</v>
      </c>
      <c r="P3" s="326"/>
      <c r="Q3" s="326"/>
      <c r="R3" s="327"/>
    </row>
    <row r="4" spans="2:18" ht="12.95" customHeight="1" x14ac:dyDescent="0.3">
      <c r="D4" s="323"/>
      <c r="E4" s="324"/>
      <c r="F4" s="324"/>
      <c r="G4" s="328" t="s">
        <v>127</v>
      </c>
      <c r="H4" s="329"/>
      <c r="I4" s="328" t="s">
        <v>1</v>
      </c>
      <c r="J4" s="330"/>
      <c r="L4" s="323"/>
      <c r="M4" s="324"/>
      <c r="N4" s="324"/>
      <c r="O4" s="328" t="s">
        <v>127</v>
      </c>
      <c r="P4" s="329"/>
      <c r="Q4" s="328" t="s">
        <v>1</v>
      </c>
      <c r="R4" s="330"/>
    </row>
    <row r="5" spans="2:18" ht="12.95" customHeight="1" x14ac:dyDescent="0.2">
      <c r="B5" s="130" t="s">
        <v>40</v>
      </c>
      <c r="C5" s="5"/>
      <c r="D5" s="128" t="s">
        <v>86</v>
      </c>
      <c r="E5" s="127" t="s">
        <v>41</v>
      </c>
      <c r="F5" s="127" t="s">
        <v>81</v>
      </c>
      <c r="G5" s="128" t="s">
        <v>82</v>
      </c>
      <c r="H5" s="127" t="s">
        <v>76</v>
      </c>
      <c r="I5" s="128" t="s">
        <v>82</v>
      </c>
      <c r="J5" s="259" t="s">
        <v>76</v>
      </c>
      <c r="L5" s="128" t="s">
        <v>86</v>
      </c>
      <c r="M5" s="127" t="s">
        <v>41</v>
      </c>
      <c r="N5" s="127" t="s">
        <v>81</v>
      </c>
      <c r="O5" s="128" t="s">
        <v>82</v>
      </c>
      <c r="P5" s="127" t="s">
        <v>76</v>
      </c>
      <c r="Q5" s="128" t="s">
        <v>82</v>
      </c>
      <c r="R5" s="259" t="s">
        <v>76</v>
      </c>
    </row>
    <row r="6" spans="2:18" customFormat="1" ht="12.95" customHeight="1" x14ac:dyDescent="0.25">
      <c r="B6" s="1" t="s">
        <v>42</v>
      </c>
      <c r="C6" s="1"/>
      <c r="D6" s="260">
        <v>2700</v>
      </c>
      <c r="E6" s="236">
        <v>5500</v>
      </c>
      <c r="F6" s="237">
        <f t="shared" ref="F6:F28" si="0">ABS(D6-E6)</f>
        <v>2800</v>
      </c>
      <c r="G6" s="238">
        <f>IF(F6/D6&gt;1,1,F6/D6)</f>
        <v>1</v>
      </c>
      <c r="H6" s="239">
        <f>1-G6</f>
        <v>0</v>
      </c>
      <c r="I6" s="238">
        <f>IF(F6/E6&gt;1,1,F6/E6)</f>
        <v>0.50909090909090904</v>
      </c>
      <c r="J6" s="261">
        <f>1-I6</f>
        <v>0.49090909090909096</v>
      </c>
      <c r="L6" s="260">
        <f>M6*1.65</f>
        <v>9075</v>
      </c>
      <c r="M6" s="236">
        <v>5500</v>
      </c>
      <c r="N6" s="237">
        <f t="shared" ref="N6:N28" si="1">ABS(L6-M6)</f>
        <v>3575</v>
      </c>
      <c r="O6" s="238">
        <f t="shared" ref="O6:O28" si="2">IF(N6/L6&gt;1,1,N6/L6)</f>
        <v>0.39393939393939392</v>
      </c>
      <c r="P6" s="239">
        <f>1-O6</f>
        <v>0.60606060606060608</v>
      </c>
      <c r="Q6" s="238">
        <f t="shared" ref="Q6:Q28" si="3">IF(N6/M6&gt;1,1,N6/M6)</f>
        <v>0.65</v>
      </c>
      <c r="R6" s="261">
        <f>1-Q6</f>
        <v>0.35</v>
      </c>
    </row>
    <row r="7" spans="2:18" ht="12.95" customHeight="1" x14ac:dyDescent="0.3">
      <c r="B7" s="240" t="s">
        <v>43</v>
      </c>
      <c r="C7" s="240"/>
      <c r="D7" s="262">
        <v>300</v>
      </c>
      <c r="E7" s="241">
        <v>3000</v>
      </c>
      <c r="F7" s="242">
        <f t="shared" si="0"/>
        <v>2700</v>
      </c>
      <c r="G7" s="243">
        <f t="shared" ref="G7:G28" si="4">IF(F7/D7&gt;1,1,F7/D7)</f>
        <v>1</v>
      </c>
      <c r="H7" s="244">
        <f t="shared" ref="H7:H28" si="5">1-G7</f>
        <v>0</v>
      </c>
      <c r="I7" s="243">
        <f t="shared" ref="I7:I28" si="6">IF(F7/E7&gt;1,1,F7/E7)</f>
        <v>0.9</v>
      </c>
      <c r="J7" s="263">
        <f t="shared" ref="J7:J28" si="7">1-I7</f>
        <v>9.9999999999999978E-2</v>
      </c>
      <c r="K7" s="245"/>
      <c r="L7" s="262">
        <f>M7*1.35</f>
        <v>4050.0000000000005</v>
      </c>
      <c r="M7" s="241">
        <v>3000</v>
      </c>
      <c r="N7" s="242">
        <f t="shared" si="1"/>
        <v>1050.0000000000005</v>
      </c>
      <c r="O7" s="243">
        <f t="shared" si="2"/>
        <v>0.25925925925925936</v>
      </c>
      <c r="P7" s="244">
        <f t="shared" ref="P7:P28" si="8">1-O7</f>
        <v>0.7407407407407407</v>
      </c>
      <c r="Q7" s="243">
        <f t="shared" si="3"/>
        <v>0.35000000000000014</v>
      </c>
      <c r="R7" s="263">
        <f t="shared" ref="R7:R28" si="9">1-Q7</f>
        <v>0.64999999999999991</v>
      </c>
    </row>
    <row r="8" spans="2:18" ht="12.95" customHeight="1" x14ac:dyDescent="0.3">
      <c r="B8" s="240" t="s">
        <v>44</v>
      </c>
      <c r="C8" s="240"/>
      <c r="D8" s="262">
        <v>1750</v>
      </c>
      <c r="E8" s="241">
        <v>6500</v>
      </c>
      <c r="F8" s="242">
        <f t="shared" si="0"/>
        <v>4750</v>
      </c>
      <c r="G8" s="243">
        <f t="shared" si="4"/>
        <v>1</v>
      </c>
      <c r="H8" s="244">
        <f t="shared" si="5"/>
        <v>0</v>
      </c>
      <c r="I8" s="243">
        <f t="shared" si="6"/>
        <v>0.73076923076923073</v>
      </c>
      <c r="J8" s="263">
        <f t="shared" si="7"/>
        <v>0.26923076923076927</v>
      </c>
      <c r="K8" s="245"/>
      <c r="L8" s="262">
        <f>M8*1.35</f>
        <v>8775</v>
      </c>
      <c r="M8" s="241">
        <v>6500</v>
      </c>
      <c r="N8" s="242">
        <f t="shared" si="1"/>
        <v>2275</v>
      </c>
      <c r="O8" s="243">
        <f t="shared" si="2"/>
        <v>0.25925925925925924</v>
      </c>
      <c r="P8" s="244">
        <f t="shared" si="8"/>
        <v>0.7407407407407407</v>
      </c>
      <c r="Q8" s="243">
        <f t="shared" si="3"/>
        <v>0.35</v>
      </c>
      <c r="R8" s="263">
        <f t="shared" si="9"/>
        <v>0.65</v>
      </c>
    </row>
    <row r="9" spans="2:18" ht="12.95" customHeight="1" x14ac:dyDescent="0.3">
      <c r="B9" s="240" t="s">
        <v>45</v>
      </c>
      <c r="C9" s="240"/>
      <c r="D9" s="262">
        <v>500</v>
      </c>
      <c r="E9" s="241">
        <v>900</v>
      </c>
      <c r="F9" s="242">
        <f t="shared" si="0"/>
        <v>400</v>
      </c>
      <c r="G9" s="243">
        <f t="shared" si="4"/>
        <v>0.8</v>
      </c>
      <c r="H9" s="244">
        <f t="shared" si="5"/>
        <v>0.19999999999999996</v>
      </c>
      <c r="I9" s="243">
        <f t="shared" si="6"/>
        <v>0.44444444444444442</v>
      </c>
      <c r="J9" s="263">
        <f t="shared" si="7"/>
        <v>0.55555555555555558</v>
      </c>
      <c r="K9" s="245"/>
      <c r="L9" s="262">
        <f>M9*1.4</f>
        <v>1260</v>
      </c>
      <c r="M9" s="241">
        <v>900</v>
      </c>
      <c r="N9" s="242">
        <f t="shared" si="1"/>
        <v>360</v>
      </c>
      <c r="O9" s="243">
        <f t="shared" si="2"/>
        <v>0.2857142857142857</v>
      </c>
      <c r="P9" s="244">
        <f t="shared" si="8"/>
        <v>0.7142857142857143</v>
      </c>
      <c r="Q9" s="243">
        <f t="shared" si="3"/>
        <v>0.4</v>
      </c>
      <c r="R9" s="263">
        <f t="shared" si="9"/>
        <v>0.6</v>
      </c>
    </row>
    <row r="10" spans="2:18" ht="12.95" customHeight="1" x14ac:dyDescent="0.3">
      <c r="B10" s="240" t="s">
        <v>46</v>
      </c>
      <c r="C10" s="240"/>
      <c r="D10" s="262">
        <v>85</v>
      </c>
      <c r="E10" s="241">
        <v>500</v>
      </c>
      <c r="F10" s="242">
        <f t="shared" si="0"/>
        <v>415</v>
      </c>
      <c r="G10" s="243">
        <f t="shared" si="4"/>
        <v>1</v>
      </c>
      <c r="H10" s="244">
        <f t="shared" si="5"/>
        <v>0</v>
      </c>
      <c r="I10" s="243">
        <f t="shared" si="6"/>
        <v>0.83</v>
      </c>
      <c r="J10" s="263">
        <f t="shared" si="7"/>
        <v>0.17000000000000004</v>
      </c>
      <c r="K10" s="245"/>
      <c r="L10" s="262">
        <f>M10*1.45</f>
        <v>725</v>
      </c>
      <c r="M10" s="241">
        <v>500</v>
      </c>
      <c r="N10" s="242">
        <f t="shared" si="1"/>
        <v>225</v>
      </c>
      <c r="O10" s="243">
        <f t="shared" si="2"/>
        <v>0.31034482758620691</v>
      </c>
      <c r="P10" s="244">
        <f t="shared" si="8"/>
        <v>0.68965517241379315</v>
      </c>
      <c r="Q10" s="243">
        <f t="shared" si="3"/>
        <v>0.45</v>
      </c>
      <c r="R10" s="263">
        <f t="shared" si="9"/>
        <v>0.55000000000000004</v>
      </c>
    </row>
    <row r="11" spans="2:18" ht="12.95" customHeight="1" x14ac:dyDescent="0.3">
      <c r="B11" s="240" t="s">
        <v>47</v>
      </c>
      <c r="C11" s="240"/>
      <c r="D11" s="262">
        <v>500</v>
      </c>
      <c r="E11" s="241">
        <v>900</v>
      </c>
      <c r="F11" s="242">
        <f t="shared" si="0"/>
        <v>400</v>
      </c>
      <c r="G11" s="243">
        <f t="shared" si="4"/>
        <v>0.8</v>
      </c>
      <c r="H11" s="244">
        <f t="shared" si="5"/>
        <v>0.19999999999999996</v>
      </c>
      <c r="I11" s="243">
        <f t="shared" si="6"/>
        <v>0.44444444444444442</v>
      </c>
      <c r="J11" s="263">
        <f t="shared" si="7"/>
        <v>0.55555555555555558</v>
      </c>
      <c r="K11" s="245"/>
      <c r="L11" s="262">
        <f>M11*1.5</f>
        <v>1350</v>
      </c>
      <c r="M11" s="241">
        <v>900</v>
      </c>
      <c r="N11" s="242">
        <f t="shared" si="1"/>
        <v>450</v>
      </c>
      <c r="O11" s="243">
        <f t="shared" si="2"/>
        <v>0.33333333333333331</v>
      </c>
      <c r="P11" s="244">
        <f t="shared" si="8"/>
        <v>0.66666666666666674</v>
      </c>
      <c r="Q11" s="243">
        <f t="shared" si="3"/>
        <v>0.5</v>
      </c>
      <c r="R11" s="263">
        <f t="shared" si="9"/>
        <v>0.5</v>
      </c>
    </row>
    <row r="12" spans="2:18" ht="12.95" customHeight="1" x14ac:dyDescent="0.3">
      <c r="B12" s="240" t="s">
        <v>48</v>
      </c>
      <c r="C12" s="240"/>
      <c r="D12" s="262">
        <v>10000</v>
      </c>
      <c r="E12" s="241">
        <v>15000</v>
      </c>
      <c r="F12" s="242">
        <f t="shared" si="0"/>
        <v>5000</v>
      </c>
      <c r="G12" s="243">
        <f t="shared" si="4"/>
        <v>0.5</v>
      </c>
      <c r="H12" s="244">
        <f t="shared" si="5"/>
        <v>0.5</v>
      </c>
      <c r="I12" s="243">
        <f t="shared" si="6"/>
        <v>0.33333333333333331</v>
      </c>
      <c r="J12" s="263">
        <f t="shared" si="7"/>
        <v>0.66666666666666674</v>
      </c>
      <c r="K12" s="245"/>
      <c r="L12" s="262">
        <f>M12*1.55</f>
        <v>23250</v>
      </c>
      <c r="M12" s="241">
        <v>15000</v>
      </c>
      <c r="N12" s="242">
        <f t="shared" si="1"/>
        <v>8250</v>
      </c>
      <c r="O12" s="243">
        <f t="shared" si="2"/>
        <v>0.35483870967741937</v>
      </c>
      <c r="P12" s="244">
        <f t="shared" si="8"/>
        <v>0.64516129032258063</v>
      </c>
      <c r="Q12" s="243">
        <f t="shared" si="3"/>
        <v>0.55000000000000004</v>
      </c>
      <c r="R12" s="263">
        <f t="shared" si="9"/>
        <v>0.44999999999999996</v>
      </c>
    </row>
    <row r="13" spans="2:18" ht="12.95" customHeight="1" x14ac:dyDescent="0.3">
      <c r="B13" s="240" t="s">
        <v>49</v>
      </c>
      <c r="C13" s="240"/>
      <c r="D13" s="262">
        <v>135.26163299960086</v>
      </c>
      <c r="E13" s="241">
        <v>500</v>
      </c>
      <c r="F13" s="242">
        <f t="shared" si="0"/>
        <v>364.73836700039914</v>
      </c>
      <c r="G13" s="243">
        <f t="shared" si="4"/>
        <v>1</v>
      </c>
      <c r="H13" s="244">
        <f t="shared" si="5"/>
        <v>0</v>
      </c>
      <c r="I13" s="243">
        <f t="shared" si="6"/>
        <v>0.72947673400079827</v>
      </c>
      <c r="J13" s="263">
        <f t="shared" si="7"/>
        <v>0.27052326599920173</v>
      </c>
      <c r="K13" s="245"/>
      <c r="L13" s="262">
        <f>M13*1.6</f>
        <v>800</v>
      </c>
      <c r="M13" s="241">
        <v>500</v>
      </c>
      <c r="N13" s="242">
        <f t="shared" si="1"/>
        <v>300</v>
      </c>
      <c r="O13" s="243">
        <f t="shared" si="2"/>
        <v>0.375</v>
      </c>
      <c r="P13" s="244">
        <f t="shared" si="8"/>
        <v>0.625</v>
      </c>
      <c r="Q13" s="243">
        <f t="shared" si="3"/>
        <v>0.6</v>
      </c>
      <c r="R13" s="263">
        <f t="shared" si="9"/>
        <v>0.4</v>
      </c>
    </row>
    <row r="14" spans="2:18" ht="12.95" customHeight="1" x14ac:dyDescent="0.3">
      <c r="B14" s="240" t="s">
        <v>50</v>
      </c>
      <c r="C14" s="240"/>
      <c r="D14" s="262">
        <v>25</v>
      </c>
      <c r="E14" s="241">
        <v>203</v>
      </c>
      <c r="F14" s="242">
        <f t="shared" si="0"/>
        <v>178</v>
      </c>
      <c r="G14" s="243">
        <f t="shared" si="4"/>
        <v>1</v>
      </c>
      <c r="H14" s="244">
        <f t="shared" si="5"/>
        <v>0</v>
      </c>
      <c r="I14" s="243">
        <f t="shared" si="6"/>
        <v>0.87684729064039413</v>
      </c>
      <c r="J14" s="263">
        <f t="shared" si="7"/>
        <v>0.12315270935960587</v>
      </c>
      <c r="K14" s="245"/>
      <c r="L14" s="262">
        <f>M14*1.65</f>
        <v>334.95</v>
      </c>
      <c r="M14" s="241">
        <v>203</v>
      </c>
      <c r="N14" s="242">
        <f t="shared" si="1"/>
        <v>131.94999999999999</v>
      </c>
      <c r="O14" s="243">
        <f t="shared" si="2"/>
        <v>0.39393939393939392</v>
      </c>
      <c r="P14" s="244">
        <f t="shared" si="8"/>
        <v>0.60606060606060608</v>
      </c>
      <c r="Q14" s="243">
        <f t="shared" si="3"/>
        <v>0.64999999999999991</v>
      </c>
      <c r="R14" s="263">
        <f t="shared" si="9"/>
        <v>0.35000000000000009</v>
      </c>
    </row>
    <row r="15" spans="2:18" ht="12.95" customHeight="1" x14ac:dyDescent="0.3">
      <c r="B15" s="240" t="s">
        <v>51</v>
      </c>
      <c r="C15" s="240"/>
      <c r="D15" s="262">
        <v>2700</v>
      </c>
      <c r="E15" s="241">
        <v>8000</v>
      </c>
      <c r="F15" s="242">
        <f t="shared" si="0"/>
        <v>5300</v>
      </c>
      <c r="G15" s="243">
        <f t="shared" si="4"/>
        <v>1</v>
      </c>
      <c r="H15" s="244">
        <f t="shared" si="5"/>
        <v>0</v>
      </c>
      <c r="I15" s="243">
        <f t="shared" si="6"/>
        <v>0.66249999999999998</v>
      </c>
      <c r="J15" s="263">
        <f t="shared" si="7"/>
        <v>0.33750000000000002</v>
      </c>
      <c r="K15" s="245"/>
      <c r="L15" s="262">
        <f>M15*1.65</f>
        <v>13200</v>
      </c>
      <c r="M15" s="241">
        <v>8000</v>
      </c>
      <c r="N15" s="242">
        <f t="shared" si="1"/>
        <v>5200</v>
      </c>
      <c r="O15" s="243">
        <f t="shared" si="2"/>
        <v>0.39393939393939392</v>
      </c>
      <c r="P15" s="244">
        <f t="shared" si="8"/>
        <v>0.60606060606060608</v>
      </c>
      <c r="Q15" s="243">
        <f t="shared" si="3"/>
        <v>0.65</v>
      </c>
      <c r="R15" s="263">
        <f t="shared" si="9"/>
        <v>0.35</v>
      </c>
    </row>
    <row r="16" spans="2:18" ht="12.95" customHeight="1" x14ac:dyDescent="0.3">
      <c r="B16" s="240" t="s">
        <v>52</v>
      </c>
      <c r="C16" s="240"/>
      <c r="D16" s="262">
        <v>350</v>
      </c>
      <c r="E16" s="241">
        <v>900</v>
      </c>
      <c r="F16" s="242">
        <f t="shared" si="0"/>
        <v>550</v>
      </c>
      <c r="G16" s="243">
        <f t="shared" si="4"/>
        <v>1</v>
      </c>
      <c r="H16" s="244">
        <f t="shared" si="5"/>
        <v>0</v>
      </c>
      <c r="I16" s="243">
        <f t="shared" si="6"/>
        <v>0.61111111111111116</v>
      </c>
      <c r="J16" s="263">
        <f t="shared" si="7"/>
        <v>0.38888888888888884</v>
      </c>
      <c r="K16" s="245"/>
      <c r="L16" s="262">
        <f>M16*1.7</f>
        <v>1530</v>
      </c>
      <c r="M16" s="241">
        <v>900</v>
      </c>
      <c r="N16" s="242">
        <f t="shared" si="1"/>
        <v>630</v>
      </c>
      <c r="O16" s="243">
        <f t="shared" si="2"/>
        <v>0.41176470588235292</v>
      </c>
      <c r="P16" s="244">
        <f t="shared" si="8"/>
        <v>0.58823529411764708</v>
      </c>
      <c r="Q16" s="243">
        <f t="shared" si="3"/>
        <v>0.7</v>
      </c>
      <c r="R16" s="263">
        <f t="shared" si="9"/>
        <v>0.30000000000000004</v>
      </c>
    </row>
    <row r="17" spans="2:18" ht="12.95" customHeight="1" x14ac:dyDescent="0.3">
      <c r="B17" s="240" t="s">
        <v>53</v>
      </c>
      <c r="C17" s="240"/>
      <c r="D17" s="262">
        <v>190</v>
      </c>
      <c r="E17" s="241">
        <v>600</v>
      </c>
      <c r="F17" s="242">
        <f t="shared" si="0"/>
        <v>410</v>
      </c>
      <c r="G17" s="243">
        <f t="shared" si="4"/>
        <v>1</v>
      </c>
      <c r="H17" s="244">
        <f t="shared" si="5"/>
        <v>0</v>
      </c>
      <c r="I17" s="243">
        <f t="shared" si="6"/>
        <v>0.68333333333333335</v>
      </c>
      <c r="J17" s="263">
        <f t="shared" si="7"/>
        <v>0.31666666666666665</v>
      </c>
      <c r="K17" s="245"/>
      <c r="L17" s="262">
        <f>M17*1.8</f>
        <v>1080</v>
      </c>
      <c r="M17" s="241">
        <v>600</v>
      </c>
      <c r="N17" s="242">
        <f t="shared" si="1"/>
        <v>480</v>
      </c>
      <c r="O17" s="243">
        <f t="shared" si="2"/>
        <v>0.44444444444444442</v>
      </c>
      <c r="P17" s="244">
        <f t="shared" si="8"/>
        <v>0.55555555555555558</v>
      </c>
      <c r="Q17" s="243">
        <f t="shared" si="3"/>
        <v>0.8</v>
      </c>
      <c r="R17" s="263">
        <f t="shared" si="9"/>
        <v>0.19999999999999996</v>
      </c>
    </row>
    <row r="18" spans="2:18" ht="12.95" customHeight="1" x14ac:dyDescent="0.3">
      <c r="B18" s="240" t="s">
        <v>54</v>
      </c>
      <c r="C18" s="240"/>
      <c r="D18" s="262">
        <v>750</v>
      </c>
      <c r="E18" s="241">
        <v>1200</v>
      </c>
      <c r="F18" s="242">
        <f t="shared" si="0"/>
        <v>450</v>
      </c>
      <c r="G18" s="243">
        <f t="shared" si="4"/>
        <v>0.6</v>
      </c>
      <c r="H18" s="244">
        <f t="shared" si="5"/>
        <v>0.4</v>
      </c>
      <c r="I18" s="243">
        <f t="shared" si="6"/>
        <v>0.375</v>
      </c>
      <c r="J18" s="263">
        <f t="shared" si="7"/>
        <v>0.625</v>
      </c>
      <c r="K18" s="245"/>
      <c r="L18" s="262">
        <f>M18*1.85</f>
        <v>2220</v>
      </c>
      <c r="M18" s="241">
        <v>1200</v>
      </c>
      <c r="N18" s="242">
        <f t="shared" si="1"/>
        <v>1020</v>
      </c>
      <c r="O18" s="243">
        <f t="shared" si="2"/>
        <v>0.45945945945945948</v>
      </c>
      <c r="P18" s="244">
        <f t="shared" si="8"/>
        <v>0.54054054054054057</v>
      </c>
      <c r="Q18" s="243">
        <f t="shared" si="3"/>
        <v>0.85</v>
      </c>
      <c r="R18" s="263">
        <f t="shared" si="9"/>
        <v>0.15000000000000002</v>
      </c>
    </row>
    <row r="19" spans="2:18" ht="12.95" customHeight="1" x14ac:dyDescent="0.3">
      <c r="B19" s="240" t="s">
        <v>55</v>
      </c>
      <c r="C19" s="240"/>
      <c r="D19" s="262">
        <v>1500</v>
      </c>
      <c r="E19" s="241">
        <v>3000</v>
      </c>
      <c r="F19" s="242">
        <f t="shared" si="0"/>
        <v>1500</v>
      </c>
      <c r="G19" s="243">
        <f t="shared" si="4"/>
        <v>1</v>
      </c>
      <c r="H19" s="244">
        <f t="shared" si="5"/>
        <v>0</v>
      </c>
      <c r="I19" s="243">
        <f t="shared" si="6"/>
        <v>0.5</v>
      </c>
      <c r="J19" s="263">
        <f t="shared" si="7"/>
        <v>0.5</v>
      </c>
      <c r="K19" s="245"/>
      <c r="L19" s="262">
        <f>M19*1.9</f>
        <v>5700</v>
      </c>
      <c r="M19" s="241">
        <v>3000</v>
      </c>
      <c r="N19" s="242">
        <f t="shared" si="1"/>
        <v>2700</v>
      </c>
      <c r="O19" s="243">
        <f t="shared" si="2"/>
        <v>0.47368421052631576</v>
      </c>
      <c r="P19" s="244">
        <f t="shared" si="8"/>
        <v>0.52631578947368429</v>
      </c>
      <c r="Q19" s="243">
        <f t="shared" si="3"/>
        <v>0.9</v>
      </c>
      <c r="R19" s="263">
        <f t="shared" si="9"/>
        <v>9.9999999999999978E-2</v>
      </c>
    </row>
    <row r="20" spans="2:18" ht="12.95" customHeight="1" x14ac:dyDescent="0.3">
      <c r="B20" s="240" t="s">
        <v>56</v>
      </c>
      <c r="C20" s="240"/>
      <c r="D20" s="262">
        <v>500</v>
      </c>
      <c r="E20" s="241">
        <v>1000</v>
      </c>
      <c r="F20" s="242">
        <f t="shared" si="0"/>
        <v>500</v>
      </c>
      <c r="G20" s="243">
        <f t="shared" si="4"/>
        <v>1</v>
      </c>
      <c r="H20" s="244">
        <f t="shared" si="5"/>
        <v>0</v>
      </c>
      <c r="I20" s="243">
        <f t="shared" si="6"/>
        <v>0.5</v>
      </c>
      <c r="J20" s="263">
        <f t="shared" si="7"/>
        <v>0.5</v>
      </c>
      <c r="K20" s="245"/>
      <c r="L20" s="262">
        <f>M20*1.9</f>
        <v>1900</v>
      </c>
      <c r="M20" s="241">
        <v>1000</v>
      </c>
      <c r="N20" s="242">
        <f t="shared" si="1"/>
        <v>900</v>
      </c>
      <c r="O20" s="243">
        <f t="shared" si="2"/>
        <v>0.47368421052631576</v>
      </c>
      <c r="P20" s="244">
        <f t="shared" si="8"/>
        <v>0.52631578947368429</v>
      </c>
      <c r="Q20" s="243">
        <f t="shared" si="3"/>
        <v>0.9</v>
      </c>
      <c r="R20" s="263">
        <f t="shared" si="9"/>
        <v>9.9999999999999978E-2</v>
      </c>
    </row>
    <row r="21" spans="2:18" ht="12.95" customHeight="1" x14ac:dyDescent="0.3">
      <c r="B21" s="240" t="s">
        <v>57</v>
      </c>
      <c r="C21" s="240"/>
      <c r="D21" s="262">
        <v>1750</v>
      </c>
      <c r="E21" s="241">
        <v>3117</v>
      </c>
      <c r="F21" s="242">
        <f t="shared" si="0"/>
        <v>1367</v>
      </c>
      <c r="G21" s="243">
        <f t="shared" si="4"/>
        <v>0.78114285714285714</v>
      </c>
      <c r="H21" s="244">
        <f t="shared" si="5"/>
        <v>0.21885714285714286</v>
      </c>
      <c r="I21" s="243">
        <f t="shared" si="6"/>
        <v>0.43856272056464551</v>
      </c>
      <c r="J21" s="263">
        <f t="shared" si="7"/>
        <v>0.56143727943535449</v>
      </c>
      <c r="K21" s="245"/>
      <c r="L21" s="262">
        <f>M21*1.95</f>
        <v>6078.15</v>
      </c>
      <c r="M21" s="241">
        <v>3117</v>
      </c>
      <c r="N21" s="242">
        <f t="shared" si="1"/>
        <v>2961.1499999999996</v>
      </c>
      <c r="O21" s="243">
        <f t="shared" si="2"/>
        <v>0.48717948717948717</v>
      </c>
      <c r="P21" s="244">
        <f t="shared" si="8"/>
        <v>0.51282051282051277</v>
      </c>
      <c r="Q21" s="243">
        <f t="shared" si="3"/>
        <v>0.94999999999999984</v>
      </c>
      <c r="R21" s="263">
        <f t="shared" si="9"/>
        <v>5.0000000000000155E-2</v>
      </c>
    </row>
    <row r="22" spans="2:18" ht="12.95" customHeight="1" x14ac:dyDescent="0.3">
      <c r="B22" s="240" t="s">
        <v>58</v>
      </c>
      <c r="C22" s="240"/>
      <c r="D22" s="262">
        <v>2000</v>
      </c>
      <c r="E22" s="241">
        <v>4500</v>
      </c>
      <c r="F22" s="242">
        <f t="shared" si="0"/>
        <v>2500</v>
      </c>
      <c r="G22" s="243">
        <f t="shared" si="4"/>
        <v>1</v>
      </c>
      <c r="H22" s="244">
        <f t="shared" si="5"/>
        <v>0</v>
      </c>
      <c r="I22" s="243">
        <f t="shared" si="6"/>
        <v>0.55555555555555558</v>
      </c>
      <c r="J22" s="263">
        <f t="shared" si="7"/>
        <v>0.44444444444444442</v>
      </c>
      <c r="K22" s="245"/>
      <c r="L22" s="262">
        <f>M22*1.95</f>
        <v>8775</v>
      </c>
      <c r="M22" s="241">
        <v>4500</v>
      </c>
      <c r="N22" s="242">
        <f t="shared" si="1"/>
        <v>4275</v>
      </c>
      <c r="O22" s="243">
        <f t="shared" si="2"/>
        <v>0.48717948717948717</v>
      </c>
      <c r="P22" s="244">
        <f t="shared" si="8"/>
        <v>0.51282051282051277</v>
      </c>
      <c r="Q22" s="243">
        <f t="shared" si="3"/>
        <v>0.95</v>
      </c>
      <c r="R22" s="263">
        <f t="shared" si="9"/>
        <v>5.0000000000000044E-2</v>
      </c>
    </row>
    <row r="23" spans="2:18" ht="12.95" customHeight="1" x14ac:dyDescent="0.3">
      <c r="B23" s="240" t="s">
        <v>59</v>
      </c>
      <c r="C23" s="240"/>
      <c r="D23" s="262">
        <v>550</v>
      </c>
      <c r="E23" s="241">
        <v>927.66600000000005</v>
      </c>
      <c r="F23" s="242">
        <f t="shared" si="0"/>
        <v>377.66600000000005</v>
      </c>
      <c r="G23" s="243">
        <f t="shared" si="4"/>
        <v>0.68666545454545469</v>
      </c>
      <c r="H23" s="244">
        <f t="shared" si="5"/>
        <v>0.31333454545454531</v>
      </c>
      <c r="I23" s="243">
        <f t="shared" si="6"/>
        <v>0.40711419842917607</v>
      </c>
      <c r="J23" s="263">
        <f t="shared" si="7"/>
        <v>0.59288580157082393</v>
      </c>
      <c r="K23" s="245"/>
      <c r="L23" s="262">
        <f>M23*2</f>
        <v>1855.3320000000001</v>
      </c>
      <c r="M23" s="241">
        <v>927.66600000000005</v>
      </c>
      <c r="N23" s="242">
        <f t="shared" si="1"/>
        <v>927.66600000000005</v>
      </c>
      <c r="O23" s="243">
        <f t="shared" si="2"/>
        <v>0.5</v>
      </c>
      <c r="P23" s="244">
        <f t="shared" si="8"/>
        <v>0.5</v>
      </c>
      <c r="Q23" s="243">
        <f t="shared" si="3"/>
        <v>1</v>
      </c>
      <c r="R23" s="263">
        <f t="shared" si="9"/>
        <v>0</v>
      </c>
    </row>
    <row r="24" spans="2:18" ht="12.95" customHeight="1" x14ac:dyDescent="0.3">
      <c r="B24" s="240" t="s">
        <v>60</v>
      </c>
      <c r="C24" s="240"/>
      <c r="D24" s="262">
        <v>4800</v>
      </c>
      <c r="E24" s="241">
        <v>7840</v>
      </c>
      <c r="F24" s="242">
        <f t="shared" si="0"/>
        <v>3040</v>
      </c>
      <c r="G24" s="243">
        <f t="shared" si="4"/>
        <v>0.6333333333333333</v>
      </c>
      <c r="H24" s="244">
        <f t="shared" si="5"/>
        <v>0.3666666666666667</v>
      </c>
      <c r="I24" s="243">
        <f t="shared" si="6"/>
        <v>0.38775510204081631</v>
      </c>
      <c r="J24" s="263">
        <f t="shared" si="7"/>
        <v>0.61224489795918369</v>
      </c>
      <c r="K24" s="245"/>
      <c r="L24" s="262">
        <f>M24*1.35</f>
        <v>10584</v>
      </c>
      <c r="M24" s="241">
        <v>7840</v>
      </c>
      <c r="N24" s="242">
        <f t="shared" si="1"/>
        <v>2744</v>
      </c>
      <c r="O24" s="243">
        <f t="shared" si="2"/>
        <v>0.25925925925925924</v>
      </c>
      <c r="P24" s="244">
        <f t="shared" si="8"/>
        <v>0.7407407407407407</v>
      </c>
      <c r="Q24" s="243">
        <f t="shared" si="3"/>
        <v>0.35</v>
      </c>
      <c r="R24" s="263">
        <f t="shared" si="9"/>
        <v>0.65</v>
      </c>
    </row>
    <row r="25" spans="2:18" ht="12.95" customHeight="1" x14ac:dyDescent="0.3">
      <c r="B25" s="240" t="s">
        <v>61</v>
      </c>
      <c r="C25" s="240"/>
      <c r="D25" s="262">
        <v>325.34905709902336</v>
      </c>
      <c r="E25" s="241">
        <v>454</v>
      </c>
      <c r="F25" s="242">
        <f t="shared" si="0"/>
        <v>128.65094290097664</v>
      </c>
      <c r="G25" s="243">
        <f t="shared" si="4"/>
        <v>0.39542436067924547</v>
      </c>
      <c r="H25" s="244">
        <f t="shared" si="5"/>
        <v>0.60457563932075453</v>
      </c>
      <c r="I25" s="243">
        <f t="shared" si="6"/>
        <v>0.28337212092726133</v>
      </c>
      <c r="J25" s="263">
        <f t="shared" si="7"/>
        <v>0.71662787907273873</v>
      </c>
      <c r="K25" s="245"/>
      <c r="L25" s="262">
        <f>M25*1.45</f>
        <v>658.3</v>
      </c>
      <c r="M25" s="241">
        <v>454</v>
      </c>
      <c r="N25" s="242">
        <f t="shared" si="1"/>
        <v>204.29999999999995</v>
      </c>
      <c r="O25" s="243">
        <f t="shared" si="2"/>
        <v>0.31034482758620685</v>
      </c>
      <c r="P25" s="244">
        <f t="shared" si="8"/>
        <v>0.68965517241379315</v>
      </c>
      <c r="Q25" s="243">
        <f t="shared" si="3"/>
        <v>0.4499999999999999</v>
      </c>
      <c r="R25" s="263">
        <f t="shared" si="9"/>
        <v>0.55000000000000004</v>
      </c>
    </row>
    <row r="26" spans="2:18" ht="12.95" customHeight="1" x14ac:dyDescent="0.3">
      <c r="B26" s="240" t="s">
        <v>62</v>
      </c>
      <c r="C26" s="240"/>
      <c r="D26" s="262">
        <v>120</v>
      </c>
      <c r="E26" s="241">
        <v>197</v>
      </c>
      <c r="F26" s="242">
        <f t="shared" si="0"/>
        <v>77</v>
      </c>
      <c r="G26" s="243">
        <f t="shared" si="4"/>
        <v>0.64166666666666672</v>
      </c>
      <c r="H26" s="244">
        <f t="shared" si="5"/>
        <v>0.35833333333333328</v>
      </c>
      <c r="I26" s="243">
        <f t="shared" si="6"/>
        <v>0.39086294416243655</v>
      </c>
      <c r="J26" s="263">
        <f t="shared" si="7"/>
        <v>0.6091370558375635</v>
      </c>
      <c r="K26" s="245"/>
      <c r="L26" s="262">
        <f>M26*1.45</f>
        <v>285.64999999999998</v>
      </c>
      <c r="M26" s="241">
        <v>197</v>
      </c>
      <c r="N26" s="242">
        <f t="shared" si="1"/>
        <v>88.649999999999977</v>
      </c>
      <c r="O26" s="243">
        <f t="shared" si="2"/>
        <v>0.31034482758620685</v>
      </c>
      <c r="P26" s="244">
        <f t="shared" si="8"/>
        <v>0.68965517241379315</v>
      </c>
      <c r="Q26" s="243">
        <f t="shared" si="3"/>
        <v>0.4499999999999999</v>
      </c>
      <c r="R26" s="263">
        <f t="shared" si="9"/>
        <v>0.55000000000000004</v>
      </c>
    </row>
    <row r="27" spans="2:18" ht="12.95" customHeight="1" x14ac:dyDescent="0.3">
      <c r="B27" s="240" t="s">
        <v>63</v>
      </c>
      <c r="C27" s="240"/>
      <c r="D27" s="262">
        <v>400</v>
      </c>
      <c r="E27" s="241">
        <v>800</v>
      </c>
      <c r="F27" s="242">
        <f t="shared" si="0"/>
        <v>400</v>
      </c>
      <c r="G27" s="243">
        <f t="shared" si="4"/>
        <v>1</v>
      </c>
      <c r="H27" s="244">
        <f t="shared" si="5"/>
        <v>0</v>
      </c>
      <c r="I27" s="243">
        <f t="shared" si="6"/>
        <v>0.5</v>
      </c>
      <c r="J27" s="263">
        <f t="shared" si="7"/>
        <v>0.5</v>
      </c>
      <c r="K27" s="245"/>
      <c r="L27" s="262">
        <f>M27*1.55</f>
        <v>1240</v>
      </c>
      <c r="M27" s="241">
        <v>800</v>
      </c>
      <c r="N27" s="242">
        <f t="shared" si="1"/>
        <v>440</v>
      </c>
      <c r="O27" s="243">
        <f t="shared" si="2"/>
        <v>0.35483870967741937</v>
      </c>
      <c r="P27" s="244">
        <f t="shared" si="8"/>
        <v>0.64516129032258063</v>
      </c>
      <c r="Q27" s="243">
        <f t="shared" si="3"/>
        <v>0.55000000000000004</v>
      </c>
      <c r="R27" s="263">
        <f t="shared" si="9"/>
        <v>0.44999999999999996</v>
      </c>
    </row>
    <row r="28" spans="2:18" ht="12.95" customHeight="1" x14ac:dyDescent="0.3">
      <c r="B28" s="240" t="s">
        <v>64</v>
      </c>
      <c r="C28" s="240"/>
      <c r="D28" s="262">
        <v>100</v>
      </c>
      <c r="E28" s="241">
        <v>900</v>
      </c>
      <c r="F28" s="242">
        <f t="shared" si="0"/>
        <v>800</v>
      </c>
      <c r="G28" s="243">
        <f t="shared" si="4"/>
        <v>1</v>
      </c>
      <c r="H28" s="244">
        <f t="shared" si="5"/>
        <v>0</v>
      </c>
      <c r="I28" s="243">
        <f t="shared" si="6"/>
        <v>0.88888888888888884</v>
      </c>
      <c r="J28" s="263">
        <f t="shared" si="7"/>
        <v>0.11111111111111116</v>
      </c>
      <c r="K28" s="245"/>
      <c r="L28" s="262">
        <f>M28*1.8</f>
        <v>1620</v>
      </c>
      <c r="M28" s="241">
        <v>900</v>
      </c>
      <c r="N28" s="242">
        <f t="shared" si="1"/>
        <v>720</v>
      </c>
      <c r="O28" s="243">
        <f t="shared" si="2"/>
        <v>0.44444444444444442</v>
      </c>
      <c r="P28" s="244">
        <f t="shared" si="8"/>
        <v>0.55555555555555558</v>
      </c>
      <c r="Q28" s="243">
        <f t="shared" si="3"/>
        <v>0.8</v>
      </c>
      <c r="R28" s="263">
        <f t="shared" si="9"/>
        <v>0.19999999999999996</v>
      </c>
    </row>
    <row r="29" spans="2:18" ht="6" customHeight="1" x14ac:dyDescent="0.3">
      <c r="B29" s="240"/>
      <c r="C29" s="240"/>
      <c r="D29" s="264"/>
      <c r="E29" s="241"/>
      <c r="F29" s="246"/>
      <c r="G29" s="247"/>
      <c r="H29" s="248"/>
      <c r="I29" s="247"/>
      <c r="J29" s="265"/>
      <c r="K29" s="245"/>
      <c r="L29" s="264"/>
      <c r="M29" s="241"/>
      <c r="N29" s="246"/>
      <c r="O29" s="247"/>
      <c r="P29" s="249"/>
      <c r="Q29" s="247"/>
      <c r="R29" s="265"/>
    </row>
    <row r="30" spans="2:18" ht="17.25" x14ac:dyDescent="0.3">
      <c r="B30" s="250" t="s">
        <v>72</v>
      </c>
      <c r="C30" s="251"/>
      <c r="D30" s="266">
        <f>SUM(D6:D28)</f>
        <v>32030.610690098623</v>
      </c>
      <c r="E30" s="267">
        <f>SUM(E6:E28)</f>
        <v>66438.665999999997</v>
      </c>
      <c r="F30" s="268">
        <f>SUM(F6:F28)</f>
        <v>34408.055309901378</v>
      </c>
      <c r="G30" s="269">
        <f>IF(F30/D30&gt;1,1,F30/D30)</f>
        <v>1</v>
      </c>
      <c r="H30" s="270">
        <f>1-G30</f>
        <v>0</v>
      </c>
      <c r="I30" s="269">
        <f>IF(F30/E30&gt;1,1,F30/E30)</f>
        <v>0.51789202555483849</v>
      </c>
      <c r="J30" s="271">
        <f>IF(I30&gt;1,0,1-I30)</f>
        <v>0.48210797444516151</v>
      </c>
      <c r="K30" s="252"/>
      <c r="L30" s="266">
        <f>SUM(L6:L28)</f>
        <v>106346.38199999998</v>
      </c>
      <c r="M30" s="267">
        <f>SUM(M6:M28)</f>
        <v>66438.665999999997</v>
      </c>
      <c r="N30" s="268">
        <f>SUM(N6:N28)</f>
        <v>39907.716</v>
      </c>
      <c r="O30" s="269">
        <f>IF(N30/L30&gt;1,1,N30/L30)</f>
        <v>0.37526162385101175</v>
      </c>
      <c r="P30" s="270">
        <f>1-O30</f>
        <v>0.62473837614898819</v>
      </c>
      <c r="Q30" s="269">
        <f>IF(N30/M30&gt;1,1,N30/M30)</f>
        <v>0.60067003753507031</v>
      </c>
      <c r="R30" s="271">
        <f>IF(Q30&gt;1,0,1-Q30)</f>
        <v>0.39932996246492969</v>
      </c>
    </row>
    <row r="31" spans="2:18" ht="3.75" customHeight="1" x14ac:dyDescent="0.3">
      <c r="B31" s="245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</row>
    <row r="32" spans="2:18" s="245" customFormat="1" ht="12.95" customHeight="1" x14ac:dyDescent="0.3">
      <c r="E32" s="258" t="s">
        <v>91</v>
      </c>
      <c r="L32" s="253"/>
      <c r="M32" s="258" t="s">
        <v>91</v>
      </c>
      <c r="P32" s="272" t="s">
        <v>92</v>
      </c>
      <c r="Q32"/>
      <c r="R32" s="273" t="s">
        <v>93</v>
      </c>
    </row>
    <row r="33" spans="2:18" ht="12.95" customHeight="1" x14ac:dyDescent="0.3">
      <c r="B33" s="245"/>
      <c r="C33" s="245"/>
      <c r="D33" s="245"/>
      <c r="E33" s="245"/>
      <c r="F33" s="245"/>
      <c r="G33" s="245"/>
      <c r="H33" s="245"/>
      <c r="I33" s="245"/>
      <c r="J33" s="245"/>
      <c r="K33" s="245"/>
      <c r="L33" s="241"/>
      <c r="M33" s="245"/>
      <c r="N33" s="245"/>
      <c r="O33" s="245"/>
      <c r="P33" s="272" t="s">
        <v>94</v>
      </c>
      <c r="Q33"/>
      <c r="R33" s="273" t="s">
        <v>95</v>
      </c>
    </row>
  </sheetData>
  <mergeCells count="9">
    <mergeCell ref="D1:R1"/>
    <mergeCell ref="D3:F4"/>
    <mergeCell ref="L3:N4"/>
    <mergeCell ref="G3:J3"/>
    <mergeCell ref="O3:R3"/>
    <mergeCell ref="G4:H4"/>
    <mergeCell ref="I4:J4"/>
    <mergeCell ref="O4:P4"/>
    <mergeCell ref="Q4:R4"/>
  </mergeCells>
  <conditionalFormatting sqref="H6:H28 J6:J28 P6:P28 R6:R28 H30 J30 P30 R30">
    <cfRule type="cellIs" dxfId="5" priority="1" operator="lessThan">
      <formula>0.75</formula>
    </cfRule>
    <cfRule type="cellIs" dxfId="4" priority="2" operator="between">
      <formula>0.75</formula>
      <formula>0.9</formula>
    </cfRule>
    <cfRule type="cellIs" dxfId="3" priority="3" operator="greaterThan">
      <formula>0.9</formula>
    </cfRule>
  </conditionalFormatting>
  <pageMargins left="0.75" right="0.75" top="1" bottom="1" header="0.5" footer="0.5"/>
  <pageSetup paperSize="9" orientation="portrait" horizontalDpi="4294967292" verticalDpi="4294967292" r:id="rId1"/>
  <ignoredErrors>
    <ignoredError sqref="I7:I38 O5:R2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57"/>
  <sheetViews>
    <sheetView showGridLines="0" zoomScaleNormal="100" zoomScalePageLayoutView="150" workbookViewId="0">
      <pane ySplit="8" topLeftCell="A27" activePane="bottomLeft" state="frozen"/>
      <selection pane="bottomLeft" activeCell="D45" sqref="D45"/>
    </sheetView>
  </sheetViews>
  <sheetFormatPr defaultColWidth="10.875" defaultRowHeight="12.95" customHeight="1" x14ac:dyDescent="0.2"/>
  <cols>
    <col min="1" max="1" width="5.375" style="6" customWidth="1"/>
    <col min="2" max="4" width="10.875" style="6"/>
    <col min="5" max="5" width="5.375" style="6" customWidth="1"/>
    <col min="6" max="16384" width="10.875" style="6"/>
  </cols>
  <sheetData>
    <row r="2" spans="2:10" ht="12.95" customHeight="1" x14ac:dyDescent="0.2">
      <c r="F2" s="331" t="s">
        <v>84</v>
      </c>
      <c r="G2" s="331"/>
      <c r="H2" s="331"/>
      <c r="I2" s="331"/>
      <c r="J2" s="331"/>
    </row>
    <row r="3" spans="2:10" ht="7.5" customHeight="1" x14ac:dyDescent="0.2">
      <c r="F3" s="11"/>
      <c r="G3" s="11"/>
      <c r="H3" s="11"/>
      <c r="I3" s="11"/>
      <c r="J3" s="11"/>
    </row>
    <row r="4" spans="2:10" ht="12.95" customHeight="1" x14ac:dyDescent="0.2">
      <c r="F4" s="11"/>
      <c r="G4" s="11" t="s">
        <v>77</v>
      </c>
      <c r="H4" s="49" t="s">
        <v>78</v>
      </c>
      <c r="I4" s="50" t="s">
        <v>79</v>
      </c>
      <c r="J4" s="51" t="s">
        <v>80</v>
      </c>
    </row>
    <row r="5" spans="2:10" ht="6.75" customHeight="1" x14ac:dyDescent="0.2">
      <c r="F5" s="45"/>
    </row>
    <row r="6" spans="2:10" ht="12.95" customHeight="1" x14ac:dyDescent="0.2">
      <c r="F6" s="11"/>
      <c r="G6" s="331" t="s">
        <v>85</v>
      </c>
      <c r="H6" s="331"/>
      <c r="I6" s="331"/>
      <c r="J6" s="331"/>
    </row>
    <row r="7" spans="2:10" ht="12.95" customHeight="1" x14ac:dyDescent="0.2">
      <c r="F7" s="11"/>
      <c r="G7" s="331" t="s">
        <v>2</v>
      </c>
      <c r="H7" s="331"/>
      <c r="I7" s="332" t="s">
        <v>41</v>
      </c>
      <c r="J7" s="331"/>
    </row>
    <row r="8" spans="2:10" ht="12.95" customHeight="1" x14ac:dyDescent="0.2">
      <c r="B8" s="39" t="s">
        <v>40</v>
      </c>
      <c r="C8" s="39" t="s">
        <v>86</v>
      </c>
      <c r="D8" s="39" t="s">
        <v>41</v>
      </c>
      <c r="E8" s="4"/>
      <c r="F8" s="39" t="s">
        <v>81</v>
      </c>
      <c r="G8" s="39" t="s">
        <v>82</v>
      </c>
      <c r="H8" s="39" t="s">
        <v>76</v>
      </c>
      <c r="I8" s="44" t="s">
        <v>82</v>
      </c>
      <c r="J8" s="39" t="s">
        <v>76</v>
      </c>
    </row>
    <row r="9" spans="2:10" ht="12.95" customHeight="1" x14ac:dyDescent="0.2">
      <c r="B9" s="11" t="s">
        <v>42</v>
      </c>
      <c r="C9" s="13">
        <v>2700</v>
      </c>
      <c r="D9" s="13">
        <v>1145</v>
      </c>
      <c r="E9" s="13"/>
      <c r="F9" s="14">
        <f t="shared" ref="F9:F41" si="0">ABS(C9-D9)</f>
        <v>1555</v>
      </c>
      <c r="G9" s="15">
        <f t="shared" ref="G9:G41" si="1">IF(F9/C9&gt;1,1,F9/C9)</f>
        <v>0.57592592592592595</v>
      </c>
      <c r="H9" s="46">
        <f>1-G9</f>
        <v>0.42407407407407405</v>
      </c>
      <c r="I9" s="15">
        <f t="shared" ref="I9:I41" si="2">IF(F9/D9&gt;1,1,F9/D9)</f>
        <v>1</v>
      </c>
      <c r="J9" s="47">
        <f>1-I9</f>
        <v>0</v>
      </c>
    </row>
    <row r="10" spans="2:10" ht="12.95" customHeight="1" x14ac:dyDescent="0.2">
      <c r="B10" s="11" t="s">
        <v>43</v>
      </c>
      <c r="C10" s="13">
        <v>300</v>
      </c>
      <c r="D10" s="13">
        <v>100</v>
      </c>
      <c r="E10" s="13"/>
      <c r="F10" s="14">
        <f t="shared" si="0"/>
        <v>200</v>
      </c>
      <c r="G10" s="15">
        <f t="shared" si="1"/>
        <v>0.66666666666666663</v>
      </c>
      <c r="H10" s="46">
        <f t="shared" ref="H10:H41" si="3">1-G10</f>
        <v>0.33333333333333337</v>
      </c>
      <c r="I10" s="15">
        <f t="shared" si="2"/>
        <v>1</v>
      </c>
      <c r="J10" s="47">
        <f t="shared" ref="J10:J41" si="4">1-I10</f>
        <v>0</v>
      </c>
    </row>
    <row r="11" spans="2:10" ht="12.95" customHeight="1" x14ac:dyDescent="0.2">
      <c r="B11" s="11" t="s">
        <v>44</v>
      </c>
      <c r="C11" s="13">
        <v>1750</v>
      </c>
      <c r="D11" s="13">
        <v>500</v>
      </c>
      <c r="E11" s="13"/>
      <c r="F11" s="14">
        <f t="shared" si="0"/>
        <v>1250</v>
      </c>
      <c r="G11" s="15">
        <f t="shared" si="1"/>
        <v>0.7142857142857143</v>
      </c>
      <c r="H11" s="46">
        <f t="shared" si="3"/>
        <v>0.2857142857142857</v>
      </c>
      <c r="I11" s="15">
        <f t="shared" si="2"/>
        <v>1</v>
      </c>
      <c r="J11" s="47">
        <f t="shared" si="4"/>
        <v>0</v>
      </c>
    </row>
    <row r="12" spans="2:10" ht="12.95" customHeight="1" x14ac:dyDescent="0.2">
      <c r="B12" s="11" t="s">
        <v>45</v>
      </c>
      <c r="C12" s="13">
        <v>500</v>
      </c>
      <c r="D12" s="13">
        <v>188</v>
      </c>
      <c r="E12" s="13"/>
      <c r="F12" s="14">
        <f t="shared" si="0"/>
        <v>312</v>
      </c>
      <c r="G12" s="15">
        <f t="shared" si="1"/>
        <v>0.624</v>
      </c>
      <c r="H12" s="46">
        <f t="shared" si="3"/>
        <v>0.376</v>
      </c>
      <c r="I12" s="15">
        <f t="shared" si="2"/>
        <v>1</v>
      </c>
      <c r="J12" s="47">
        <f t="shared" si="4"/>
        <v>0</v>
      </c>
    </row>
    <row r="13" spans="2:10" ht="12.95" customHeight="1" x14ac:dyDescent="0.2">
      <c r="B13" s="11" t="s">
        <v>46</v>
      </c>
      <c r="C13" s="13">
        <v>85</v>
      </c>
      <c r="D13" s="13">
        <v>42</v>
      </c>
      <c r="E13" s="13"/>
      <c r="F13" s="14">
        <f t="shared" si="0"/>
        <v>43</v>
      </c>
      <c r="G13" s="15">
        <f t="shared" si="1"/>
        <v>0.50588235294117645</v>
      </c>
      <c r="H13" s="46">
        <f t="shared" si="3"/>
        <v>0.49411764705882355</v>
      </c>
      <c r="I13" s="15">
        <f t="shared" si="2"/>
        <v>1</v>
      </c>
      <c r="J13" s="47">
        <f t="shared" si="4"/>
        <v>0</v>
      </c>
    </row>
    <row r="14" spans="2:10" ht="12.95" customHeight="1" x14ac:dyDescent="0.2">
      <c r="B14" s="11" t="s">
        <v>47</v>
      </c>
      <c r="C14" s="13">
        <v>500</v>
      </c>
      <c r="D14" s="13">
        <v>21</v>
      </c>
      <c r="E14" s="13"/>
      <c r="F14" s="14">
        <f t="shared" si="0"/>
        <v>479</v>
      </c>
      <c r="G14" s="15">
        <f t="shared" si="1"/>
        <v>0.95799999999999996</v>
      </c>
      <c r="H14" s="46">
        <f t="shared" si="3"/>
        <v>4.2000000000000037E-2</v>
      </c>
      <c r="I14" s="15">
        <f t="shared" si="2"/>
        <v>1</v>
      </c>
      <c r="J14" s="47">
        <f t="shared" si="4"/>
        <v>0</v>
      </c>
    </row>
    <row r="15" spans="2:10" ht="12.95" customHeight="1" x14ac:dyDescent="0.2">
      <c r="B15" s="11" t="s">
        <v>48</v>
      </c>
      <c r="C15" s="13">
        <v>10000</v>
      </c>
      <c r="D15" s="13">
        <v>5000</v>
      </c>
      <c r="E15" s="13"/>
      <c r="F15" s="14">
        <f t="shared" si="0"/>
        <v>5000</v>
      </c>
      <c r="G15" s="15">
        <f t="shared" si="1"/>
        <v>0.5</v>
      </c>
      <c r="H15" s="46">
        <f t="shared" si="3"/>
        <v>0.5</v>
      </c>
      <c r="I15" s="15">
        <f t="shared" si="2"/>
        <v>1</v>
      </c>
      <c r="J15" s="47">
        <f t="shared" si="4"/>
        <v>0</v>
      </c>
    </row>
    <row r="16" spans="2:10" ht="12.95" customHeight="1" x14ac:dyDescent="0.2">
      <c r="B16" s="11" t="s">
        <v>49</v>
      </c>
      <c r="C16" s="13">
        <v>135.26163299960086</v>
      </c>
      <c r="D16" s="13">
        <v>68</v>
      </c>
      <c r="E16" s="13"/>
      <c r="F16" s="14">
        <f t="shared" si="0"/>
        <v>67.261632999600863</v>
      </c>
      <c r="G16" s="15">
        <f t="shared" si="1"/>
        <v>0.49727059704949256</v>
      </c>
      <c r="H16" s="46">
        <f t="shared" si="3"/>
        <v>0.50272940295050739</v>
      </c>
      <c r="I16" s="15">
        <f t="shared" si="2"/>
        <v>0.98914166175883622</v>
      </c>
      <c r="J16" s="47">
        <f t="shared" si="4"/>
        <v>1.0858338241163779E-2</v>
      </c>
    </row>
    <row r="17" spans="2:10" ht="12.95" customHeight="1" x14ac:dyDescent="0.2">
      <c r="B17" s="11" t="s">
        <v>50</v>
      </c>
      <c r="C17" s="13">
        <v>25</v>
      </c>
      <c r="D17" s="13">
        <v>203</v>
      </c>
      <c r="E17" s="13"/>
      <c r="F17" s="14">
        <f t="shared" si="0"/>
        <v>178</v>
      </c>
      <c r="G17" s="15">
        <f t="shared" si="1"/>
        <v>1</v>
      </c>
      <c r="H17" s="46">
        <f t="shared" si="3"/>
        <v>0</v>
      </c>
      <c r="I17" s="15">
        <f t="shared" si="2"/>
        <v>0.87684729064039413</v>
      </c>
      <c r="J17" s="47">
        <f t="shared" si="4"/>
        <v>0.12315270935960587</v>
      </c>
    </row>
    <row r="18" spans="2:10" ht="12.95" customHeight="1" x14ac:dyDescent="0.2">
      <c r="B18" s="11" t="s">
        <v>51</v>
      </c>
      <c r="C18" s="13">
        <v>2700</v>
      </c>
      <c r="D18" s="13">
        <v>1479</v>
      </c>
      <c r="E18" s="13"/>
      <c r="F18" s="14">
        <f t="shared" si="0"/>
        <v>1221</v>
      </c>
      <c r="G18" s="15">
        <f t="shared" si="1"/>
        <v>0.45222222222222225</v>
      </c>
      <c r="H18" s="46">
        <f t="shared" si="3"/>
        <v>0.5477777777777777</v>
      </c>
      <c r="I18" s="15">
        <f t="shared" si="2"/>
        <v>0.82555780933062883</v>
      </c>
      <c r="J18" s="47">
        <f t="shared" si="4"/>
        <v>0.17444219066937117</v>
      </c>
    </row>
    <row r="19" spans="2:10" ht="12.95" customHeight="1" x14ac:dyDescent="0.2">
      <c r="B19" s="11" t="s">
        <v>52</v>
      </c>
      <c r="C19" s="13">
        <v>350</v>
      </c>
      <c r="D19" s="13">
        <v>200</v>
      </c>
      <c r="E19" s="13"/>
      <c r="F19" s="14">
        <f t="shared" si="0"/>
        <v>150</v>
      </c>
      <c r="G19" s="15">
        <f t="shared" si="1"/>
        <v>0.42857142857142855</v>
      </c>
      <c r="H19" s="46">
        <f t="shared" si="3"/>
        <v>0.5714285714285714</v>
      </c>
      <c r="I19" s="15">
        <f t="shared" si="2"/>
        <v>0.75</v>
      </c>
      <c r="J19" s="47">
        <f t="shared" si="4"/>
        <v>0.25</v>
      </c>
    </row>
    <row r="20" spans="2:10" ht="12.95" customHeight="1" x14ac:dyDescent="0.2">
      <c r="B20" s="11" t="s">
        <v>53</v>
      </c>
      <c r="C20" s="13">
        <v>190</v>
      </c>
      <c r="D20" s="13">
        <v>110</v>
      </c>
      <c r="E20" s="13"/>
      <c r="F20" s="14">
        <f t="shared" si="0"/>
        <v>80</v>
      </c>
      <c r="G20" s="15">
        <f t="shared" si="1"/>
        <v>0.42105263157894735</v>
      </c>
      <c r="H20" s="46">
        <f t="shared" si="3"/>
        <v>0.57894736842105265</v>
      </c>
      <c r="I20" s="15">
        <f t="shared" si="2"/>
        <v>0.72727272727272729</v>
      </c>
      <c r="J20" s="47">
        <f t="shared" si="4"/>
        <v>0.27272727272727271</v>
      </c>
    </row>
    <row r="21" spans="2:10" ht="12.95" customHeight="1" x14ac:dyDescent="0.2">
      <c r="B21" s="11" t="s">
        <v>54</v>
      </c>
      <c r="C21" s="13">
        <v>750</v>
      </c>
      <c r="D21" s="13">
        <v>500</v>
      </c>
      <c r="E21" s="13"/>
      <c r="F21" s="14">
        <f t="shared" si="0"/>
        <v>250</v>
      </c>
      <c r="G21" s="15">
        <f t="shared" si="1"/>
        <v>0.33333333333333331</v>
      </c>
      <c r="H21" s="46">
        <f t="shared" si="3"/>
        <v>0.66666666666666674</v>
      </c>
      <c r="I21" s="15">
        <f t="shared" si="2"/>
        <v>0.5</v>
      </c>
      <c r="J21" s="47">
        <f t="shared" si="4"/>
        <v>0.5</v>
      </c>
    </row>
    <row r="22" spans="2:10" ht="12.95" customHeight="1" x14ac:dyDescent="0.2">
      <c r="B22" s="11" t="s">
        <v>55</v>
      </c>
      <c r="C22" s="13">
        <v>1500</v>
      </c>
      <c r="D22" s="13">
        <v>1000</v>
      </c>
      <c r="E22" s="13"/>
      <c r="F22" s="14">
        <f t="shared" si="0"/>
        <v>500</v>
      </c>
      <c r="G22" s="15">
        <f t="shared" si="1"/>
        <v>0.33333333333333331</v>
      </c>
      <c r="H22" s="46">
        <f t="shared" si="3"/>
        <v>0.66666666666666674</v>
      </c>
      <c r="I22" s="15">
        <f t="shared" si="2"/>
        <v>0.5</v>
      </c>
      <c r="J22" s="47">
        <f t="shared" si="4"/>
        <v>0.5</v>
      </c>
    </row>
    <row r="23" spans="2:10" ht="12.95" customHeight="1" x14ac:dyDescent="0.2">
      <c r="B23" s="11" t="s">
        <v>56</v>
      </c>
      <c r="C23" s="13">
        <v>500</v>
      </c>
      <c r="D23" s="13">
        <v>1000</v>
      </c>
      <c r="E23" s="13"/>
      <c r="F23" s="14">
        <f t="shared" si="0"/>
        <v>500</v>
      </c>
      <c r="G23" s="15">
        <f t="shared" si="1"/>
        <v>1</v>
      </c>
      <c r="H23" s="46">
        <f t="shared" si="3"/>
        <v>0</v>
      </c>
      <c r="I23" s="15">
        <f t="shared" si="2"/>
        <v>0.5</v>
      </c>
      <c r="J23" s="47">
        <f t="shared" si="4"/>
        <v>0.5</v>
      </c>
    </row>
    <row r="24" spans="2:10" ht="12.95" customHeight="1" x14ac:dyDescent="0.2">
      <c r="B24" s="11" t="s">
        <v>57</v>
      </c>
      <c r="C24" s="13">
        <v>1750</v>
      </c>
      <c r="D24" s="13">
        <v>3117</v>
      </c>
      <c r="E24" s="13"/>
      <c r="F24" s="14">
        <f t="shared" si="0"/>
        <v>1367</v>
      </c>
      <c r="G24" s="15">
        <f t="shared" si="1"/>
        <v>0.78114285714285714</v>
      </c>
      <c r="H24" s="46">
        <f t="shared" si="3"/>
        <v>0.21885714285714286</v>
      </c>
      <c r="I24" s="15">
        <f t="shared" si="2"/>
        <v>0.43856272056464551</v>
      </c>
      <c r="J24" s="47">
        <f t="shared" si="4"/>
        <v>0.56143727943535449</v>
      </c>
    </row>
    <row r="25" spans="2:10" ht="12.95" customHeight="1" x14ac:dyDescent="0.2">
      <c r="B25" s="11" t="s">
        <v>58</v>
      </c>
      <c r="C25" s="13">
        <v>2000</v>
      </c>
      <c r="D25" s="13">
        <v>1400</v>
      </c>
      <c r="E25" s="13"/>
      <c r="F25" s="14">
        <f t="shared" si="0"/>
        <v>600</v>
      </c>
      <c r="G25" s="15">
        <f t="shared" si="1"/>
        <v>0.3</v>
      </c>
      <c r="H25" s="46">
        <f t="shared" si="3"/>
        <v>0.7</v>
      </c>
      <c r="I25" s="15">
        <f t="shared" si="2"/>
        <v>0.42857142857142855</v>
      </c>
      <c r="J25" s="47">
        <f t="shared" si="4"/>
        <v>0.5714285714285714</v>
      </c>
    </row>
    <row r="26" spans="2:10" ht="12.95" customHeight="1" x14ac:dyDescent="0.2">
      <c r="B26" s="11" t="s">
        <v>59</v>
      </c>
      <c r="C26" s="13">
        <v>550</v>
      </c>
      <c r="D26" s="13">
        <v>927.66600000000005</v>
      </c>
      <c r="E26" s="13"/>
      <c r="F26" s="14">
        <f t="shared" si="0"/>
        <v>377.66600000000005</v>
      </c>
      <c r="G26" s="15">
        <f t="shared" si="1"/>
        <v>0.68666545454545469</v>
      </c>
      <c r="H26" s="46">
        <f t="shared" si="3"/>
        <v>0.31333454545454531</v>
      </c>
      <c r="I26" s="15">
        <f t="shared" si="2"/>
        <v>0.40711419842917607</v>
      </c>
      <c r="J26" s="47">
        <f t="shared" si="4"/>
        <v>0.59288580157082393</v>
      </c>
    </row>
    <row r="27" spans="2:10" ht="12.95" customHeight="1" x14ac:dyDescent="0.2">
      <c r="B27" s="11" t="s">
        <v>60</v>
      </c>
      <c r="C27" s="13">
        <v>4800</v>
      </c>
      <c r="D27" s="13">
        <v>7840</v>
      </c>
      <c r="E27" s="13"/>
      <c r="F27" s="14">
        <f t="shared" si="0"/>
        <v>3040</v>
      </c>
      <c r="G27" s="15">
        <f t="shared" si="1"/>
        <v>0.6333333333333333</v>
      </c>
      <c r="H27" s="46">
        <f t="shared" si="3"/>
        <v>0.3666666666666667</v>
      </c>
      <c r="I27" s="15">
        <f t="shared" si="2"/>
        <v>0.38775510204081631</v>
      </c>
      <c r="J27" s="47">
        <f t="shared" si="4"/>
        <v>0.61224489795918369</v>
      </c>
    </row>
    <row r="28" spans="2:10" ht="12.95" customHeight="1" x14ac:dyDescent="0.2">
      <c r="B28" s="11" t="s">
        <v>61</v>
      </c>
      <c r="C28" s="13">
        <v>325.34905709902336</v>
      </c>
      <c r="D28" s="13">
        <v>454</v>
      </c>
      <c r="E28" s="13"/>
      <c r="F28" s="14">
        <f t="shared" si="0"/>
        <v>128.65094290097664</v>
      </c>
      <c r="G28" s="15">
        <f t="shared" si="1"/>
        <v>0.39542436067924547</v>
      </c>
      <c r="H28" s="46">
        <f t="shared" si="3"/>
        <v>0.60457563932075453</v>
      </c>
      <c r="I28" s="15">
        <f t="shared" si="2"/>
        <v>0.28337212092726133</v>
      </c>
      <c r="J28" s="47">
        <f t="shared" si="4"/>
        <v>0.71662787907273873</v>
      </c>
    </row>
    <row r="29" spans="2:10" ht="12.95" customHeight="1" x14ac:dyDescent="0.2">
      <c r="B29" s="11" t="s">
        <v>62</v>
      </c>
      <c r="C29" s="13">
        <v>120</v>
      </c>
      <c r="D29" s="13">
        <v>197</v>
      </c>
      <c r="E29" s="13"/>
      <c r="F29" s="14">
        <f t="shared" si="0"/>
        <v>77</v>
      </c>
      <c r="G29" s="15">
        <f t="shared" si="1"/>
        <v>0.64166666666666672</v>
      </c>
      <c r="H29" s="46">
        <f t="shared" si="3"/>
        <v>0.35833333333333328</v>
      </c>
      <c r="I29" s="15">
        <f t="shared" si="2"/>
        <v>0.39086294416243655</v>
      </c>
      <c r="J29" s="47">
        <f t="shared" si="4"/>
        <v>0.6091370558375635</v>
      </c>
    </row>
    <row r="30" spans="2:10" ht="12.95" customHeight="1" x14ac:dyDescent="0.2">
      <c r="B30" s="11" t="s">
        <v>63</v>
      </c>
      <c r="C30" s="13">
        <v>400</v>
      </c>
      <c r="D30" s="13">
        <v>187</v>
      </c>
      <c r="E30" s="13"/>
      <c r="F30" s="14">
        <f t="shared" si="0"/>
        <v>213</v>
      </c>
      <c r="G30" s="15">
        <f t="shared" si="1"/>
        <v>0.53249999999999997</v>
      </c>
      <c r="H30" s="46">
        <f t="shared" si="3"/>
        <v>0.46750000000000003</v>
      </c>
      <c r="I30" s="15">
        <f t="shared" si="2"/>
        <v>1</v>
      </c>
      <c r="J30" s="47">
        <f t="shared" si="4"/>
        <v>0</v>
      </c>
    </row>
    <row r="31" spans="2:10" ht="12.95" customHeight="1" x14ac:dyDescent="0.2">
      <c r="B31" s="11" t="s">
        <v>64</v>
      </c>
      <c r="C31" s="13">
        <v>100</v>
      </c>
      <c r="D31" s="13">
        <v>54</v>
      </c>
      <c r="E31" s="13"/>
      <c r="F31" s="14">
        <f t="shared" si="0"/>
        <v>46</v>
      </c>
      <c r="G31" s="15">
        <f t="shared" si="1"/>
        <v>0.46</v>
      </c>
      <c r="H31" s="46">
        <f t="shared" si="3"/>
        <v>0.54</v>
      </c>
      <c r="I31" s="15">
        <f t="shared" si="2"/>
        <v>0.85185185185185186</v>
      </c>
      <c r="J31" s="47">
        <f t="shared" si="4"/>
        <v>0.14814814814814814</v>
      </c>
    </row>
    <row r="32" spans="2:10" ht="12.95" customHeight="1" x14ac:dyDescent="0.2">
      <c r="B32" s="11" t="s">
        <v>65</v>
      </c>
      <c r="C32" s="13">
        <v>650</v>
      </c>
      <c r="D32" s="13">
        <v>546</v>
      </c>
      <c r="E32" s="13"/>
      <c r="F32" s="14">
        <f t="shared" si="0"/>
        <v>104</v>
      </c>
      <c r="G32" s="15">
        <f t="shared" si="1"/>
        <v>0.16</v>
      </c>
      <c r="H32" s="41">
        <f t="shared" si="3"/>
        <v>0.84</v>
      </c>
      <c r="I32" s="15">
        <f t="shared" si="2"/>
        <v>0.19047619047619047</v>
      </c>
      <c r="J32" s="41">
        <f t="shared" si="4"/>
        <v>0.80952380952380953</v>
      </c>
    </row>
    <row r="33" spans="2:10" ht="12.95" customHeight="1" x14ac:dyDescent="0.2">
      <c r="B33" s="11" t="s">
        <v>66</v>
      </c>
      <c r="C33" s="13">
        <v>2000</v>
      </c>
      <c r="D33" s="13">
        <v>1738</v>
      </c>
      <c r="E33" s="13"/>
      <c r="F33" s="14">
        <f t="shared" si="0"/>
        <v>262</v>
      </c>
      <c r="G33" s="15">
        <f t="shared" si="1"/>
        <v>0.13100000000000001</v>
      </c>
      <c r="H33" s="41">
        <f t="shared" si="3"/>
        <v>0.86899999999999999</v>
      </c>
      <c r="I33" s="15">
        <f t="shared" si="2"/>
        <v>0.15074798619102417</v>
      </c>
      <c r="J33" s="41">
        <f t="shared" si="4"/>
        <v>0.84925201380897586</v>
      </c>
    </row>
    <row r="34" spans="2:10" ht="12.95" customHeight="1" x14ac:dyDescent="0.2">
      <c r="B34" s="11" t="s">
        <v>67</v>
      </c>
      <c r="C34" s="13">
        <v>6200</v>
      </c>
      <c r="D34" s="13">
        <f>C34*0.89</f>
        <v>5518</v>
      </c>
      <c r="E34" s="13"/>
      <c r="F34" s="14">
        <f t="shared" si="0"/>
        <v>682</v>
      </c>
      <c r="G34" s="15">
        <f t="shared" si="1"/>
        <v>0.11</v>
      </c>
      <c r="H34" s="41">
        <f t="shared" si="3"/>
        <v>0.89</v>
      </c>
      <c r="I34" s="15">
        <f t="shared" si="2"/>
        <v>0.12359550561797752</v>
      </c>
      <c r="J34" s="41">
        <f t="shared" si="4"/>
        <v>0.8764044943820225</v>
      </c>
    </row>
    <row r="35" spans="2:10" ht="12.95" customHeight="1" x14ac:dyDescent="0.2">
      <c r="B35" s="11" t="s">
        <v>68</v>
      </c>
      <c r="C35" s="13">
        <v>12900</v>
      </c>
      <c r="D35" s="13">
        <v>11609</v>
      </c>
      <c r="E35" s="13"/>
      <c r="F35" s="14">
        <f t="shared" si="0"/>
        <v>1291</v>
      </c>
      <c r="G35" s="15">
        <f t="shared" si="1"/>
        <v>0.10007751937984496</v>
      </c>
      <c r="H35" s="41">
        <f t="shared" si="3"/>
        <v>0.89992248062015501</v>
      </c>
      <c r="I35" s="15">
        <f t="shared" si="2"/>
        <v>0.1112068222930485</v>
      </c>
      <c r="J35" s="41">
        <f t="shared" si="4"/>
        <v>0.88879317770695154</v>
      </c>
    </row>
    <row r="36" spans="2:10" ht="12.95" customHeight="1" x14ac:dyDescent="0.2">
      <c r="B36" s="11" t="s">
        <v>69</v>
      </c>
      <c r="C36" s="13">
        <v>750</v>
      </c>
      <c r="D36" s="13">
        <v>820</v>
      </c>
      <c r="E36" s="13"/>
      <c r="F36" s="14">
        <f t="shared" si="0"/>
        <v>70</v>
      </c>
      <c r="G36" s="15">
        <f t="shared" si="1"/>
        <v>9.3333333333333338E-2</v>
      </c>
      <c r="H36" s="41">
        <f t="shared" si="3"/>
        <v>0.90666666666666662</v>
      </c>
      <c r="I36" s="15">
        <f t="shared" si="2"/>
        <v>8.5365853658536592E-2</v>
      </c>
      <c r="J36" s="41">
        <f t="shared" si="4"/>
        <v>0.91463414634146345</v>
      </c>
    </row>
    <row r="37" spans="2:10" ht="12.95" customHeight="1" x14ac:dyDescent="0.2">
      <c r="B37" s="11" t="s">
        <v>70</v>
      </c>
      <c r="C37" s="13">
        <v>210</v>
      </c>
      <c r="D37" s="13">
        <v>199</v>
      </c>
      <c r="E37" s="13"/>
      <c r="F37" s="14">
        <f t="shared" si="0"/>
        <v>11</v>
      </c>
      <c r="G37" s="15">
        <f t="shared" si="1"/>
        <v>5.2380952380952382E-2</v>
      </c>
      <c r="H37" s="41">
        <f t="shared" si="3"/>
        <v>0.94761904761904758</v>
      </c>
      <c r="I37" s="15">
        <f t="shared" si="2"/>
        <v>5.5276381909547742E-2</v>
      </c>
      <c r="J37" s="41">
        <f t="shared" si="4"/>
        <v>0.94472361809045224</v>
      </c>
    </row>
    <row r="38" spans="2:10" ht="12.95" customHeight="1" x14ac:dyDescent="0.2">
      <c r="B38" s="11" t="s">
        <v>71</v>
      </c>
      <c r="C38" s="13">
        <v>6000</v>
      </c>
      <c r="D38" s="13">
        <v>5722</v>
      </c>
      <c r="E38" s="13"/>
      <c r="F38" s="14">
        <f t="shared" si="0"/>
        <v>278</v>
      </c>
      <c r="G38" s="15">
        <f t="shared" si="1"/>
        <v>4.6333333333333331E-2</v>
      </c>
      <c r="H38" s="41">
        <f t="shared" si="3"/>
        <v>0.95366666666666666</v>
      </c>
      <c r="I38" s="15">
        <f t="shared" si="2"/>
        <v>4.8584411045089128E-2</v>
      </c>
      <c r="J38" s="41">
        <f t="shared" si="4"/>
        <v>0.95141558895491085</v>
      </c>
    </row>
    <row r="39" spans="2:10" ht="12.95" customHeight="1" x14ac:dyDescent="0.2">
      <c r="B39" s="11" t="s">
        <v>87</v>
      </c>
      <c r="C39" s="13">
        <v>15000</v>
      </c>
      <c r="D39" s="13">
        <v>14573</v>
      </c>
      <c r="E39" s="13"/>
      <c r="F39" s="14">
        <f t="shared" si="0"/>
        <v>427</v>
      </c>
      <c r="G39" s="15">
        <f t="shared" si="1"/>
        <v>2.8466666666666668E-2</v>
      </c>
      <c r="H39" s="41">
        <f t="shared" si="3"/>
        <v>0.97153333333333336</v>
      </c>
      <c r="I39" s="15">
        <f t="shared" si="2"/>
        <v>2.9300761682563646E-2</v>
      </c>
      <c r="J39" s="41">
        <f t="shared" si="4"/>
        <v>0.97069923831743632</v>
      </c>
    </row>
    <row r="40" spans="2:10" ht="12.95" customHeight="1" x14ac:dyDescent="0.2">
      <c r="B40" s="11" t="s">
        <v>88</v>
      </c>
      <c r="C40" s="13">
        <v>275</v>
      </c>
      <c r="D40" s="13">
        <v>268</v>
      </c>
      <c r="E40" s="13"/>
      <c r="F40" s="14">
        <f t="shared" si="0"/>
        <v>7</v>
      </c>
      <c r="G40" s="15">
        <f t="shared" si="1"/>
        <v>2.5454545454545455E-2</v>
      </c>
      <c r="H40" s="41">
        <f t="shared" si="3"/>
        <v>0.97454545454545449</v>
      </c>
      <c r="I40" s="15">
        <f t="shared" si="2"/>
        <v>2.6119402985074626E-2</v>
      </c>
      <c r="J40" s="41">
        <f t="shared" si="4"/>
        <v>0.97388059701492535</v>
      </c>
    </row>
    <row r="41" spans="2:10" ht="12.95" customHeight="1" x14ac:dyDescent="0.2">
      <c r="B41" s="11" t="s">
        <v>89</v>
      </c>
      <c r="C41" s="13">
        <v>11000</v>
      </c>
      <c r="D41" s="13">
        <v>11500</v>
      </c>
      <c r="E41" s="13"/>
      <c r="F41" s="14">
        <f t="shared" si="0"/>
        <v>500</v>
      </c>
      <c r="G41" s="15">
        <f t="shared" si="1"/>
        <v>4.5454545454545456E-2</v>
      </c>
      <c r="H41" s="41">
        <f t="shared" si="3"/>
        <v>0.95454545454545459</v>
      </c>
      <c r="I41" s="15">
        <f t="shared" si="2"/>
        <v>4.3478260869565216E-2</v>
      </c>
      <c r="J41" s="41">
        <f t="shared" si="4"/>
        <v>0.95652173913043481</v>
      </c>
    </row>
    <row r="42" spans="2:10" ht="9" customHeight="1" x14ac:dyDescent="0.2">
      <c r="C42" s="13"/>
      <c r="D42" s="13"/>
      <c r="E42" s="13"/>
      <c r="F42" s="14"/>
      <c r="H42" s="37"/>
      <c r="I42" s="15"/>
      <c r="J42" s="41"/>
    </row>
    <row r="43" spans="2:10" ht="12.95" customHeight="1" x14ac:dyDescent="0.2">
      <c r="B43" s="39" t="s">
        <v>72</v>
      </c>
      <c r="C43" s="48">
        <f>SUM(C9:C41)</f>
        <v>87015.61069009862</v>
      </c>
      <c r="D43" s="48">
        <f>SUM(D9:D41)</f>
        <v>78225.665999999997</v>
      </c>
      <c r="E43" s="2"/>
      <c r="F43" s="2">
        <f>SUM(F9:F41)</f>
        <v>21266.578575900578</v>
      </c>
      <c r="G43" s="15">
        <f>IF(F43/C43&gt;1,1,F43/C43)</f>
        <v>0.24439957850368188</v>
      </c>
      <c r="H43" s="41">
        <f>1-G43</f>
        <v>0.75560042149631812</v>
      </c>
      <c r="I43" s="15">
        <f>IF(F43/D43&gt;1,1,F43/D43)</f>
        <v>0.271861904964805</v>
      </c>
      <c r="J43" s="47">
        <f>IF(I43&gt;1,0,1-I43)</f>
        <v>0.728138095035195</v>
      </c>
    </row>
    <row r="44" spans="2:10" ht="12.95" customHeight="1" x14ac:dyDescent="0.2">
      <c r="H44" s="37"/>
    </row>
    <row r="45" spans="2:10" ht="12.95" customHeight="1" x14ac:dyDescent="0.2">
      <c r="F45" s="52" t="s">
        <v>83</v>
      </c>
      <c r="H45" s="47">
        <f>AVERAGE(H9:H41)</f>
        <v>0.56867340077942352</v>
      </c>
      <c r="I45" s="15"/>
      <c r="J45" s="47">
        <f>AVERAGE(J9:J41)</f>
        <v>0.46299813841579335</v>
      </c>
    </row>
    <row r="46" spans="2:10" ht="12.95" customHeight="1" x14ac:dyDescent="0.2">
      <c r="H46" s="37"/>
    </row>
    <row r="47" spans="2:10" ht="12.95" customHeight="1" x14ac:dyDescent="0.2">
      <c r="H47" s="37"/>
    </row>
    <row r="48" spans="2:10" ht="12.95" customHeight="1" x14ac:dyDescent="0.2">
      <c r="H48" s="37"/>
    </row>
    <row r="49" spans="8:8" ht="12.95" customHeight="1" x14ac:dyDescent="0.2">
      <c r="H49" s="37"/>
    </row>
    <row r="50" spans="8:8" ht="12.95" customHeight="1" x14ac:dyDescent="0.2">
      <c r="H50" s="37"/>
    </row>
    <row r="51" spans="8:8" ht="12.95" customHeight="1" x14ac:dyDescent="0.2">
      <c r="H51" s="37"/>
    </row>
    <row r="52" spans="8:8" ht="12.95" customHeight="1" x14ac:dyDescent="0.2">
      <c r="H52" s="37"/>
    </row>
    <row r="53" spans="8:8" ht="12.95" customHeight="1" x14ac:dyDescent="0.2">
      <c r="H53" s="37"/>
    </row>
    <row r="54" spans="8:8" ht="12.95" customHeight="1" x14ac:dyDescent="0.2">
      <c r="H54" s="37"/>
    </row>
    <row r="55" spans="8:8" ht="12.95" customHeight="1" x14ac:dyDescent="0.2">
      <c r="H55" s="37"/>
    </row>
    <row r="56" spans="8:8" ht="12.95" customHeight="1" x14ac:dyDescent="0.2">
      <c r="H56" s="37"/>
    </row>
    <row r="57" spans="8:8" ht="12.95" customHeight="1" x14ac:dyDescent="0.2">
      <c r="H57" s="37"/>
    </row>
  </sheetData>
  <mergeCells count="4">
    <mergeCell ref="G6:J6"/>
    <mergeCell ref="G7:H7"/>
    <mergeCell ref="I7:J7"/>
    <mergeCell ref="F2:J2"/>
  </mergeCells>
  <conditionalFormatting sqref="H9:H41 J9:J41 H43 J43 H45 J45">
    <cfRule type="cellIs" dxfId="2" priority="1" operator="lessThan">
      <formula>0.75</formula>
    </cfRule>
    <cfRule type="cellIs" dxfId="1" priority="2" operator="between">
      <formula>0.75</formula>
      <formula>0.9</formula>
    </cfRule>
    <cfRule type="cellIs" dxfId="0" priority="3" operator="greaterThan">
      <formula>0.9</formula>
    </cfRule>
  </conditionalFormatting>
  <pageMargins left="0.75" right="0.75" top="1" bottom="1" header="0.5" footer="0.5"/>
  <pageSetup orientation="portrait" horizontalDpi="1200" verticalDpi="1200" r:id="rId1"/>
  <ignoredErrors>
    <ignoredError sqref="I9:I50" formula="1"/>
  </ignoredError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8020385AC394F8F0573EB571760AB" ma:contentTypeVersion="4" ma:contentTypeDescription="Create a new document." ma:contentTypeScope="" ma:versionID="b7a8df92e84e496149324dbf103a30c6">
  <xsd:schema xmlns:xsd="http://www.w3.org/2001/XMLSchema" xmlns:xs="http://www.w3.org/2001/XMLSchema" xmlns:p="http://schemas.microsoft.com/office/2006/metadata/properties" xmlns:ns3="e9e4b46f-fa88-4e90-b69a-40315a13b714" targetNamespace="http://schemas.microsoft.com/office/2006/metadata/properties" ma:root="true" ma:fieldsID="04f386d0dfbc878bad548ba29e24cc00" ns3:_="">
    <xsd:import namespace="e9e4b46f-fa88-4e90-b69a-40315a13b7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4b46f-fa88-4e90-b69a-40315a13b7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0F1CF4-359B-4EC9-922A-4A6A1BC4C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4b46f-fa88-4e90-b69a-40315a13b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A653EB-F87E-4672-9D62-A9646AD644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C9F25C-9AFB-49A8-9850-DC8947C684F6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e9e4b46f-fa88-4e90-b69a-40315a13b714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(SFC RA)</vt:lpstr>
      <vt:lpstr>yam (SFC ES)</vt:lpstr>
      <vt:lpstr>(SFC Rolling-1)</vt:lpstr>
      <vt:lpstr>(SFC Rolling-2)</vt:lpstr>
      <vt:lpstr>(Time Fence)</vt:lpstr>
      <vt:lpstr>(SFC Var)</vt:lpstr>
      <vt:lpstr>SFC Accuracy</vt:lpstr>
      <vt:lpstr>(MAPE Demon.)</vt:lpstr>
      <vt:lpstr>SFC ACC-3</vt:lpstr>
    </vt:vector>
  </TitlesOfParts>
  <Company>Hayland Freelance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England</dc:creator>
  <cp:lastModifiedBy>Aman Kumar 192605049</cp:lastModifiedBy>
  <dcterms:created xsi:type="dcterms:W3CDTF">2013-11-13T06:32:11Z</dcterms:created>
  <dcterms:modified xsi:type="dcterms:W3CDTF">2024-08-04T16:43:32Z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0x010100A338020385AC394F8F0573EB571760AB</vt:lpwstr>
  </property>
</Properties>
</file>