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nd pricing" sheetId="1" r:id="rId4"/>
    <sheet state="visible" name="NelsonSiegel" sheetId="2" r:id="rId5"/>
    <sheet state="hidden" name="__OpenSolverCache__" sheetId="3" r:id="rId6"/>
    <sheet state="hidden" name="__OpenSolver__" sheetId="4" r:id="rId7"/>
  </sheets>
  <definedNames/>
  <calcPr/>
</workbook>
</file>

<file path=xl/sharedStrings.xml><?xml version="1.0" encoding="utf-8"?>
<sst xmlns="http://schemas.openxmlformats.org/spreadsheetml/2006/main" count="42" uniqueCount="35">
  <si>
    <t>FIXED INCOME SECURITIES</t>
  </si>
  <si>
    <t>Bootstrap Process</t>
  </si>
  <si>
    <t>Bond</t>
  </si>
  <si>
    <t>A</t>
  </si>
  <si>
    <t>B</t>
  </si>
  <si>
    <t>C</t>
  </si>
  <si>
    <t>D</t>
  </si>
  <si>
    <t>Face Value</t>
  </si>
  <si>
    <t>Maturitites</t>
  </si>
  <si>
    <t>(CASH-FLOWS)</t>
  </si>
  <si>
    <t>Maturity</t>
  </si>
  <si>
    <t>Coupon Rate</t>
  </si>
  <si>
    <t>Market Rate</t>
  </si>
  <si>
    <t>Frequency</t>
  </si>
  <si>
    <t>Price</t>
  </si>
  <si>
    <t>YTM</t>
  </si>
  <si>
    <t>Present Value</t>
  </si>
  <si>
    <t>Behaviour</t>
  </si>
  <si>
    <t>Difference</t>
  </si>
  <si>
    <t>Price_1(+)</t>
  </si>
  <si>
    <t>Price_2(-)</t>
  </si>
  <si>
    <t>Duration</t>
  </si>
  <si>
    <t>Convexity</t>
  </si>
  <si>
    <t>b0</t>
  </si>
  <si>
    <t>b1</t>
  </si>
  <si>
    <t>b2</t>
  </si>
  <si>
    <t>tau</t>
  </si>
  <si>
    <t>𝞪1</t>
  </si>
  <si>
    <t>sse</t>
  </si>
  <si>
    <t>𝞪2</t>
  </si>
  <si>
    <t>Rate</t>
  </si>
  <si>
    <t>tenors</t>
  </si>
  <si>
    <t>exp(-t/t1)</t>
  </si>
  <si>
    <t>errors</t>
  </si>
  <si>
    <t>squared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</si>
</sst>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#,##0.00;(#,##0.00)"/>
    <numFmt numFmtId="166" formatCode="0.000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i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4125"/>
        <bgColor rgb="FFCC4125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</fills>
  <borders count="12">
    <border/>
    <border>
      <right style="thick">
        <color rgb="FF000000"/>
      </right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left" readingOrder="0"/>
    </xf>
    <xf borderId="4" fillId="0" fontId="3" numFmtId="0" xfId="0" applyBorder="1" applyFont="1"/>
    <xf borderId="1" fillId="0" fontId="3" numFmtId="0" xfId="0" applyBorder="1" applyFont="1"/>
    <xf borderId="5" fillId="4" fontId="4" numFmtId="0" xfId="0" applyAlignment="1" applyBorder="1" applyFill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8" fillId="5" fontId="5" numFmtId="0" xfId="0" applyAlignment="1" applyBorder="1" applyFill="1" applyFont="1">
      <alignment horizontal="left" readingOrder="0"/>
    </xf>
    <xf borderId="8" fillId="0" fontId="4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/>
    </xf>
    <xf borderId="8" fillId="5" fontId="3" numFmtId="0" xfId="0" applyAlignment="1" applyBorder="1" applyFont="1">
      <alignment readingOrder="0"/>
    </xf>
    <xf borderId="8" fillId="0" fontId="3" numFmtId="164" xfId="0" applyBorder="1" applyFont="1" applyNumberFormat="1"/>
    <xf borderId="8" fillId="0" fontId="3" numFmtId="2" xfId="0" applyAlignment="1" applyBorder="1" applyFont="1" applyNumberFormat="1">
      <alignment readingOrder="0"/>
    </xf>
    <xf borderId="8" fillId="2" fontId="3" numFmtId="0" xfId="0" applyAlignment="1" applyBorder="1" applyFont="1">
      <alignment readingOrder="0"/>
    </xf>
    <xf borderId="8" fillId="6" fontId="6" numFmtId="0" xfId="0" applyAlignment="1" applyBorder="1" applyFill="1" applyFont="1">
      <alignment readingOrder="0"/>
    </xf>
    <xf borderId="8" fillId="6" fontId="4" numFmtId="2" xfId="0" applyAlignment="1" applyBorder="1" applyFont="1" applyNumberFormat="1">
      <alignment readingOrder="0"/>
    </xf>
    <xf borderId="8" fillId="7" fontId="3" numFmtId="0" xfId="0" applyAlignment="1" applyBorder="1" applyFill="1" applyFont="1">
      <alignment readingOrder="0"/>
    </xf>
    <xf borderId="8" fillId="6" fontId="4" numFmtId="2" xfId="0" applyBorder="1" applyFont="1" applyNumberFormat="1"/>
    <xf borderId="8" fillId="8" fontId="3" numFmtId="0" xfId="0" applyAlignment="1" applyBorder="1" applyFill="1" applyFont="1">
      <alignment readingOrder="0"/>
    </xf>
    <xf borderId="8" fillId="0" fontId="3" numFmtId="2" xfId="0" applyBorder="1" applyFont="1" applyNumberFormat="1"/>
    <xf borderId="8" fillId="6" fontId="4" numFmtId="0" xfId="0" applyAlignment="1" applyBorder="1" applyFont="1">
      <alignment readingOrder="0"/>
    </xf>
    <xf borderId="8" fillId="9" fontId="4" numFmtId="0" xfId="0" applyBorder="1" applyFill="1" applyFont="1"/>
    <xf borderId="5" fillId="9" fontId="4" numFmtId="0" xfId="0" applyBorder="1" applyFont="1"/>
    <xf borderId="8" fillId="9" fontId="4" numFmtId="0" xfId="0" applyBorder="1" applyFont="1"/>
    <xf borderId="8" fillId="0" fontId="4" numFmtId="0" xfId="0" applyAlignment="1" applyBorder="1" applyFont="1">
      <alignment readingOrder="0"/>
    </xf>
    <xf borderId="8" fillId="9" fontId="4" numFmtId="0" xfId="0" applyAlignment="1" applyBorder="1" applyFont="1">
      <alignment readingOrder="0"/>
    </xf>
    <xf borderId="8" fillId="9" fontId="3" numFmtId="2" xfId="0" applyBorder="1" applyFont="1" applyNumberFormat="1"/>
    <xf borderId="8" fillId="0" fontId="3" numFmtId="165" xfId="0" applyBorder="1" applyFont="1" applyNumberFormat="1"/>
    <xf borderId="8" fillId="0" fontId="3" numFmtId="165" xfId="0" applyAlignment="1" applyBorder="1" applyFont="1" applyNumberFormat="1">
      <alignment readingOrder="0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6" xfId="0" applyFont="1" applyNumberFormat="1"/>
    <xf borderId="8" fillId="6" fontId="3" numFmtId="0" xfId="0" applyBorder="1" applyFont="1"/>
    <xf borderId="8" fillId="6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YIELD CURVE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'bond pricing'!$C$12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>Trendline for Maturity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</c:trendline>
          <c:cat>
            <c:strRef>
              <c:f>'bond pricing'!$D$7:$G$7</c:f>
            </c:strRef>
          </c:cat>
          <c:val>
            <c:numRef>
              <c:f>'bond pricing'!$D$12:$G$12</c:f>
              <c:numCache/>
            </c:numRef>
          </c:val>
          <c:smooth val="0"/>
        </c:ser>
        <c:axId val="95784300"/>
        <c:axId val="1944860972"/>
      </c:lineChart>
      <c:catAx>
        <c:axId val="95784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Bond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4860972"/>
      </c:catAx>
      <c:valAx>
        <c:axId val="19448609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57843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exp(-t/t1)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NelsonSiegel!$C$10:$C$15</c:f>
            </c:strRef>
          </c:cat>
          <c:val>
            <c:numRef>
              <c:f>NelsonSiegel!$B$10:$B$15</c:f>
              <c:numCache/>
            </c:numRef>
          </c:val>
          <c:smooth val="0"/>
        </c:ser>
        <c:ser>
          <c:idx val="1"/>
          <c:order val="1"/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NelsonSiegel!$C$10:$C$15</c:f>
            </c:strRef>
          </c:cat>
          <c:val>
            <c:numRef>
              <c:f>NelsonSiegel!$E$10:$E$14</c:f>
              <c:numCache/>
            </c:numRef>
          </c:val>
          <c:smooth val="0"/>
        </c:ser>
        <c:axId val="307194359"/>
        <c:axId val="711241310"/>
      </c:lineChart>
      <c:catAx>
        <c:axId val="3071943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1241310"/>
      </c:catAx>
      <c:valAx>
        <c:axId val="7112413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exp(-t/t1)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7194359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533400</xdr:colOff>
      <xdr:row>16</xdr:row>
      <xdr:rowOff>104775</xdr:rowOff>
    </xdr:from>
    <xdr:ext cx="5591175" cy="22098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409575</xdr:colOff>
      <xdr:row>16</xdr:row>
      <xdr:rowOff>57150</xdr:rowOff>
    </xdr:from>
    <xdr:ext cx="4743450" cy="25908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25.88"/>
    <col customWidth="1" min="3" max="3" width="10.88"/>
    <col customWidth="1" min="4" max="4" width="14.75"/>
    <col customWidth="1" min="5" max="7" width="9.63"/>
    <col customWidth="1" min="8" max="8" width="11.13"/>
    <col customWidth="1" min="9" max="9" width="15.88"/>
    <col customWidth="1" min="10" max="10" width="10.5"/>
    <col customWidth="1" min="11" max="11" width="7.5"/>
    <col customWidth="1" min="12" max="12" width="14.38"/>
    <col customWidth="1" min="13" max="13" width="8.63"/>
    <col customWidth="1" min="14" max="14" width="14.0"/>
    <col customWidth="1" min="15" max="15" width="7.0"/>
    <col customWidth="1" min="16" max="30" width="11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B2" s="6"/>
      <c r="R2" s="7"/>
    </row>
    <row r="3">
      <c r="B3" s="6"/>
      <c r="R3" s="7"/>
    </row>
    <row r="4">
      <c r="B4" s="6"/>
      <c r="I4" s="8" t="s">
        <v>1</v>
      </c>
      <c r="J4" s="9"/>
      <c r="K4" s="9"/>
      <c r="L4" s="9"/>
      <c r="M4" s="9"/>
      <c r="N4" s="9"/>
      <c r="O4" s="10"/>
      <c r="R4" s="7"/>
    </row>
    <row r="5">
      <c r="B5" s="6"/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I5" s="12"/>
      <c r="J5" s="12"/>
      <c r="K5" s="12"/>
      <c r="L5" s="12" t="str">
        <f t="shared" ref="L5:O5" si="1">D5
</f>
        <v>A</v>
      </c>
      <c r="M5" s="12" t="str">
        <f t="shared" si="1"/>
        <v>B</v>
      </c>
      <c r="N5" s="12" t="str">
        <f t="shared" si="1"/>
        <v>C</v>
      </c>
      <c r="O5" s="12" t="str">
        <f t="shared" si="1"/>
        <v>D</v>
      </c>
      <c r="R5" s="7"/>
    </row>
    <row r="6">
      <c r="B6" s="6"/>
      <c r="C6" s="13" t="s">
        <v>7</v>
      </c>
      <c r="D6" s="11">
        <v>1000.0</v>
      </c>
      <c r="E6" s="11">
        <v>1000.0</v>
      </c>
      <c r="F6" s="11">
        <v>1000.0</v>
      </c>
      <c r="G6" s="11">
        <v>1000.0</v>
      </c>
      <c r="I6" s="14" t="s">
        <v>8</v>
      </c>
      <c r="J6" s="14" t="str">
        <f t="array" ref="J6:J10">TRANSPOSE(C9:G9)</f>
        <v>Market Rate</v>
      </c>
      <c r="K6" s="14"/>
      <c r="L6" s="15" t="s">
        <v>9</v>
      </c>
      <c r="M6" s="9"/>
      <c r="N6" s="9"/>
      <c r="O6" s="10"/>
      <c r="R6" s="7"/>
    </row>
    <row r="7">
      <c r="B7" s="6"/>
      <c r="C7" s="16" t="s">
        <v>10</v>
      </c>
      <c r="D7" s="11">
        <f>6/12</f>
        <v>0.5</v>
      </c>
      <c r="E7" s="11">
        <f>12/12</f>
        <v>1</v>
      </c>
      <c r="F7" s="11">
        <f>18/12</f>
        <v>1.5</v>
      </c>
      <c r="G7" s="11">
        <f>24/12</f>
        <v>2</v>
      </c>
      <c r="I7" s="12">
        <f t="array" ref="I7:I10">TRANSPOSE(D7:G7)</f>
        <v>0.5</v>
      </c>
      <c r="J7" s="12">
        <v>0.3</v>
      </c>
      <c r="K7" s="12"/>
      <c r="L7" s="17">
        <f t="shared" ref="L7:O7" si="2">D$8*D$6/(1+$J$7)^$I$7*D$10</f>
        <v>0</v>
      </c>
      <c r="M7" s="17">
        <f t="shared" si="2"/>
        <v>87.70580193</v>
      </c>
      <c r="N7" s="17">
        <f t="shared" si="2"/>
        <v>140.3292831</v>
      </c>
      <c r="O7" s="17">
        <f t="shared" si="2"/>
        <v>175.4116039</v>
      </c>
      <c r="R7" s="7"/>
    </row>
    <row r="8">
      <c r="B8" s="6"/>
      <c r="C8" s="13" t="s">
        <v>11</v>
      </c>
      <c r="D8" s="18">
        <f>4/100</f>
        <v>0.04</v>
      </c>
      <c r="E8" s="18">
        <f>5/100</f>
        <v>0.05</v>
      </c>
      <c r="F8" s="18">
        <f>8/100</f>
        <v>0.08</v>
      </c>
      <c r="G8" s="18">
        <f>10/100</f>
        <v>0.1</v>
      </c>
      <c r="I8" s="12">
        <v>1.0</v>
      </c>
      <c r="J8" s="12">
        <v>0.4</v>
      </c>
      <c r="K8" s="12"/>
      <c r="L8" s="17">
        <f t="shared" ref="L8:O8" si="3">D$8*D$6/(1+$J$7)^$I$7*D$10</f>
        <v>0</v>
      </c>
      <c r="M8" s="17">
        <f t="shared" si="3"/>
        <v>87.70580193</v>
      </c>
      <c r="N8" s="17">
        <f t="shared" si="3"/>
        <v>140.3292831</v>
      </c>
      <c r="O8" s="17">
        <f t="shared" si="3"/>
        <v>175.4116039</v>
      </c>
      <c r="R8" s="7"/>
    </row>
    <row r="9">
      <c r="B9" s="6"/>
      <c r="C9" s="16" t="s">
        <v>12</v>
      </c>
      <c r="D9" s="11">
        <f>30/100</f>
        <v>0.3</v>
      </c>
      <c r="E9" s="11">
        <f>40/100</f>
        <v>0.4</v>
      </c>
      <c r="F9" s="11">
        <f t="shared" ref="F9:G9" si="4">30/100</f>
        <v>0.3</v>
      </c>
      <c r="G9" s="11">
        <f t="shared" si="4"/>
        <v>0.3</v>
      </c>
      <c r="I9" s="12">
        <v>1.5</v>
      </c>
      <c r="J9" s="12">
        <v>0.3</v>
      </c>
      <c r="K9" s="12"/>
      <c r="L9" s="17">
        <f t="shared" ref="L9:O9" si="5">D$8*D$6/(1+$J$7)^$I$7*D$10</f>
        <v>0</v>
      </c>
      <c r="M9" s="17">
        <f t="shared" si="5"/>
        <v>87.70580193</v>
      </c>
      <c r="N9" s="17">
        <f t="shared" si="5"/>
        <v>140.3292831</v>
      </c>
      <c r="O9" s="17">
        <f t="shared" si="5"/>
        <v>175.4116039</v>
      </c>
      <c r="R9" s="7"/>
    </row>
    <row r="10">
      <c r="B10" s="6"/>
      <c r="C10" s="16" t="s">
        <v>13</v>
      </c>
      <c r="D10" s="19">
        <v>0.0</v>
      </c>
      <c r="E10" s="19">
        <v>2.0</v>
      </c>
      <c r="F10" s="19">
        <v>2.0</v>
      </c>
      <c r="G10" s="19">
        <v>2.0</v>
      </c>
      <c r="I10" s="12">
        <v>2.0</v>
      </c>
      <c r="J10" s="12">
        <v>0.3</v>
      </c>
      <c r="K10" s="12"/>
      <c r="L10" s="17">
        <f t="shared" ref="L10:O10" si="6">D$8*D$6/(1+$J$7)^$I$7*D$10</f>
        <v>0</v>
      </c>
      <c r="M10" s="17">
        <f t="shared" si="6"/>
        <v>87.70580193</v>
      </c>
      <c r="N10" s="17">
        <f t="shared" si="6"/>
        <v>140.3292831</v>
      </c>
      <c r="O10" s="17">
        <f t="shared" si="6"/>
        <v>175.4116039</v>
      </c>
      <c r="R10" s="7"/>
    </row>
    <row r="11">
      <c r="B11" s="6"/>
      <c r="C11" s="20" t="s">
        <v>14</v>
      </c>
      <c r="D11" s="21">
        <f t="shared" ref="D11:G11" si="7">L12
</f>
        <v>917.0580193</v>
      </c>
      <c r="E11" s="21">
        <f t="shared" si="7"/>
        <v>927.0580193</v>
      </c>
      <c r="F11" s="21">
        <f t="shared" si="7"/>
        <v>957.0580193</v>
      </c>
      <c r="G11" s="21">
        <f t="shared" si="7"/>
        <v>977.0580193</v>
      </c>
      <c r="I11" s="22" t="s">
        <v>15</v>
      </c>
      <c r="J11" s="11"/>
      <c r="K11" s="11"/>
      <c r="L11" s="17">
        <f t="shared" ref="L11:O11" si="8">D$8*D$6/(1+$J$7)^$I$7</f>
        <v>35.08232077</v>
      </c>
      <c r="M11" s="17">
        <f t="shared" si="8"/>
        <v>43.85290097</v>
      </c>
      <c r="N11" s="17">
        <f t="shared" si="8"/>
        <v>70.16464154</v>
      </c>
      <c r="O11" s="17">
        <f t="shared" si="8"/>
        <v>87.70580193</v>
      </c>
      <c r="R11" s="7"/>
    </row>
    <row r="12">
      <c r="B12" s="6"/>
      <c r="C12" s="20" t="s">
        <v>15</v>
      </c>
      <c r="D12" s="23">
        <f t="shared" ref="D12:G12" si="9">L11/100</f>
        <v>0.3508232077</v>
      </c>
      <c r="E12" s="23">
        <f t="shared" si="9"/>
        <v>0.4385290097</v>
      </c>
      <c r="F12" s="23">
        <f t="shared" si="9"/>
        <v>0.7016464154</v>
      </c>
      <c r="G12" s="23">
        <f t="shared" si="9"/>
        <v>0.8770580193</v>
      </c>
      <c r="I12" s="24" t="s">
        <v>16</v>
      </c>
      <c r="J12" s="11"/>
      <c r="K12" s="11"/>
      <c r="L12" s="25">
        <f t="shared" ref="L12:O12" si="10">sum(D$8*D$6+D$6/(1+$J$7)^$I$7)</f>
        <v>917.0580193</v>
      </c>
      <c r="M12" s="25">
        <f t="shared" si="10"/>
        <v>927.0580193</v>
      </c>
      <c r="N12" s="25">
        <f t="shared" si="10"/>
        <v>957.0580193</v>
      </c>
      <c r="O12" s="25">
        <f t="shared" si="10"/>
        <v>977.0580193</v>
      </c>
      <c r="R12" s="7"/>
    </row>
    <row r="13">
      <c r="B13" s="6"/>
      <c r="C13" s="26" t="s">
        <v>17</v>
      </c>
      <c r="D13" s="27" t="str">
        <f t="shared" ref="D13:G13" si="11">IF(D8=D12,"Discounted Bond",IF(D8&lt;D12,"Par Bond",IF(D8&gt;D12,"Premium Bond","")))</f>
        <v>Par Bond</v>
      </c>
      <c r="E13" s="27" t="str">
        <f t="shared" si="11"/>
        <v>Par Bond</v>
      </c>
      <c r="F13" s="27" t="str">
        <f t="shared" si="11"/>
        <v>Par Bond</v>
      </c>
      <c r="G13" s="27" t="str">
        <f t="shared" si="11"/>
        <v>Par Bond</v>
      </c>
      <c r="R13" s="7"/>
    </row>
    <row r="14">
      <c r="B14" s="6"/>
      <c r="C14" s="12"/>
      <c r="D14" s="28" t="str">
        <f t="shared" ref="D14:G14" si="12">IF(D$6&gt;=D$11,"GOOD TO BUY",IF(D$6&lt;D$11," Don't BUY",""))</f>
        <v>GOOD TO BUY</v>
      </c>
      <c r="E14" s="28" t="str">
        <f t="shared" si="12"/>
        <v>GOOD TO BUY</v>
      </c>
      <c r="F14" s="28" t="str">
        <f t="shared" si="12"/>
        <v>GOOD TO BUY</v>
      </c>
      <c r="G14" s="29" t="str">
        <f t="shared" si="12"/>
        <v>GOOD TO BUY</v>
      </c>
      <c r="I14" s="14" t="s">
        <v>18</v>
      </c>
      <c r="J14" s="14" t="s">
        <v>2</v>
      </c>
      <c r="K14" s="30" t="s">
        <v>14</v>
      </c>
      <c r="L14" s="14" t="s">
        <v>19</v>
      </c>
      <c r="M14" s="14" t="s">
        <v>20</v>
      </c>
      <c r="R14" s="7"/>
    </row>
    <row r="15">
      <c r="B15" s="6"/>
      <c r="C15" s="31" t="s">
        <v>21</v>
      </c>
      <c r="D15" s="32">
        <f>($M15-$L15)/(2*$K15*$I15)</f>
        <v>0.04854654935</v>
      </c>
      <c r="E15" s="32">
        <f>($M16-$L16)/(2*$K16*$I16)</f>
        <v>0.04665265827</v>
      </c>
      <c r="F15" s="32">
        <f>($M17-$L17)/(2*$K17*$I17)</f>
        <v>0.04490098734</v>
      </c>
      <c r="G15" s="32">
        <f>($M18-$L18)/(2*$K18*$I18)</f>
        <v>0.04407357047</v>
      </c>
      <c r="I15" s="11">
        <v>0.1</v>
      </c>
      <c r="J15" s="11" t="s">
        <v>3</v>
      </c>
      <c r="K15" s="33">
        <v>985.3292781642931</v>
      </c>
      <c r="L15" s="34">
        <v>980.5806756909201</v>
      </c>
      <c r="M15" s="25">
        <v>990.1475429766742</v>
      </c>
      <c r="R15" s="7"/>
    </row>
    <row r="16">
      <c r="B16" s="6"/>
      <c r="C16" s="31" t="s">
        <v>22</v>
      </c>
      <c r="D16" s="32">
        <f>(M15+L15-2*K15)/(K15*(I15)^2)</f>
        <v>0.007069955248</v>
      </c>
      <c r="E16" s="32">
        <f>(M16+L16-2*K16)/(K16*(I16)^2)</f>
        <v>0.006794143159</v>
      </c>
      <c r="F16" s="32">
        <f>(M17+L17-2*K17)/(K17*(I17)^2)</f>
        <v>0.006539042945</v>
      </c>
      <c r="G16" s="32">
        <f>(M18+L18-2*K18)/(K18*(I18)^2)</f>
        <v>0.006418544161</v>
      </c>
      <c r="I16" s="11">
        <v>0.1</v>
      </c>
      <c r="J16" s="11" t="s">
        <v>2</v>
      </c>
      <c r="K16" s="33">
        <v>1025.329278164293</v>
      </c>
      <c r="L16" s="34">
        <v>1020.5806756909201</v>
      </c>
      <c r="M16" s="25">
        <v>1030.1475429766742</v>
      </c>
      <c r="R16" s="7"/>
    </row>
    <row r="17">
      <c r="B17" s="6"/>
      <c r="I17" s="11">
        <v>0.1</v>
      </c>
      <c r="J17" s="11" t="s">
        <v>5</v>
      </c>
      <c r="K17" s="33">
        <v>1065.329278164293</v>
      </c>
      <c r="L17" s="34">
        <v>1060.58067569092</v>
      </c>
      <c r="M17" s="25">
        <v>1070.1475429766742</v>
      </c>
      <c r="R17" s="7"/>
    </row>
    <row r="18">
      <c r="B18" s="6"/>
      <c r="I18" s="11">
        <v>0.1</v>
      </c>
      <c r="J18" s="11" t="s">
        <v>6</v>
      </c>
      <c r="K18" s="33">
        <v>1085.329278164293</v>
      </c>
      <c r="L18" s="34">
        <v>1080.58067569092</v>
      </c>
      <c r="M18" s="25">
        <v>1090.1475429766742</v>
      </c>
      <c r="R18" s="7"/>
    </row>
    <row r="19">
      <c r="B19" s="6"/>
      <c r="R19" s="7"/>
    </row>
    <row r="20">
      <c r="B20" s="6"/>
      <c r="R20" s="7"/>
    </row>
    <row r="21">
      <c r="B21" s="6"/>
      <c r="R21" s="7"/>
    </row>
    <row r="22">
      <c r="B22" s="6"/>
      <c r="R22" s="7"/>
    </row>
    <row r="23"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7"/>
    </row>
  </sheetData>
  <mergeCells count="3">
    <mergeCell ref="B1:R1"/>
    <mergeCell ref="I4:O4"/>
    <mergeCell ref="L6:O6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23</v>
      </c>
      <c r="B2" s="11">
        <v>0.05</v>
      </c>
    </row>
    <row r="3">
      <c r="A3" s="14" t="s">
        <v>24</v>
      </c>
      <c r="B3" s="11">
        <v>0.05</v>
      </c>
    </row>
    <row r="4">
      <c r="A4" s="14" t="s">
        <v>25</v>
      </c>
      <c r="B4" s="11">
        <v>0.05</v>
      </c>
    </row>
    <row r="5">
      <c r="A5" s="14" t="s">
        <v>26</v>
      </c>
      <c r="B5" s="11">
        <v>0.05</v>
      </c>
      <c r="C5" s="38"/>
    </row>
    <row r="6">
      <c r="A6" s="39" t="s">
        <v>27</v>
      </c>
      <c r="B6" s="40">
        <v>1.0</v>
      </c>
      <c r="D6" s="40" t="s">
        <v>28</v>
      </c>
      <c r="E6" s="41">
        <f>SUM(F11:F14)</f>
        <v>0.001661218448</v>
      </c>
    </row>
    <row r="7">
      <c r="A7" s="39" t="s">
        <v>29</v>
      </c>
      <c r="B7" s="40">
        <v>1.0</v>
      </c>
    </row>
    <row r="9">
      <c r="B9" s="42"/>
      <c r="C9" s="42"/>
    </row>
    <row r="10">
      <c r="B10" s="43" t="s">
        <v>30</v>
      </c>
      <c r="C10" s="43" t="s">
        <v>31</v>
      </c>
      <c r="D10" s="40" t="s">
        <v>32</v>
      </c>
      <c r="E10" s="40" t="s">
        <v>33</v>
      </c>
      <c r="F10" s="40" t="s">
        <v>34</v>
      </c>
    </row>
    <row r="11">
      <c r="B11" s="43">
        <f>0/100</f>
        <v>0</v>
      </c>
      <c r="C11" s="43">
        <v>0.5</v>
      </c>
      <c r="D11" s="41">
        <f t="shared" ref="D11:D14" si="1">exp(-C11/$B$5)</f>
        <v>0.00004539992976</v>
      </c>
      <c r="E11" s="41">
        <f t="shared" ref="E11:E14" si="2">$B$2+
$B$3*(1-D11)/(C11/$B$5)+
$B$4*((1-D11)/(C11/$B$5)-
D11)-B11</f>
        <v>0.059997276</v>
      </c>
      <c r="F11" s="41">
        <f t="shared" ref="F11:F14" si="3">E11*2</f>
        <v>0.119994552</v>
      </c>
    </row>
    <row r="12">
      <c r="B12" s="43">
        <f>4/100</f>
        <v>0.04</v>
      </c>
      <c r="C12" s="43">
        <v>1.0</v>
      </c>
      <c r="D12" s="41">
        <f t="shared" si="1"/>
        <v>0.000000002061153622</v>
      </c>
      <c r="E12" s="41">
        <f t="shared" si="2"/>
        <v>0.01499999989</v>
      </c>
      <c r="F12" s="41">
        <f t="shared" si="3"/>
        <v>0.02999999977</v>
      </c>
    </row>
    <row r="13">
      <c r="B13" s="43">
        <f>8/100</f>
        <v>0.08</v>
      </c>
      <c r="C13" s="43">
        <v>1.5</v>
      </c>
      <c r="D13" s="41">
        <f t="shared" si="1"/>
        <v>0</v>
      </c>
      <c r="E13" s="41">
        <f t="shared" si="2"/>
        <v>-0.02666666667</v>
      </c>
      <c r="F13" s="41">
        <f t="shared" si="3"/>
        <v>-0.05333333333</v>
      </c>
    </row>
    <row r="14">
      <c r="B14" s="43">
        <f>10/100</f>
        <v>0.1</v>
      </c>
      <c r="C14" s="43">
        <v>2.0</v>
      </c>
      <c r="D14" s="41">
        <f t="shared" si="1"/>
        <v>0</v>
      </c>
      <c r="E14" s="41">
        <f t="shared" si="2"/>
        <v>-0.0475</v>
      </c>
      <c r="F14" s="41">
        <f t="shared" si="3"/>
        <v>-0.095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9" t="str">
        <f>ModelSheet=NelsonSiegel!A:Z</f>
        <v>#NAME?</v>
      </c>
    </row>
    <row r="2">
      <c r="A2" s="39" t="str">
        <f>OpenSolver_AdjNum=1</f>
        <v>#NAME?</v>
      </c>
    </row>
    <row r="3">
      <c r="A3" s="39" t="str">
        <f>OpenSolver_ChosenSolver=GLPK</f>
        <v>#NAME?</v>
      </c>
    </row>
    <row r="4">
      <c r="A4" s="39" t="str">
        <f>OpenSolver_FastBuild=0</f>
        <v>#NAME?</v>
      </c>
    </row>
    <row r="5">
      <c r="A5" s="39" t="str">
        <f>OpenSolver_LinearityCheck=1</f>
        <v>#NAME?</v>
      </c>
    </row>
    <row r="6">
      <c r="A6" s="39" t="str">
        <f>solver_adj=NelsonSiegel!B2:B5</f>
        <v>#NAME?</v>
      </c>
    </row>
    <row r="7">
      <c r="A7" s="39" t="str">
        <f>solver_neg=1</f>
        <v>#NAME?</v>
      </c>
    </row>
    <row r="8">
      <c r="A8" s="39" t="str">
        <f>solver_num=0</f>
        <v>#NAME?</v>
      </c>
    </row>
    <row r="9">
      <c r="A9" s="39" t="str">
        <f>solver_opt=NelsonSiegel!E6</f>
        <v>#NAME?</v>
      </c>
    </row>
    <row r="10">
      <c r="A10" s="39" t="str">
        <f>solver_sho=1</f>
        <v>#NAME?</v>
      </c>
    </row>
    <row r="11">
      <c r="A11" s="39" t="str">
        <f>solver_typ=1</f>
        <v>#NAME?</v>
      </c>
    </row>
    <row r="12">
      <c r="A12" s="39" t="str">
        <f>solver_val=1</f>
        <v>#NAME?</v>
      </c>
    </row>
  </sheetData>
  <drawing r:id="rId1"/>
</worksheet>
</file>