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codeName="ThisWorkbook" hidePivotFieldList="1" defaultThemeVersion="153222"/>
  <mc:AlternateContent xmlns:mc="http://schemas.openxmlformats.org/markup-compatibility/2006">
    <mc:Choice Requires="x15">
      <x15ac:absPath xmlns:x15ac="http://schemas.microsoft.com/office/spreadsheetml/2010/11/ac" url="C:\Users\John Berry\Desktop\"/>
    </mc:Choice>
  </mc:AlternateContent>
  <bookViews>
    <workbookView xWindow="0" yWindow="0" windowWidth="28800" windowHeight="11628" tabRatio="790" activeTab="1"/>
  </bookViews>
  <sheets>
    <sheet name="LOOKUPS" sheetId="2" r:id="rId1"/>
    <sheet name="Quail Run - UW" sheetId="14" r:id="rId2"/>
    <sheet name="Sales Comps - Trimmed" sheetId="33" r:id="rId3"/>
    <sheet name="Sales Comps - Full" sheetId="34" r:id="rId4"/>
    <sheet name="Net Proceeds" sheetId="32" r:id="rId5"/>
    <sheet name="Quail Run - LABOR" sheetId="31" r:id="rId6"/>
    <sheet name="Quail Run" sheetId="29" r:id="rId7"/>
    <sheet name="Census" sheetId="30" r:id="rId8"/>
  </sheets>
  <externalReferences>
    <externalReference r:id="rId9"/>
    <externalReference r:id="rId10"/>
  </externalReferences>
  <definedNames>
    <definedName name="_F" localSheetId="3" hidden="1">#REF!</definedName>
    <definedName name="_F" localSheetId="2" hidden="1">#REF!</definedName>
    <definedName name="_F" hidden="1">#REF!</definedName>
    <definedName name="_Fill" localSheetId="3" hidden="1">#REF!</definedName>
    <definedName name="_Fill" localSheetId="2" hidden="1">#REF!</definedName>
    <definedName name="_Fill" hidden="1">#REF!</definedName>
    <definedName name="_xlnm._FilterDatabase" localSheetId="0" hidden="1">LOOKUPS!$I$2:$J$94</definedName>
    <definedName name="_Key1" localSheetId="3" hidden="1">#REF!</definedName>
    <definedName name="_Key1" localSheetId="2" hidden="1">#REF!</definedName>
    <definedName name="_Key1" hidden="1">#REF!</definedName>
    <definedName name="_Key2" localSheetId="3" hidden="1">#REF!</definedName>
    <definedName name="_Key2" localSheetId="2" hidden="1">#REF!</definedName>
    <definedName name="_Key2" hidden="1">#REF!</definedName>
    <definedName name="_Order1" hidden="1">0</definedName>
    <definedName name="_Order2" hidden="1">255</definedName>
    <definedName name="_Sort" localSheetId="3" hidden="1">#REF!</definedName>
    <definedName name="_Sort" localSheetId="2" hidden="1">#REF!</definedName>
    <definedName name="_Sort" hidden="1">#REF!</definedName>
    <definedName name="a" localSheetId="3" hidden="1">{"rtn",#N/A,FALSE,"RTN";"tables",#N/A,FALSE,"RTN";"cf",#N/A,FALSE,"CF";"stats",#N/A,FALSE,"Stats";"prop",#N/A,FALSE,"Prop"}</definedName>
    <definedName name="a" localSheetId="2" hidden="1">{"rtn",#N/A,FALSE,"RTN";"tables",#N/A,FALSE,"RTN";"cf",#N/A,FALSE,"CF";"stats",#N/A,FALSE,"Stats";"prop",#N/A,FALSE,"Prop"}</definedName>
    <definedName name="a" hidden="1">{"rtn",#N/A,FALSE,"RTN";"tables",#N/A,FALSE,"RTN";"cf",#N/A,FALSE,"CF";"stats",#N/A,FALSE,"Stats";"prop",#N/A,FALSE,"Prop"}</definedName>
    <definedName name="aaaaa" localSheetId="3" hidden="1">{"rtn",#N/A,FALSE,"RTN";"tables",#N/A,FALSE,"RTN";"cf",#N/A,FALSE,"CF";"stats",#N/A,FALSE,"Stats";"prop",#N/A,FALSE,"Prop"}</definedName>
    <definedName name="aaaaa" localSheetId="2" hidden="1">{"rtn",#N/A,FALSE,"RTN";"tables",#N/A,FALSE,"RTN";"cf",#N/A,FALSE,"CF";"stats",#N/A,FALSE,"Stats";"prop",#N/A,FALSE,"Prop"}</definedName>
    <definedName name="aaaaa" hidden="1">{"rtn",#N/A,FALSE,"RTN";"tables",#N/A,FALSE,"RTN";"cf",#N/A,FALSE,"CF";"stats",#N/A,FALSE,"Stats";"prop",#N/A,FALSE,"Prop"}</definedName>
    <definedName name="aaaaaaa" localSheetId="3" hidden="1">{"Outflow 1",#N/A,FALSE,"Outflows-Inflows";"Outflow 2",#N/A,FALSE,"Outflows-Inflows";"Inflow 1",#N/A,FALSE,"Outflows-Inflows";"Inflow 2",#N/A,FALSE,"Outflows-Inflows"}</definedName>
    <definedName name="aaaaaaa" localSheetId="2" hidden="1">{"Outflow 1",#N/A,FALSE,"Outflows-Inflows";"Outflow 2",#N/A,FALSE,"Outflows-Inflows";"Inflow 1",#N/A,FALSE,"Outflows-Inflows";"Inflow 2",#N/A,FALSE,"Outflows-Inflows"}</definedName>
    <definedName name="aaaaaaa" hidden="1">{"Outflow 1",#N/A,FALSE,"Outflows-Inflows";"Outflow 2",#N/A,FALSE,"Outflows-Inflows";"Inflow 1",#N/A,FALSE,"Outflows-Inflows";"Inflow 2",#N/A,FALSE,"Outflows-Inflows"}</definedName>
    <definedName name="aaaaaaaaaaaaaa" localSheetId="3" hidden="1">{"rtn",#N/A,FALSE,"RTN";"tables",#N/A,FALSE,"RTN";"cf",#N/A,FALSE,"CF";"stats",#N/A,FALSE,"Stats";"prop",#N/A,FALSE,"Prop"}</definedName>
    <definedName name="aaaaaaaaaaaaaa" localSheetId="2" hidden="1">{"rtn",#N/A,FALSE,"RTN";"tables",#N/A,FALSE,"RTN";"cf",#N/A,FALSE,"CF";"stats",#N/A,FALSE,"Stats";"prop",#N/A,FALSE,"Prop"}</definedName>
    <definedName name="aaaaaaaaaaaaaa" hidden="1">{"rtn",#N/A,FALSE,"RTN";"tables",#N/A,FALSE,"RTN";"cf",#N/A,FALSE,"CF";"stats",#N/A,FALSE,"Stats";"prop",#N/A,FALSE,"Prop"}</definedName>
    <definedName name="aaaaaaaaaaaaaaaa" localSheetId="3" hidden="1">{"Outflow 1",#N/A,FALSE,"Outflows-Inflows";"Outflow 2",#N/A,FALSE,"Outflows-Inflows";"Inflow 1",#N/A,FALSE,"Outflows-Inflows";"Inflow 2",#N/A,FALSE,"Outflows-Inflows"}</definedName>
    <definedName name="aaaaaaaaaaaaaaaa" localSheetId="2" hidden="1">{"Outflow 1",#N/A,FALSE,"Outflows-Inflows";"Outflow 2",#N/A,FALSE,"Outflows-Inflows";"Inflow 1",#N/A,FALSE,"Outflows-Inflows";"Inflow 2",#N/A,FALSE,"Outflows-Inflows"}</definedName>
    <definedName name="aaaaaaaaaaaaaaaa" hidden="1">{"Outflow 1",#N/A,FALSE,"Outflows-Inflows";"Outflow 2",#N/A,FALSE,"Outflows-Inflows";"Inflow 1",#N/A,FALSE,"Outflows-Inflows";"Inflow 2",#N/A,FALSE,"Outflows-Inflows"}</definedName>
    <definedName name="aaaaaaaaaaaaaaaaaa" localSheetId="3" hidden="1">{"Outflow 1",#N/A,FALSE,"Outflows-Inflows";"Outflow 2",#N/A,FALSE,"Outflows-Inflows";"Inflow 1",#N/A,FALSE,"Outflows-Inflows";"Inflow 2",#N/A,FALSE,"Outflows-Inflows"}</definedName>
    <definedName name="aaaaaaaaaaaaaaaaaa" localSheetId="2" hidden="1">{"Outflow 1",#N/A,FALSE,"Outflows-Inflows";"Outflow 2",#N/A,FALSE,"Outflows-Inflows";"Inflow 1",#N/A,FALSE,"Outflows-Inflows";"Inflow 2",#N/A,FALSE,"Outflows-Inflows"}</definedName>
    <definedName name="aaaaaaaaaaaaaaaaaa" hidden="1">{"Outflow 1",#N/A,FALSE,"Outflows-Inflows";"Outflow 2",#N/A,FALSE,"Outflows-Inflows";"Inflow 1",#N/A,FALSE,"Outflows-Inflows";"Inflow 2",#N/A,FALSE,"Outflows-Inflows"}</definedName>
    <definedName name="aaaaaaaaaaaaaaaaaaaaaaa" localSheetId="3" hidden="1">{"Outflow 1",#N/A,FALSE,"Outflows-Inflows";"Outflow 2",#N/A,FALSE,"Outflows-Inflows";"Inflow 1",#N/A,FALSE,"Outflows-Inflows";"Inflow 2",#N/A,FALSE,"Outflows-Inflows"}</definedName>
    <definedName name="aaaaaaaaaaaaaaaaaaaaaaa" localSheetId="2" hidden="1">{"Outflow 1",#N/A,FALSE,"Outflows-Inflows";"Outflow 2",#N/A,FALSE,"Outflows-Inflows";"Inflow 1",#N/A,FALSE,"Outflows-Inflows";"Inflow 2",#N/A,FALSE,"Outflows-Inflows"}</definedName>
    <definedName name="aaaaaaaaaaaaaaaaaaaaaaa" hidden="1">{"Outflow 1",#N/A,FALSE,"Outflows-Inflows";"Outflow 2",#N/A,FALSE,"Outflows-Inflows";"Inflow 1",#N/A,FALSE,"Outflows-Inflows";"Inflow 2",#N/A,FALSE,"Outflows-Inflows"}</definedName>
    <definedName name="aasdfa" localSheetId="3" hidden="1">{"rtn",#N/A,FALSE,"RTN";"tables",#N/A,FALSE,"RTN";"cf",#N/A,FALSE,"CF";"stats",#N/A,FALSE,"Stats";"prop",#N/A,FALSE,"Prop"}</definedName>
    <definedName name="aasdfa" localSheetId="2" hidden="1">{"rtn",#N/A,FALSE,"RTN";"tables",#N/A,FALSE,"RTN";"cf",#N/A,FALSE,"CF";"stats",#N/A,FALSE,"Stats";"prop",#N/A,FALSE,"Prop"}</definedName>
    <definedName name="aasdfa" hidden="1">{"rtn",#N/A,FALSE,"RTN";"tables",#N/A,FALSE,"RTN";"cf",#N/A,FALSE,"CF";"stats",#N/A,FALSE,"Stats";"prop",#N/A,FALSE,"Prop"}</definedName>
    <definedName name="aasdfab" localSheetId="3" hidden="1">{"rtn",#N/A,FALSE,"RTN";"tables",#N/A,FALSE,"RTN";"cf",#N/A,FALSE,"CF";"stats",#N/A,FALSE,"Stats";"prop",#N/A,FALSE,"Prop"}</definedName>
    <definedName name="aasdfab" localSheetId="2" hidden="1">{"rtn",#N/A,FALSE,"RTN";"tables",#N/A,FALSE,"RTN";"cf",#N/A,FALSE,"CF";"stats",#N/A,FALSE,"Stats";"prop",#N/A,FALSE,"Prop"}</definedName>
    <definedName name="aasdfab" hidden="1">{"rtn",#N/A,FALSE,"RTN";"tables",#N/A,FALSE,"RTN";"cf",#N/A,FALSE,"CF";"stats",#N/A,FALSE,"Stats";"prop",#N/A,FALSE,"Prop"}</definedName>
    <definedName name="ab" localSheetId="3" hidden="1">{"rtn",#N/A,FALSE,"RTN";"tables",#N/A,FALSE,"RTN";"cf",#N/A,FALSE,"CF";"stats",#N/A,FALSE,"Stats";"prop",#N/A,FALSE,"Prop"}</definedName>
    <definedName name="ab" localSheetId="2" hidden="1">{"rtn",#N/A,FALSE,"RTN";"tables",#N/A,FALSE,"RTN";"cf",#N/A,FALSE,"CF";"stats",#N/A,FALSE,"Stats";"prop",#N/A,FALSE,"Prop"}</definedName>
    <definedName name="ab" hidden="1">{"rtn",#N/A,FALSE,"RTN";"tables",#N/A,FALSE,"RTN";"cf",#N/A,FALSE,"CF";"stats",#N/A,FALSE,"Stats";"prop",#N/A,FALSE,"Prop"}</definedName>
    <definedName name="adfsfadfasf" localSheetId="3" hidden="1">{"Outflow 1",#N/A,FALSE,"Outflows-Inflows";"Outflow 2",#N/A,FALSE,"Outflows-Inflows";"Inflow 1",#N/A,FALSE,"Outflows-Inflows";"Inflow 2",#N/A,FALSE,"Outflows-Inflows"}</definedName>
    <definedName name="adfsfadfasf" localSheetId="2" hidden="1">{"Outflow 1",#N/A,FALSE,"Outflows-Inflows";"Outflow 2",#N/A,FALSE,"Outflows-Inflows";"Inflow 1",#N/A,FALSE,"Outflows-Inflows";"Inflow 2",#N/A,FALSE,"Outflows-Inflows"}</definedName>
    <definedName name="adfsfadfasf" hidden="1">{"Outflow 1",#N/A,FALSE,"Outflows-Inflows";"Outflow 2",#N/A,FALSE,"Outflows-Inflows";"Inflow 1",#N/A,FALSE,"Outflows-Inflows";"Inflow 2",#N/A,FALSE,"Outflows-Inflows"}</definedName>
    <definedName name="ADVISOR_FEE">'Net Proceeds'!$I$4</definedName>
    <definedName name="AL_CENSUS_2014">Census!$F$14</definedName>
    <definedName name="AL_CENSUS_2015">Census!$B$19</definedName>
    <definedName name="AL_CENSUS_2016">Census!$B$14</definedName>
    <definedName name="ALZ_CENSUS_2014">Census!$F$13</definedName>
    <definedName name="ALZ_CENSUS_2015">Census!$B$18</definedName>
    <definedName name="ALZ_CENSUS_2016">Census!$B$13</definedName>
    <definedName name="as" localSheetId="3" hidden="1">{"Outflow 1",#N/A,FALSE,"Outflows-Inflows";"Outflow 2",#N/A,FALSE,"Outflows-Inflows";"Inflow 1",#N/A,FALSE,"Outflows-Inflows";"Inflow 2",#N/A,FALSE,"Outflows-Inflows"}</definedName>
    <definedName name="as" localSheetId="2" hidden="1">{"Outflow 1",#N/A,FALSE,"Outflows-Inflows";"Outflow 2",#N/A,FALSE,"Outflows-Inflows";"Inflow 1",#N/A,FALSE,"Outflows-Inflows";"Inflow 2",#N/A,FALSE,"Outflows-Inflows"}</definedName>
    <definedName name="as" hidden="1">{"Outflow 1",#N/A,FALSE,"Outflows-Inflows";"Outflow 2",#N/A,FALSE,"Outflows-Inflows";"Inflow 1",#N/A,FALSE,"Outflows-Inflows";"Inflow 2",#N/A,FALSE,"Outflows-Inflows"}</definedName>
    <definedName name="asdfas" localSheetId="3" hidden="1">{"print 1.6",#N/A,FALSE,"Sheet1";"print 2.6",#N/A,FALSE,"Sheet1";"print 3.6",#N/A,FALSE,"Sheet1";"print 4.6",#N/A,FALSE,"Sheet1";"print 5.6",#N/A,FALSE,"Sheet1";"print 6.6",#N/A,FALSE,"Sheet1"}</definedName>
    <definedName name="asdfas" localSheetId="2" hidden="1">{"print 1.6",#N/A,FALSE,"Sheet1";"print 2.6",#N/A,FALSE,"Sheet1";"print 3.6",#N/A,FALSE,"Sheet1";"print 4.6",#N/A,FALSE,"Sheet1";"print 5.6",#N/A,FALSE,"Sheet1";"print 6.6",#N/A,FALSE,"Sheet1"}</definedName>
    <definedName name="asdfas" hidden="1">{"print 1.6",#N/A,FALSE,"Sheet1";"print 2.6",#N/A,FALSE,"Sheet1";"print 3.6",#N/A,FALSE,"Sheet1";"print 4.6",#N/A,FALSE,"Sheet1";"print 5.6",#N/A,FALSE,"Sheet1";"print 6.6",#N/A,FALSE,"Sheet1"}</definedName>
    <definedName name="asdfasaa" localSheetId="3" hidden="1">{"print 1.6",#N/A,FALSE,"Sheet1";"print 2.6",#N/A,FALSE,"Sheet1";"print 3.6",#N/A,FALSE,"Sheet1";"print 4.6",#N/A,FALSE,"Sheet1";"print 5.6",#N/A,FALSE,"Sheet1";"print 6.6",#N/A,FALSE,"Sheet1"}</definedName>
    <definedName name="asdfasaa" localSheetId="2" hidden="1">{"print 1.6",#N/A,FALSE,"Sheet1";"print 2.6",#N/A,FALSE,"Sheet1";"print 3.6",#N/A,FALSE,"Sheet1";"print 4.6",#N/A,FALSE,"Sheet1";"print 5.6",#N/A,FALSE,"Sheet1";"print 6.6",#N/A,FALSE,"Sheet1"}</definedName>
    <definedName name="asdfasaa" hidden="1">{"print 1.6",#N/A,FALSE,"Sheet1";"print 2.6",#N/A,FALSE,"Sheet1";"print 3.6",#N/A,FALSE,"Sheet1";"print 4.6",#N/A,FALSE,"Sheet1";"print 5.6",#N/A,FALSE,"Sheet1";"print 6.6",#N/A,FALSE,"Sheet1"}</definedName>
    <definedName name="asdfasdf" localSheetId="3" hidden="1">{"rtn",#N/A,FALSE,"RTN";"tables",#N/A,FALSE,"RTN";"cf",#N/A,FALSE,"CF";"stats",#N/A,FALSE,"Stats";"prop",#N/A,FALSE,"Prop"}</definedName>
    <definedName name="asdfasdf" localSheetId="2" hidden="1">{"rtn",#N/A,FALSE,"RTN";"tables",#N/A,FALSE,"RTN";"cf",#N/A,FALSE,"CF";"stats",#N/A,FALSE,"Stats";"prop",#N/A,FALSE,"Prop"}</definedName>
    <definedName name="asdfasdf" hidden="1">{"rtn",#N/A,FALSE,"RTN";"tables",#N/A,FALSE,"RTN";"cf",#N/A,FALSE,"CF";"stats",#N/A,FALSE,"Stats";"prop",#N/A,FALSE,"Prop"}</definedName>
    <definedName name="ass" localSheetId="3" hidden="1">{"print 1.6",#N/A,FALSE,"Sheet1";"print 2.6",#N/A,FALSE,"Sheet1";"print 3.6",#N/A,FALSE,"Sheet1";"print 4.6",#N/A,FALSE,"Sheet1";"print 5.6",#N/A,FALSE,"Sheet1";"print 6.6",#N/A,FALSE,"Sheet1"}</definedName>
    <definedName name="ass" localSheetId="2" hidden="1">{"print 1.6",#N/A,FALSE,"Sheet1";"print 2.6",#N/A,FALSE,"Sheet1";"print 3.6",#N/A,FALSE,"Sheet1";"print 4.6",#N/A,FALSE,"Sheet1";"print 5.6",#N/A,FALSE,"Sheet1";"print 6.6",#N/A,FALSE,"Sheet1"}</definedName>
    <definedName name="ass" hidden="1">{"print 1.6",#N/A,FALSE,"Sheet1";"print 2.6",#N/A,FALSE,"Sheet1";"print 3.6",#N/A,FALSE,"Sheet1";"print 4.6",#N/A,FALSE,"Sheet1";"print 5.6",#N/A,FALSE,"Sheet1";"print 6.6",#N/A,FALSE,"Sheet1"}</definedName>
    <definedName name="asss" localSheetId="3" hidden="1">{"rtn",#N/A,FALSE,"RTN";"tables",#N/A,FALSE,"RTN";"cf",#N/A,FALSE,"CF";"stats",#N/A,FALSE,"Stats";"prop",#N/A,FALSE,"Prop"}</definedName>
    <definedName name="asss" localSheetId="2" hidden="1">{"rtn",#N/A,FALSE,"RTN";"tables",#N/A,FALSE,"RTN";"cf",#N/A,FALSE,"CF";"stats",#N/A,FALSE,"Stats";"prop",#N/A,FALSE,"Prop"}</definedName>
    <definedName name="asss" hidden="1">{"rtn",#N/A,FALSE,"RTN";"tables",#N/A,FALSE,"RTN";"cf",#N/A,FALSE,"CF";"stats",#N/A,FALSE,"Stats";"prop",#N/A,FALSE,"Prop"}</definedName>
    <definedName name="bbbb" localSheetId="3" hidden="1">{"Outflow 1",#N/A,FALSE,"Outflows-Inflows";"Outflow 2",#N/A,FALSE,"Outflows-Inflows";"Inflow 1",#N/A,FALSE,"Outflows-Inflows";"Inflow 2",#N/A,FALSE,"Outflows-Inflows"}</definedName>
    <definedName name="bbbb" localSheetId="2" hidden="1">{"Outflow 1",#N/A,FALSE,"Outflows-Inflows";"Outflow 2",#N/A,FALSE,"Outflows-Inflows";"Inflow 1",#N/A,FALSE,"Outflows-Inflows";"Inflow 2",#N/A,FALSE,"Outflows-Inflows"}</definedName>
    <definedName name="bbbb" hidden="1">{"Outflow 1",#N/A,FALSE,"Outflows-Inflows";"Outflow 2",#N/A,FALSE,"Outflows-Inflows";"Inflow 1",#N/A,FALSE,"Outflows-Inflows";"Inflow 2",#N/A,FALSE,"Outflows-Inflows"}</definedName>
    <definedName name="bbbbbb" localSheetId="3" hidden="1">{"rtn",#N/A,FALSE,"RTN";"tables",#N/A,FALSE,"RTN";"cf",#N/A,FALSE,"CF";"stats",#N/A,FALSE,"Stats";"prop",#N/A,FALSE,"Prop"}</definedName>
    <definedName name="bbbbbb" localSheetId="2" hidden="1">{"rtn",#N/A,FALSE,"RTN";"tables",#N/A,FALSE,"RTN";"cf",#N/A,FALSE,"CF";"stats",#N/A,FALSE,"Stats";"prop",#N/A,FALSE,"Prop"}</definedName>
    <definedName name="bbbbbb" hidden="1">{"rtn",#N/A,FALSE,"RTN";"tables",#N/A,FALSE,"RTN";"cf",#N/A,FALSE,"CF";"stats",#N/A,FALSE,"Stats";"prop",#N/A,FALSE,"Prop"}</definedName>
    <definedName name="bbbbbbb" localSheetId="3" hidden="1">{"Outflow 1",#N/A,FALSE,"Outflows-Inflows";"Outflow 2",#N/A,FALSE,"Outflows-Inflows";"Inflow 1",#N/A,FALSE,"Outflows-Inflows";"Inflow 2",#N/A,FALSE,"Outflows-Inflows"}</definedName>
    <definedName name="bbbbbbb" localSheetId="2" hidden="1">{"Outflow 1",#N/A,FALSE,"Outflows-Inflows";"Outflow 2",#N/A,FALSE,"Outflows-Inflows";"Inflow 1",#N/A,FALSE,"Outflows-Inflows";"Inflow 2",#N/A,FALSE,"Outflows-Inflows"}</definedName>
    <definedName name="bbbbbbb" hidden="1">{"Outflow 1",#N/A,FALSE,"Outflows-Inflows";"Outflow 2",#N/A,FALSE,"Outflows-Inflows";"Inflow 1",#N/A,FALSE,"Outflows-Inflows";"Inflow 2",#N/A,FALSE,"Outflows-Inflows"}</definedName>
    <definedName name="Bullshit" localSheetId="3" hidden="1">{"Outflow 1",#N/A,FALSE,"Outflows-Inflows";"Outflow 2",#N/A,FALSE,"Outflows-Inflows";"Inflow 1",#N/A,FALSE,"Outflows-Inflows";"Inflow 2",#N/A,FALSE,"Outflows-Inflows"}</definedName>
    <definedName name="Bullshit" localSheetId="2" hidden="1">{"Outflow 1",#N/A,FALSE,"Outflows-Inflows";"Outflow 2",#N/A,FALSE,"Outflows-Inflows";"Inflow 1",#N/A,FALSE,"Outflows-Inflows";"Inflow 2",#N/A,FALSE,"Outflows-Inflows"}</definedName>
    <definedName name="Bullshit" hidden="1">{"Outflow 1",#N/A,FALSE,"Outflows-Inflows";"Outflow 2",#N/A,FALSE,"Outflows-Inflows";"Inflow 1",#N/A,FALSE,"Outflows-Inflows";"Inflow 2",#N/A,FALSE,"Outflows-Inflows"}</definedName>
    <definedName name="ccccccc" localSheetId="3" hidden="1">{"rtn",#N/A,FALSE,"RTN";"tables",#N/A,FALSE,"RTN";"cf",#N/A,FALSE,"CF";"stats",#N/A,FALSE,"Stats";"prop",#N/A,FALSE,"Prop"}</definedName>
    <definedName name="ccccccc" localSheetId="2" hidden="1">{"rtn",#N/A,FALSE,"RTN";"tables",#N/A,FALSE,"RTN";"cf",#N/A,FALSE,"CF";"stats",#N/A,FALSE,"Stats";"prop",#N/A,FALSE,"Prop"}</definedName>
    <definedName name="ccccccc" hidden="1">{"rtn",#N/A,FALSE,"RTN";"tables",#N/A,FALSE,"RTN";"cf",#N/A,FALSE,"CF";"stats",#N/A,FALSE,"Stats";"prop",#N/A,FALSE,"Prop"}</definedName>
    <definedName name="cccccccccccc" localSheetId="3" hidden="1">{"Outflow 1",#N/A,FALSE,"Outflows-Inflows";"Outflow 2",#N/A,FALSE,"Outflows-Inflows";"Inflow 1",#N/A,FALSE,"Outflows-Inflows";"Inflow 2",#N/A,FALSE,"Outflows-Inflows"}</definedName>
    <definedName name="cccccccccccc" localSheetId="2" hidden="1">{"Outflow 1",#N/A,FALSE,"Outflows-Inflows";"Outflow 2",#N/A,FALSE,"Outflows-Inflows";"Inflow 1",#N/A,FALSE,"Outflows-Inflows";"Inflow 2",#N/A,FALSE,"Outflows-Inflows"}</definedName>
    <definedName name="cccccccccccc" hidden="1">{"Outflow 1",#N/A,FALSE,"Outflows-Inflows";"Outflow 2",#N/A,FALSE,"Outflows-Inflows";"Inflow 1",#N/A,FALSE,"Outflows-Inflows";"Inflow 2",#N/A,FALSE,"Outflows-Inflows"}</definedName>
    <definedName name="CENSUS_LOOKUP">LOOKUPS!$C$3:$D$12</definedName>
    <definedName name="DATA_01" localSheetId="3" hidden="1">#REF!</definedName>
    <definedName name="DATA_01" localSheetId="2" hidden="1">#REF!</definedName>
    <definedName name="DATA_01" hidden="1">#REF!</definedName>
    <definedName name="Debt" localSheetId="3" hidden="1">{"print 1.6",#N/A,FALSE,"Sheet1";"print 2.6",#N/A,FALSE,"Sheet1";"print 3.6",#N/A,FALSE,"Sheet1";"print 4.6",#N/A,FALSE,"Sheet1";"print 5.6",#N/A,FALSE,"Sheet1";"print 6.6",#N/A,FALSE,"Sheet1"}</definedName>
    <definedName name="Debt" localSheetId="2" hidden="1">{"print 1.6",#N/A,FALSE,"Sheet1";"print 2.6",#N/A,FALSE,"Sheet1";"print 3.6",#N/A,FALSE,"Sheet1";"print 4.6",#N/A,FALSE,"Sheet1";"print 5.6",#N/A,FALSE,"Sheet1";"print 6.6",#N/A,FALSE,"Sheet1"}</definedName>
    <definedName name="Debt" hidden="1">{"print 1.6",#N/A,FALSE,"Sheet1";"print 2.6",#N/A,FALSE,"Sheet1";"print 3.6",#N/A,FALSE,"Sheet1";"print 4.6",#N/A,FALSE,"Sheet1";"print 5.6",#N/A,FALSE,"Sheet1";"print 6.6",#N/A,FALSE,"Sheet1"}</definedName>
    <definedName name="DIETARY_PLUG">'Quail Run - UW'!$AE$18</definedName>
    <definedName name="EB_PERC">LOOKUPS!$T$6</definedName>
    <definedName name="EXP_LOOKUP">LOOKUPS!$I$3:$L$189</definedName>
    <definedName name="Hello" localSheetId="3" hidden="1">{"rtn",#N/A,FALSE,"RTN";"tables",#N/A,FALSE,"RTN";"cf",#N/A,FALSE,"CF";"stats",#N/A,FALSE,"Stats";"prop",#N/A,FALSE,"Prop"}</definedName>
    <definedName name="Hello" localSheetId="2" hidden="1">{"rtn",#N/A,FALSE,"RTN";"tables",#N/A,FALSE,"RTN";"cf",#N/A,FALSE,"CF";"stats",#N/A,FALSE,"Stats";"prop",#N/A,FALSE,"Prop"}</definedName>
    <definedName name="Hello" hidden="1">{"rtn",#N/A,FALSE,"RTN";"tables",#N/A,FALSE,"RTN";"cf",#N/A,FALSE,"CF";"stats",#N/A,FALSE,"Stats";"prop",#N/A,FALSE,"Prop"}</definedName>
    <definedName name="heryyw" localSheetId="3" hidden="1">{"Outflow 1",#N/A,FALSE,"Outflows-Inflows";"Outflow 2",#N/A,FALSE,"Outflows-Inflows";"Inflow 1",#N/A,FALSE,"Outflows-Inflows";"Inflow 2",#N/A,FALSE,"Outflows-Inflows"}</definedName>
    <definedName name="heryyw" localSheetId="2" hidden="1">{"Outflow 1",#N/A,FALSE,"Outflows-Inflows";"Outflow 2",#N/A,FALSE,"Outflows-Inflows";"Inflow 1",#N/A,FALSE,"Outflows-Inflows";"Inflow 2",#N/A,FALSE,"Outflows-Inflows"}</definedName>
    <definedName name="heryyw" hidden="1">{"Outflow 1",#N/A,FALSE,"Outflows-Inflows";"Outflow 2",#N/A,FALSE,"Outflows-Inflows";"Inflow 1",#N/A,FALSE,"Outflows-Inflows";"Inflow 2",#N/A,FALSE,"Outflows-Inflows"}</definedName>
    <definedName name="hhh" localSheetId="3" hidden="1">{"Outflow 1",#N/A,FALSE,"Outflows-Inflows";"Outflow 2",#N/A,FALSE,"Outflows-Inflows";"Inflow 1",#N/A,FALSE,"Outflows-Inflows";"Inflow 2",#N/A,FALSE,"Outflows-Inflows"}</definedName>
    <definedName name="hhh" localSheetId="2" hidden="1">{"Outflow 1",#N/A,FALSE,"Outflows-Inflows";"Outflow 2",#N/A,FALSE,"Outflows-Inflows";"Inflow 1",#N/A,FALSE,"Outflows-Inflows";"Inflow 2",#N/A,FALSE,"Outflows-Inflows"}</definedName>
    <definedName name="hhh" hidden="1">{"Outflow 1",#N/A,FALSE,"Outflows-Inflows";"Outflow 2",#N/A,FALSE,"Outflows-Inflows";"Inflow 1",#N/A,FALSE,"Outflows-Inflows";"Inflow 2",#N/A,FALSE,"Outflows-Inflows"}</definedName>
    <definedName name="INCREASED_MARKETING">LOOKUPS!$A$8</definedName>
    <definedName name="INFLATION">'Quail Run - UW'!$AE$19</definedName>
    <definedName name="IntroPrintArea" localSheetId="3" hidden="1">#REF!</definedName>
    <definedName name="IntroPrintArea" localSheetId="2" hidden="1">#REF!</definedName>
    <definedName name="IntroPrintArea" hidden="1">#REF!</definedName>
    <definedName name="IQ_ADDIN" hidden="1">"AUTO"</definedName>
    <definedName name="IQ_CH" hidden="1">110000</definedName>
    <definedName name="IQ_CLOSEPRICE" hidden="1">"IQ_CLOSEPRICE"</definedName>
    <definedName name="IQ_CQ" hidden="1">5000</definedName>
    <definedName name="IQ_CY" hidden="1">10000</definedName>
    <definedName name="IQ_EBIT_10K" hidden="1">"EBIT_10K"</definedName>
    <definedName name="IQ_EBIT_10Q" hidden="1">"EBIT_10Q"</definedName>
    <definedName name="IQ_EBIT_10Q1" hidden="1">"EBIT_10Q1"</definedName>
    <definedName name="IQ_EBITDA_10K" hidden="1">"EBITDA_10K"</definedName>
    <definedName name="IQ_EBITDA_10Q" hidden="1">"EBITDA_10Q"</definedName>
    <definedName name="IQ_EBITDA_10Q1" hidden="1">"EBITDA_10Q1"</definedName>
    <definedName name="IQ_EPS_10K" hidden="1">"EPS_10K"</definedName>
    <definedName name="IQ_EPS_10Q" hidden="1">"EPS_10Q"</definedName>
    <definedName name="IQ_EPS_10Q1" hidden="1">"EPS_10Q1"</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FY_DATE" hidden="1">"FY_DATE"</definedName>
    <definedName name="IQ_HIGHPRICE" hidden="1">"IQ_HIGHPRICE"</definedName>
    <definedName name="IQ_INTEREST_INC_10K" hidden="1">"INTEREST_INC_10K"</definedName>
    <definedName name="IQ_INTEREST_INC_10Q" hidden="1">"INTEREST_INC_10Q"</definedName>
    <definedName name="IQ_INTEREST_INC_10Q1" hidden="1">"INTEREST_INC_10Q1"</definedName>
    <definedName name="IQ_LASTSALEPRICE" hidden="1">"IQ_LASTSALEPRICE"</definedName>
    <definedName name="IQ_LATEST" hidden="1">"1"</definedName>
    <definedName name="IQ_LATESTK" hidden="1">"1000"</definedName>
    <definedName name="IQ_LATESTKFR" hidden="1">"50"</definedName>
    <definedName name="IQ_LATESTQ" hidden="1">"500"</definedName>
    <definedName name="IQ_LATESTQFR" hidden="1">"100"</definedName>
    <definedName name="IQ_LOWPRICE" hidden="1">"IQ_LOWPRICE"</definedName>
    <definedName name="IQ_LTM" hidden="1">2000</definedName>
    <definedName name="IQ_LTM_DATE" hidden="1">"LTM_DATE"</definedName>
    <definedName name="IQ_LTMMONTH" hidden="1">120000</definedName>
    <definedName name="IQ_MARKETCAP" hidden="1">"IQ_MARKETCAP"</definedName>
    <definedName name="IQ_MONTH" hidden="1">15000</definedName>
    <definedName name="IQ_NAMES_REVISION_DATE_" hidden="1">40415.6283101852</definedName>
    <definedName name="IQ_NET_INC_10K" hidden="1">"NET_INC_10K"</definedName>
    <definedName name="IQ_NET_INC_10Q" hidden="1">"NET_INC_10Q"</definedName>
    <definedName name="IQ_NET_INC_10Q1" hidden="1">"NET_INC_10Q1"</definedName>
    <definedName name="IQ_NTM" hidden="1">6000</definedName>
    <definedName name="IQ_OPENPRICE" hidden="1">"IQ_OPENPRICE"</definedName>
    <definedName name="IQ_PRETAX_INC_10K" hidden="1">"PRETAX_INC_10K"</definedName>
    <definedName name="IQ_PRETAX_INC_10Q" hidden="1">"PRETAX_INC_10Q"</definedName>
    <definedName name="IQ_PRETAX_INC_10Q1" hidden="1">"PRETAX_INC_10Q1"</definedName>
    <definedName name="IQ_PRICEDATE" hidden="1">"IQ_PRICEDATE"</definedName>
    <definedName name="IQ_PRICEDATETIME" hidden="1">"IQ_PRICEDATETIME"</definedName>
    <definedName name="IQ_REVENUE_10K" hidden="1">"REVENUE_10K"</definedName>
    <definedName name="IQ_REVENUE_10Q" hidden="1">"REVENUE_10Q"</definedName>
    <definedName name="IQ_REVENUE_10Q1" hidden="1">"REVENUE_10Q1"</definedName>
    <definedName name="IQ_SHARESOUTSTANDING" hidden="1">"IQ_SHARESOUTSTANDING"</definedName>
    <definedName name="IQ_TODAY" hidden="1">"0"</definedName>
    <definedName name="IQ_VOLUME" hidden="1">"IQ_VOLUME"</definedName>
    <definedName name="IQ_WEEK" hidden="1">50000</definedName>
    <definedName name="IQ_YEARHIGH" hidden="1">"IQ_YEARHIGH"</definedName>
    <definedName name="IQ_YEARLOW" hidden="1">"IQ_YEARLOW"</definedName>
    <definedName name="IQ_YTD" hidden="1">3000</definedName>
    <definedName name="IQ_YTDMONTH" hidden="1">130000</definedName>
    <definedName name="m" localSheetId="3" hidden="1">{"rtn",#N/A,FALSE,"RTN";"tables",#N/A,FALSE,"RTN";"cf",#N/A,FALSE,"CF";"stats",#N/A,FALSE,"Stats";"prop",#N/A,FALSE,"Prop"}</definedName>
    <definedName name="m" localSheetId="2" hidden="1">{"rtn",#N/A,FALSE,"RTN";"tables",#N/A,FALSE,"RTN";"cf",#N/A,FALSE,"CF";"stats",#N/A,FALSE,"Stats";"prop",#N/A,FALSE,"Prop"}</definedName>
    <definedName name="m" hidden="1">{"rtn",#N/A,FALSE,"RTN";"tables",#N/A,FALSE,"RTN";"cf",#N/A,FALSE,"CF";"stats",#N/A,FALSE,"Stats";"prop",#N/A,FALSE,"Prop"}</definedName>
    <definedName name="MANAGEMENT_FEE" localSheetId="3">[1]LOOKUPS!$A$7</definedName>
    <definedName name="MANAGEMENT_FEE">LOOKUPS!$A$2</definedName>
    <definedName name="MLNK066ea6a037dd4af5ae613d6da2eec5ac" localSheetId="3" hidden="1">#REF!</definedName>
    <definedName name="MLNK066ea6a037dd4af5ae613d6da2eec5ac" localSheetId="2" hidden="1">#REF!</definedName>
    <definedName name="MLNK066ea6a037dd4af5ae613d6da2eec5ac" hidden="1">#REF!</definedName>
    <definedName name="MLNK17ff91e1ca304b76a6b1df2f46b4298f" localSheetId="3" hidden="1">#REF!</definedName>
    <definedName name="MLNK17ff91e1ca304b76a6b1df2f46b4298f" localSheetId="2" hidden="1">#REF!</definedName>
    <definedName name="MLNK17ff91e1ca304b76a6b1df2f46b4298f" hidden="1">#REF!</definedName>
    <definedName name="MLNK1b9a183e5ae445ba9b645b3605ef5184" localSheetId="3" hidden="1">#REF!</definedName>
    <definedName name="MLNK1b9a183e5ae445ba9b645b3605ef5184" localSheetId="2" hidden="1">#REF!</definedName>
    <definedName name="MLNK1b9a183e5ae445ba9b645b3605ef5184" hidden="1">#REF!</definedName>
    <definedName name="MLNK32df3cf1a8db434c86b24a36d128e8eb" localSheetId="3" hidden="1">#REF!</definedName>
    <definedName name="MLNK32df3cf1a8db434c86b24a36d128e8eb" localSheetId="2" hidden="1">#REF!</definedName>
    <definedName name="MLNK32df3cf1a8db434c86b24a36d128e8eb" hidden="1">#REF!</definedName>
    <definedName name="MLNK362825735243420ead3d183ad81c5eb6" localSheetId="3" hidden="1">#REF!</definedName>
    <definedName name="MLNK362825735243420ead3d183ad81c5eb6" localSheetId="2" hidden="1">#REF!</definedName>
    <definedName name="MLNK362825735243420ead3d183ad81c5eb6" hidden="1">#REF!</definedName>
    <definedName name="MLNK3b22acc4fe5b41a39ce6fcb27694e55c" localSheetId="3" hidden="1">#REF!</definedName>
    <definedName name="MLNK3b22acc4fe5b41a39ce6fcb27694e55c" localSheetId="2" hidden="1">#REF!</definedName>
    <definedName name="MLNK3b22acc4fe5b41a39ce6fcb27694e55c" hidden="1">#REF!</definedName>
    <definedName name="MLNK6d757c7b6a5a453f8d812a506ab25e08" localSheetId="3" hidden="1">#REF!</definedName>
    <definedName name="MLNK6d757c7b6a5a453f8d812a506ab25e08" localSheetId="2" hidden="1">#REF!</definedName>
    <definedName name="MLNK6d757c7b6a5a453f8d812a506ab25e08" hidden="1">#REF!</definedName>
    <definedName name="MLNK7f4bc68765a1409da1057517c35abdc8" localSheetId="3" hidden="1">#REF!</definedName>
    <definedName name="MLNK7f4bc68765a1409da1057517c35abdc8" localSheetId="2" hidden="1">#REF!</definedName>
    <definedName name="MLNK7f4bc68765a1409da1057517c35abdc8" hidden="1">#REF!</definedName>
    <definedName name="MLNKb219686e31064f869ed45698f5b2c53f" localSheetId="3" hidden="1">#REF!</definedName>
    <definedName name="MLNKb219686e31064f869ed45698f5b2c53f" localSheetId="2" hidden="1">#REF!</definedName>
    <definedName name="MLNKb219686e31064f869ed45698f5b2c53f" hidden="1">#REF!</definedName>
    <definedName name="MLNKc5e3878d48994ab684237c23e151a109" localSheetId="3" hidden="1">#REF!</definedName>
    <definedName name="MLNKc5e3878d48994ab684237c23e151a109" localSheetId="2" hidden="1">#REF!</definedName>
    <definedName name="MLNKc5e3878d48994ab684237c23e151a109" hidden="1">#REF!</definedName>
    <definedName name="MLNKf33a1e789b6241d6bafa4db58f19b59a" localSheetId="3" hidden="1">#REF!</definedName>
    <definedName name="MLNKf33a1e789b6241d6bafa4db58f19b59a" localSheetId="2" hidden="1">#REF!</definedName>
    <definedName name="MLNKf33a1e789b6241d6bafa4db58f19b59a" hidden="1">#REF!</definedName>
    <definedName name="mmmmmmmmmmmmm" localSheetId="3" hidden="1">{"rtn",#N/A,FALSE,"RTN";"tables",#N/A,FALSE,"RTN";"cf",#N/A,FALSE,"CF";"stats",#N/A,FALSE,"Stats";"prop",#N/A,FALSE,"Prop"}</definedName>
    <definedName name="mmmmmmmmmmmmm" localSheetId="2" hidden="1">{"rtn",#N/A,FALSE,"RTN";"tables",#N/A,FALSE,"RTN";"cf",#N/A,FALSE,"CF";"stats",#N/A,FALSE,"Stats";"prop",#N/A,FALSE,"Prop"}</definedName>
    <definedName name="mmmmmmmmmmmmm" hidden="1">{"rtn",#N/A,FALSE,"RTN";"tables",#N/A,FALSE,"RTN";"cf",#N/A,FALSE,"CF";"stats",#N/A,FALSE,"Stats";"prop",#N/A,FALSE,"Prop"}</definedName>
    <definedName name="nnnnnnnnnnnnnnnn" localSheetId="3" hidden="1">{"print 1.6",#N/A,FALSE,"Sheet1";"print 2.6",#N/A,FALSE,"Sheet1";"print 3.6",#N/A,FALSE,"Sheet1";"print 4.6",#N/A,FALSE,"Sheet1";"print 5.6",#N/A,FALSE,"Sheet1";"print 6.6",#N/A,FALSE,"Sheet1"}</definedName>
    <definedName name="nnnnnnnnnnnnnnnn" localSheetId="2" hidden="1">{"print 1.6",#N/A,FALSE,"Sheet1";"print 2.6",#N/A,FALSE,"Sheet1";"print 3.6",#N/A,FALSE,"Sheet1";"print 4.6",#N/A,FALSE,"Sheet1";"print 5.6",#N/A,FALSE,"Sheet1";"print 6.6",#N/A,FALSE,"Sheet1"}</definedName>
    <definedName name="nnnnnnnnnnnnnnnn" hidden="1">{"print 1.6",#N/A,FALSE,"Sheet1";"print 2.6",#N/A,FALSE,"Sheet1";"print 3.6",#N/A,FALSE,"Sheet1";"print 4.6",#N/A,FALSE,"Sheet1";"print 5.6",#N/A,FALSE,"Sheet1";"print 6.6",#N/A,FALSE,"Sheet1"}</definedName>
    <definedName name="NvsASD">"V2013-03-31"</definedName>
    <definedName name="NvsAutoDrillOk">"VN"</definedName>
    <definedName name="NvsElapsedTime">0.0000694444388500415</definedName>
    <definedName name="NvsEndTime">41401.3989236111</definedName>
    <definedName name="NvsInstLang">"VENG"</definedName>
    <definedName name="NvsInstSpec">"%,FCHARTFIELD1,V30403"</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"%,X,RZF..Style1,CZF.."</definedName>
    <definedName name="NvsPanelBusUnit">"V00101"</definedName>
    <definedName name="NvsPanelEffdt">"V2011-11-21"</definedName>
    <definedName name="NvsPanelSetid">"VSHARE"</definedName>
    <definedName name="NvsReqBU">"V00304"</definedName>
    <definedName name="NvsReqBUOnly">"VY"</definedName>
    <definedName name="NvsTransLed">"VN"</definedName>
    <definedName name="NvsTreeASD">"V2013-03-31"</definedName>
    <definedName name="NvsValTbl.ACCOUNT">"GL_ACCOUNT_TBL"</definedName>
    <definedName name="NvsValTbl.BUSINESS_UNIT">"BUS_UNIT_TBL_GL"</definedName>
    <definedName name="NvsValTbl.CHARTFIELD1">"CHARTFIELD1_TBL"</definedName>
    <definedName name="NvsValTbl.CURRENCY_CD">"CURRENCY_CD_TBL"</definedName>
    <definedName name="periods">#REF!</definedName>
    <definedName name="PR_TAX_PERC">LOOKUPS!$T$5</definedName>
    <definedName name="PRO_FORMA_EMPBEN">LOOKUPS!$S$6</definedName>
    <definedName name="PRO_FORMA_PRTAX">LOOKUPS!$S$5</definedName>
    <definedName name="PRO_FORMA_WORKCMP">LOOKUPS!$S$7</definedName>
    <definedName name="qq" localSheetId="3" hidden="1">{"Outflow 1",#N/A,FALSE,"Outflows-Inflows";"Outflow 2",#N/A,FALSE,"Outflows-Inflows";"Inflow 1",#N/A,FALSE,"Outflows-Inflows";"Inflow 2",#N/A,FALSE,"Outflows-Inflows"}</definedName>
    <definedName name="qq" localSheetId="2" hidden="1">{"Outflow 1",#N/A,FALSE,"Outflows-Inflows";"Outflow 2",#N/A,FALSE,"Outflows-Inflows";"Inflow 1",#N/A,FALSE,"Outflows-Inflows";"Inflow 2",#N/A,FALSE,"Outflows-Inflows"}</definedName>
    <definedName name="qq" hidden="1">{"Outflow 1",#N/A,FALSE,"Outflows-Inflows";"Outflow 2",#N/A,FALSE,"Outflows-Inflows";"Inflow 1",#N/A,FALSE,"Outflows-Inflows";"Inflow 2",#N/A,FALSE,"Outflows-Inflows"}</definedName>
    <definedName name="qqq" localSheetId="3" hidden="1">{"Outflow 1",#N/A,FALSE,"Outflows-Inflows";"Outflow 2",#N/A,FALSE,"Outflows-Inflows";"Inflow 1",#N/A,FALSE,"Outflows-Inflows";"Inflow 2",#N/A,FALSE,"Outflows-Inflows"}</definedName>
    <definedName name="qqq" localSheetId="2" hidden="1">{"Outflow 1",#N/A,FALSE,"Outflows-Inflows";"Outflow 2",#N/A,FALSE,"Outflows-Inflows";"Inflow 1",#N/A,FALSE,"Outflows-Inflows";"Inflow 2",#N/A,FALSE,"Outflows-Inflows"}</definedName>
    <definedName name="qqq" hidden="1">{"Outflow 1",#N/A,FALSE,"Outflows-Inflows";"Outflow 2",#N/A,FALSE,"Outflows-Inflows";"Inflow 1",#N/A,FALSE,"Outflows-Inflows";"Inflow 2",#N/A,FALSE,"Outflows-Inflows"}</definedName>
    <definedName name="qqqq" localSheetId="3" hidden="1">{"print 1.6",#N/A,FALSE,"Sheet1";"print 2.6",#N/A,FALSE,"Sheet1";"print 3.6",#N/A,FALSE,"Sheet1";"print 4.6",#N/A,FALSE,"Sheet1";"print 5.6",#N/A,FALSE,"Sheet1";"print 6.6",#N/A,FALSE,"Sheet1"}</definedName>
    <definedName name="qqqq" localSheetId="2" hidden="1">{"print 1.6",#N/A,FALSE,"Sheet1";"print 2.6",#N/A,FALSE,"Sheet1";"print 3.6",#N/A,FALSE,"Sheet1";"print 4.6",#N/A,FALSE,"Sheet1";"print 5.6",#N/A,FALSE,"Sheet1";"print 6.6",#N/A,FALSE,"Sheet1"}</definedName>
    <definedName name="qqqq" hidden="1">{"print 1.6",#N/A,FALSE,"Sheet1";"print 2.6",#N/A,FALSE,"Sheet1";"print 3.6",#N/A,FALSE,"Sheet1";"print 4.6",#N/A,FALSE,"Sheet1";"print 5.6",#N/A,FALSE,"Sheet1";"print 6.6",#N/A,FALSE,"Sheet1"}</definedName>
    <definedName name="qrewrqwerqw3e" localSheetId="3" hidden="1">{"Outflow 1",#N/A,FALSE,"Outflows-Inflows";"Outflow 2",#N/A,FALSE,"Outflows-Inflows";"Inflow 1",#N/A,FALSE,"Outflows-Inflows";"Inflow 2",#N/A,FALSE,"Outflows-Inflows"}</definedName>
    <definedName name="qrewrqwerqw3e" localSheetId="2" hidden="1">{"Outflow 1",#N/A,FALSE,"Outflows-Inflows";"Outflow 2",#N/A,FALSE,"Outflows-Inflows";"Inflow 1",#N/A,FALSE,"Outflows-Inflows";"Inflow 2",#N/A,FALSE,"Outflows-Inflows"}</definedName>
    <definedName name="qrewrqwerqw3e" hidden="1">{"Outflow 1",#N/A,FALSE,"Outflows-Inflows";"Outflow 2",#N/A,FALSE,"Outflows-Inflows";"Inflow 1",#N/A,FALSE,"Outflows-Inflows";"Inflow 2",#N/A,FALSE,"Outflows-Inflows"}</definedName>
    <definedName name="Ramp" localSheetId="3" hidden="1">{"rtn",#N/A,FALSE,"RTN";"tables",#N/A,FALSE,"RTN";"cf",#N/A,FALSE,"CF";"stats",#N/A,FALSE,"Stats";"prop",#N/A,FALSE,"Prop"}</definedName>
    <definedName name="Ramp" localSheetId="2" hidden="1">{"rtn",#N/A,FALSE,"RTN";"tables",#N/A,FALSE,"RTN";"cf",#N/A,FALSE,"CF";"stats",#N/A,FALSE,"Stats";"prop",#N/A,FALSE,"Prop"}</definedName>
    <definedName name="Ramp" hidden="1">{"rtn",#N/A,FALSE,"RTN";"tables",#N/A,FALSE,"RTN";"cf",#N/A,FALSE,"CF";"stats",#N/A,FALSE,"Stats";"prop",#N/A,FALSE,"Prop"}</definedName>
    <definedName name="REV_LOOKUP">LOOKUPS!$F$3:$G$35</definedName>
    <definedName name="saa" localSheetId="3" hidden="1">{"rtn",#N/A,FALSE,"RTN";"tables",#N/A,FALSE,"RTN";"cf",#N/A,FALSE,"CF";"stats",#N/A,FALSE,"Stats";"prop",#N/A,FALSE,"Prop"}</definedName>
    <definedName name="saa" localSheetId="2" hidden="1">{"rtn",#N/A,FALSE,"RTN";"tables",#N/A,FALSE,"RTN";"cf",#N/A,FALSE,"CF";"stats",#N/A,FALSE,"Stats";"prop",#N/A,FALSE,"Prop"}</definedName>
    <definedName name="saa" hidden="1">{"rtn",#N/A,FALSE,"RTN";"tables",#N/A,FALSE,"RTN";"cf",#N/A,FALSE,"CF";"stats",#N/A,FALSE,"Stats";"prop",#N/A,FALSE,"Prop"}</definedName>
    <definedName name="sas" localSheetId="3" hidden="1">{"Outflow 1",#N/A,FALSE,"Outflows-Inflows";"Outflow 2",#N/A,FALSE,"Outflows-Inflows";"Inflow 1",#N/A,FALSE,"Outflows-Inflows";"Inflow 2",#N/A,FALSE,"Outflows-Inflows"}</definedName>
    <definedName name="sas" localSheetId="2" hidden="1">{"Outflow 1",#N/A,FALSE,"Outflows-Inflows";"Outflow 2",#N/A,FALSE,"Outflows-Inflows";"Inflow 1",#N/A,FALSE,"Outflows-Inflows";"Inflow 2",#N/A,FALSE,"Outflows-Inflows"}</definedName>
    <definedName name="sas" hidden="1">{"Outflow 1",#N/A,FALSE,"Outflows-Inflows";"Outflow 2",#N/A,FALSE,"Outflows-Inflows";"Inflow 1",#N/A,FALSE,"Outflows-Inflows";"Inflow 2",#N/A,FALSE,"Outflows-Inflows"}</definedName>
    <definedName name="sdfass" localSheetId="3" hidden="1">{"Outflow 1",#N/A,FALSE,"Outflows-Inflows";"Outflow 2",#N/A,FALSE,"Outflows-Inflows";"Inflow 1",#N/A,FALSE,"Outflows-Inflows";"Inflow 2",#N/A,FALSE,"Outflows-Inflows"}</definedName>
    <definedName name="sdfass" localSheetId="2" hidden="1">{"Outflow 1",#N/A,FALSE,"Outflows-Inflows";"Outflow 2",#N/A,FALSE,"Outflows-Inflows";"Inflow 1",#N/A,FALSE,"Outflows-Inflows";"Inflow 2",#N/A,FALSE,"Outflows-Inflows"}</definedName>
    <definedName name="sdfass" hidden="1">{"Outflow 1",#N/A,FALSE,"Outflows-Inflows";"Outflow 2",#N/A,FALSE,"Outflows-Inflows";"Inflow 1",#N/A,FALSE,"Outflows-Inflows";"Inflow 2",#N/A,FALSE,"Outflows-Inflows"}</definedName>
    <definedName name="ss" localSheetId="3" hidden="1">{"rtn",#N/A,FALSE,"RTN";"tables",#N/A,FALSE,"RTN";"cf",#N/A,FALSE,"CF";"stats",#N/A,FALSE,"Stats";"prop",#N/A,FALSE,"Prop"}</definedName>
    <definedName name="ss" localSheetId="2" hidden="1">{"rtn",#N/A,FALSE,"RTN";"tables",#N/A,FALSE,"RTN";"cf",#N/A,FALSE,"CF";"stats",#N/A,FALSE,"Stats";"prop",#N/A,FALSE,"Prop"}</definedName>
    <definedName name="ss" hidden="1">{"rtn",#N/A,FALSE,"RTN";"tables",#N/A,FALSE,"RTN";"cf",#N/A,FALSE,"CF";"stats",#N/A,FALSE,"Stats";"prop",#N/A,FALSE,"Prop"}</definedName>
    <definedName name="sss" localSheetId="3" hidden="1">{"Outflow 1",#N/A,FALSE,"Outflows-Inflows";"Outflow 2",#N/A,FALSE,"Outflows-Inflows";"Inflow 1",#N/A,FALSE,"Outflows-Inflows";"Inflow 2",#N/A,FALSE,"Outflows-Inflows"}</definedName>
    <definedName name="sss" localSheetId="2" hidden="1">{"Outflow 1",#N/A,FALSE,"Outflows-Inflows";"Outflow 2",#N/A,FALSE,"Outflows-Inflows";"Inflow 1",#N/A,FALSE,"Outflows-Inflows";"Inflow 2",#N/A,FALSE,"Outflows-Inflows"}</definedName>
    <definedName name="sss" hidden="1">{"Outflow 1",#N/A,FALSE,"Outflows-Inflows";"Outflow 2",#N/A,FALSE,"Outflows-Inflows";"Inflow 1",#N/A,FALSE,"Outflows-Inflows";"Inflow 2",#N/A,FALSE,"Outflows-Inflows"}</definedName>
    <definedName name="ssss" localSheetId="3" hidden="1">{"print 1.6",#N/A,FALSE,"Sheet1";"print 2.6",#N/A,FALSE,"Sheet1";"print 3.6",#N/A,FALSE,"Sheet1";"print 4.6",#N/A,FALSE,"Sheet1";"print 5.6",#N/A,FALSE,"Sheet1";"print 6.6",#N/A,FALSE,"Sheet1"}</definedName>
    <definedName name="ssss" localSheetId="2" hidden="1">{"print 1.6",#N/A,FALSE,"Sheet1";"print 2.6",#N/A,FALSE,"Sheet1";"print 3.6",#N/A,FALSE,"Sheet1";"print 4.6",#N/A,FALSE,"Sheet1";"print 5.6",#N/A,FALSE,"Sheet1";"print 6.6",#N/A,FALSE,"Sheet1"}</definedName>
    <definedName name="ssss" hidden="1">{"print 1.6",#N/A,FALSE,"Sheet1";"print 2.6",#N/A,FALSE,"Sheet1";"print 3.6",#N/A,FALSE,"Sheet1";"print 4.6",#N/A,FALSE,"Sheet1";"print 5.6",#N/A,FALSE,"Sheet1";"print 6.6",#N/A,FALSE,"Sheet1"}</definedName>
    <definedName name="sssss" localSheetId="3" hidden="1">{"print 1.6",#N/A,FALSE,"Sheet1";"print 2.6",#N/A,FALSE,"Sheet1";"print 3.6",#N/A,FALSE,"Sheet1";"print 4.6",#N/A,FALSE,"Sheet1";"print 5.6",#N/A,FALSE,"Sheet1";"print 6.6",#N/A,FALSE,"Sheet1"}</definedName>
    <definedName name="sssss" localSheetId="2" hidden="1">{"print 1.6",#N/A,FALSE,"Sheet1";"print 2.6",#N/A,FALSE,"Sheet1";"print 3.6",#N/A,FALSE,"Sheet1";"print 4.6",#N/A,FALSE,"Sheet1";"print 5.6",#N/A,FALSE,"Sheet1";"print 6.6",#N/A,FALSE,"Sheet1"}</definedName>
    <definedName name="sssss" hidden="1">{"print 1.6",#N/A,FALSE,"Sheet1";"print 2.6",#N/A,FALSE,"Sheet1";"print 3.6",#N/A,FALSE,"Sheet1";"print 4.6",#N/A,FALSE,"Sheet1";"print 5.6",#N/A,FALSE,"Sheet1";"print 6.6",#N/A,FALSE,"Sheet1"}</definedName>
    <definedName name="ssssss" localSheetId="3" hidden="1">{"rtn",#N/A,FALSE,"RTN";"tables",#N/A,FALSE,"RTN";"cf",#N/A,FALSE,"CF";"stats",#N/A,FALSE,"Stats";"prop",#N/A,FALSE,"Prop"}</definedName>
    <definedName name="ssssss" localSheetId="2" hidden="1">{"rtn",#N/A,FALSE,"RTN";"tables",#N/A,FALSE,"RTN";"cf",#N/A,FALSE,"CF";"stats",#N/A,FALSE,"Stats";"prop",#N/A,FALSE,"Prop"}</definedName>
    <definedName name="ssssss" hidden="1">{"rtn",#N/A,FALSE,"RTN";"tables",#N/A,FALSE,"RTN";"cf",#N/A,FALSE,"CF";"stats",#N/A,FALSE,"Stats";"prop",#N/A,FALSE,"Prop"}</definedName>
    <definedName name="sssssss" localSheetId="3" hidden="1">{"print 1.6",#N/A,FALSE,"Sheet1";"print 2.6",#N/A,FALSE,"Sheet1";"print 3.6",#N/A,FALSE,"Sheet1";"print 4.6",#N/A,FALSE,"Sheet1";"print 5.6",#N/A,FALSE,"Sheet1";"print 6.6",#N/A,FALSE,"Sheet1"}</definedName>
    <definedName name="sssssss" localSheetId="2" hidden="1">{"print 1.6",#N/A,FALSE,"Sheet1";"print 2.6",#N/A,FALSE,"Sheet1";"print 3.6",#N/A,FALSE,"Sheet1";"print 4.6",#N/A,FALSE,"Sheet1";"print 5.6",#N/A,FALSE,"Sheet1";"print 6.6",#N/A,FALSE,"Sheet1"}</definedName>
    <definedName name="sssssss" hidden="1">{"print 1.6",#N/A,FALSE,"Sheet1";"print 2.6",#N/A,FALSE,"Sheet1";"print 3.6",#N/A,FALSE,"Sheet1";"print 4.6",#N/A,FALSE,"Sheet1";"print 5.6",#N/A,FALSE,"Sheet1";"print 6.6",#N/A,FALSE,"Sheet1"}</definedName>
    <definedName name="ssssssss" localSheetId="3" hidden="1">{"rtn",#N/A,FALSE,"RTN";"tables",#N/A,FALSE,"RTN";"cf",#N/A,FALSE,"CF";"stats",#N/A,FALSE,"Stats";"prop",#N/A,FALSE,"Prop"}</definedName>
    <definedName name="ssssssss" localSheetId="2" hidden="1">{"rtn",#N/A,FALSE,"RTN";"tables",#N/A,FALSE,"RTN";"cf",#N/A,FALSE,"CF";"stats",#N/A,FALSE,"Stats";"prop",#N/A,FALSE,"Prop"}</definedName>
    <definedName name="ssssssss" hidden="1">{"rtn",#N/A,FALSE,"RTN";"tables",#N/A,FALSE,"RTN";"cf",#N/A,FALSE,"CF";"stats",#N/A,FALSE,"Stats";"prop",#N/A,FALSE,"Prop"}</definedName>
    <definedName name="sssssssss" localSheetId="3" hidden="1">{"rtn",#N/A,FALSE,"RTN";"tables",#N/A,FALSE,"RTN";"cf",#N/A,FALSE,"CF";"stats",#N/A,FALSE,"Stats";"prop",#N/A,FALSE,"Prop"}</definedName>
    <definedName name="sssssssss" localSheetId="2" hidden="1">{"rtn",#N/A,FALSE,"RTN";"tables",#N/A,FALSE,"RTN";"cf",#N/A,FALSE,"CF";"stats",#N/A,FALSE,"Stats";"prop",#N/A,FALSE,"Prop"}</definedName>
    <definedName name="sssssssss" hidden="1">{"rtn",#N/A,FALSE,"RTN";"tables",#N/A,FALSE,"RTN";"cf",#N/A,FALSE,"CF";"stats",#N/A,FALSE,"Stats";"prop",#N/A,FALSE,"Prop"}</definedName>
    <definedName name="SWITCH">[2]DETAIL!$Q$1</definedName>
    <definedName name="temp" localSheetId="3" hidden="1">{"Outflow 1",#N/A,FALSE,"Outflows-Inflows";"Outflow 2",#N/A,FALSE,"Outflows-Inflows";"Inflow 1",#N/A,FALSE,"Outflows-Inflows";"Inflow 2",#N/A,FALSE,"Outflows-Inflows"}</definedName>
    <definedName name="temp" localSheetId="2" hidden="1">{"Outflow 1",#N/A,FALSE,"Outflows-Inflows";"Outflow 2",#N/A,FALSE,"Outflows-Inflows";"Inflow 1",#N/A,FALSE,"Outflows-Inflows";"Inflow 2",#N/A,FALSE,"Outflows-Inflows"}</definedName>
    <definedName name="temp" hidden="1">{"Outflow 1",#N/A,FALSE,"Outflows-Inflows";"Outflow 2",#N/A,FALSE,"Outflows-Inflows";"Inflow 1",#N/A,FALSE,"Outflows-Inflows";"Inflow 2",#N/A,FALSE,"Outflows-Inflows"}</definedName>
    <definedName name="USE_WAGE_CODING">LOOKUPS!$A$5</definedName>
    <definedName name="v" localSheetId="3" hidden="1">{"rtn",#N/A,FALSE,"RTN";"tables",#N/A,FALSE,"RTN";"cf",#N/A,FALSE,"CF";"stats",#N/A,FALSE,"Stats";"prop",#N/A,FALSE,"Prop"}</definedName>
    <definedName name="v" localSheetId="2" hidden="1">{"rtn",#N/A,FALSE,"RTN";"tables",#N/A,FALSE,"RTN";"cf",#N/A,FALSE,"CF";"stats",#N/A,FALSE,"Stats";"prop",#N/A,FALSE,"Prop"}</definedName>
    <definedName name="v" hidden="1">{"rtn",#N/A,FALSE,"RTN";"tables",#N/A,FALSE,"RTN";"cf",#N/A,FALSE,"CF";"stats",#N/A,FALSE,"Stats";"prop",#N/A,FALSE,"Prop"}</definedName>
    <definedName name="w" localSheetId="3" hidden="1">{"rtn",#N/A,FALSE,"RTN";"tables",#N/A,FALSE,"RTN";"cf",#N/A,FALSE,"CF";"stats",#N/A,FALSE,"Stats";"prop",#N/A,FALSE,"Prop"}</definedName>
    <definedName name="w" localSheetId="2" hidden="1">{"rtn",#N/A,FALSE,"RTN";"tables",#N/A,FALSE,"RTN";"cf",#N/A,FALSE,"CF";"stats",#N/A,FALSE,"Stats";"prop",#N/A,FALSE,"Prop"}</definedName>
    <definedName name="w" hidden="1">{"rtn",#N/A,FALSE,"RTN";"tables",#N/A,FALSE,"RTN";"cf",#N/A,FALSE,"CF";"stats",#N/A,FALSE,"Stats";"prop",#N/A,FALSE,"Prop"}</definedName>
    <definedName name="WAGE_CODING">[1]LOOKUPS!$A$4</definedName>
    <definedName name="wrn.Acquiror." localSheetId="3" hidden="1">{"a_Acquiror Assumptions",#N/A,FALSE,"Financials";"b_Acquiror Income Statement",#N/A,FALSE,"Financials";"c_Acquiror Balance Sheet",#N/A,FALSE,"Financials";"d_Acquiror Cashflow Statement",#N/A,FALSE,"Financials"}</definedName>
    <definedName name="wrn.Acquiror." localSheetId="2" hidden="1">{"a_Acquiror Assumptions",#N/A,FALSE,"Financials";"b_Acquiror Income Statement",#N/A,FALSE,"Financials";"c_Acquiror Balance Sheet",#N/A,FALSE,"Financials";"d_Acquiror Cashflow Statement",#N/A,FALSE,"Financials"}</definedName>
    <definedName name="wrn.Acquiror." hidden="1">{"a_Acquiror Assumptions",#N/A,FALSE,"Financials";"b_Acquiror Income Statement",#N/A,FALSE,"Financials";"c_Acquiror Balance Sheet",#N/A,FALSE,"Financials";"d_Acquiror Cashflow Statement",#N/A,FALSE,"Financials"}</definedName>
    <definedName name="wrn.All._.Agings._.with._.Excess._.Cash." localSheetId="3" hidden="1">{"Birch Grove Aging",#N/A,FALSE,"Windward Garden";"Cedar Ridge Aging",#N/A,FALSE,"Windward Garden";"Harbor Hill Aging",#N/A,FALSE,"Windward Garden";"Marshwood Aging",#N/A,FALSE,"Windward Garden";"Oak Grove Aging",#N/A,FALSE,"Windward Garden";"Orono Aging",#N/A,FALSE,"Windward Garden";"Pine Point Aging",#N/A,FALSE,"Windward Garden";"River Ridge Aging",#N/A,FALSE,"Windward Garden";"Sandy River Aging",#N/A,FALSE,"Windward Garden";"Sedgewood Aging",#N/A,FALSE,"Windward Garden";"Springbrook Aging",#N/A,FALSE,"Windward Garden";"Windward Aging",#N/A,FALSE,"Windward Garden"}</definedName>
    <definedName name="wrn.All._.Agings._.with._.Excess._.Cash." localSheetId="2" hidden="1">{"Birch Grove Aging",#N/A,FALSE,"Windward Garden";"Cedar Ridge Aging",#N/A,FALSE,"Windward Garden";"Harbor Hill Aging",#N/A,FALSE,"Windward Garden";"Marshwood Aging",#N/A,FALSE,"Windward Garden";"Oak Grove Aging",#N/A,FALSE,"Windward Garden";"Orono Aging",#N/A,FALSE,"Windward Garden";"Pine Point Aging",#N/A,FALSE,"Windward Garden";"River Ridge Aging",#N/A,FALSE,"Windward Garden";"Sandy River Aging",#N/A,FALSE,"Windward Garden";"Sedgewood Aging",#N/A,FALSE,"Windward Garden";"Springbrook Aging",#N/A,FALSE,"Windward Garden";"Windward Aging",#N/A,FALSE,"Windward Garden"}</definedName>
    <definedName name="wrn.All._.Agings._.with._.Excess._.Cash." hidden="1">{"Birch Grove Aging",#N/A,FALSE,"Windward Garden";"Cedar Ridge Aging",#N/A,FALSE,"Windward Garden";"Harbor Hill Aging",#N/A,FALSE,"Windward Garden";"Marshwood Aging",#N/A,FALSE,"Windward Garden";"Oak Grove Aging",#N/A,FALSE,"Windward Garden";"Orono Aging",#N/A,FALSE,"Windward Garden";"Pine Point Aging",#N/A,FALSE,"Windward Garden";"River Ridge Aging",#N/A,FALSE,"Windward Garden";"Sandy River Aging",#N/A,FALSE,"Windward Garden";"Sedgewood Aging",#N/A,FALSE,"Windward Garden";"Springbrook Aging",#N/A,FALSE,"Windward Garden";"Windward Aging",#N/A,FALSE,"Windward Garden"}</definedName>
    <definedName name="wrn.Group._.B._.Report." localSheetId="3" hidden="1">{"Both Reports Group B",#N/A,FALSE,"Group B";"Both Reports S33",#N/A,FALSE,"S33 Weymouth";"Both Reports S35",#N/A,FALSE,"S35 Woodcrest";"Both Reports S36",#N/A,FALSE,"S36 Cheshire";"Both Reports S38",#N/A,FALSE,"S38 Newton"}</definedName>
    <definedName name="wrn.Group._.B._.Report." localSheetId="2" hidden="1">{"Both Reports Group B",#N/A,FALSE,"Group B";"Both Reports S33",#N/A,FALSE,"S33 Weymouth";"Both Reports S35",#N/A,FALSE,"S35 Woodcrest";"Both Reports S36",#N/A,FALSE,"S36 Cheshire";"Both Reports S38",#N/A,FALSE,"S38 Newton"}</definedName>
    <definedName name="wrn.Group._.B._.Report." hidden="1">{"Both Reports Group B",#N/A,FALSE,"Group B";"Both Reports S33",#N/A,FALSE,"S33 Weymouth";"Both Reports S35",#N/A,FALSE,"S35 Woodcrest";"Both Reports S36",#N/A,FALSE,"S36 Cheshire";"Both Reports S38",#N/A,FALSE,"S38 Newton"}</definedName>
    <definedName name="wrn.Group._.C._.Report." localSheetId="3" hidden="1">{"Group C",#N/A,FALSE,"Group C";"Total Bev",#N/A,FALSE,"S01 Beverly";"Total S15",#N/A,FALSE,"S15 Lexington";"Both Reports S26",#N/A,FALSE,"S26 Peabody";"Both Reports S27",#N/A,FALSE,"S27 Randolph";"Both Reports S31",#N/A,FALSE,"S31 Westport";"Both Reports S34",#N/A,FALSE,"S34 Wilmington Woods"}</definedName>
    <definedName name="wrn.Group._.C._.Report." localSheetId="2" hidden="1">{"Group C",#N/A,FALSE,"Group C";"Total Bev",#N/A,FALSE,"S01 Beverly";"Total S15",#N/A,FALSE,"S15 Lexington";"Both Reports S26",#N/A,FALSE,"S26 Peabody";"Both Reports S27",#N/A,FALSE,"S27 Randolph";"Both Reports S31",#N/A,FALSE,"S31 Westport";"Both Reports S34",#N/A,FALSE,"S34 Wilmington Woods"}</definedName>
    <definedName name="wrn.Group._.C._.Report." hidden="1">{"Group C",#N/A,FALSE,"Group C";"Total Bev",#N/A,FALSE,"S01 Beverly";"Total S15",#N/A,FALSE,"S15 Lexington";"Both Reports S26",#N/A,FALSE,"S26 Peabody";"Both Reports S27",#N/A,FALSE,"S27 Randolph";"Both Reports S31",#N/A,FALSE,"S31 Westport";"Both Reports S34",#N/A,FALSE,"S34 Wilmington Woods"}</definedName>
    <definedName name="wrn.Income." localSheetId="3" hidden="1">{"Income",#N/A,FALSE,"Recap IS"}</definedName>
    <definedName name="wrn.Income." localSheetId="2" hidden="1">{"Income",#N/A,FALSE,"Recap IS"}</definedName>
    <definedName name="wrn.Income." hidden="1">{"Income",#N/A,FALSE,"Recap IS"}</definedName>
    <definedName name="wrn.Print._.4." localSheetId="3" hidden="1">{"Outflow 1",#N/A,FALSE,"Outflows-Inflows";"Outflow 2",#N/A,FALSE,"Outflows-Inflows";"Inflow 1",#N/A,FALSE,"Outflows-Inflows";"Inflow 2",#N/A,FALSE,"Outflows-Inflows"}</definedName>
    <definedName name="wrn.Print._.4." localSheetId="2" hidden="1">{"Outflow 1",#N/A,FALSE,"Outflows-Inflows";"Outflow 2",#N/A,FALSE,"Outflows-Inflows";"Inflow 1",#N/A,FALSE,"Outflows-Inflows";"Inflow 2",#N/A,FALSE,"Outflows-Inflows"}</definedName>
    <definedName name="wrn.Print._.4." hidden="1">{"Outflow 1",#N/A,FALSE,"Outflows-Inflows";"Outflow 2",#N/A,FALSE,"Outflows-Inflows";"Inflow 1",#N/A,FALSE,"Outflows-Inflows";"Inflow 2",#N/A,FALSE,"Outflows-Inflows"}</definedName>
    <definedName name="wrn.Print._.6." localSheetId="3" hidden="1">{"print 1.6",#N/A,FALSE,"Sheet1";"print 2.6",#N/A,FALSE,"Sheet1";"print 3.6",#N/A,FALSE,"Sheet1";"print 4.6",#N/A,FALSE,"Sheet1";"print 5.6",#N/A,FALSE,"Sheet1";"print 6.6",#N/A,FALSE,"Sheet1"}</definedName>
    <definedName name="wrn.Print._.6." localSheetId="2" hidden="1">{"print 1.6",#N/A,FALSE,"Sheet1";"print 2.6",#N/A,FALSE,"Sheet1";"print 3.6",#N/A,FALSE,"Sheet1";"print 4.6",#N/A,FALSE,"Sheet1";"print 5.6",#N/A,FALSE,"Sheet1";"print 6.6",#N/A,FALSE,"Sheet1"}</definedName>
    <definedName name="wrn.Print._.6." hidden="1">{"print 1.6",#N/A,FALSE,"Sheet1";"print 2.6",#N/A,FALSE,"Sheet1";"print 3.6",#N/A,FALSE,"Sheet1";"print 4.6",#N/A,FALSE,"Sheet1";"print 5.6",#N/A,FALSE,"Sheet1";"print 6.6",#N/A,FALSE,"Sheet1"}</definedName>
    <definedName name="wrn.Pro._.Forma." localSheetId="3" hidden="1">{"i_Pro Forma Opening B.S.",#N/A,FALSE,"Financials";"j_Pro Forma Assumptions",#N/A,FALSE,"Financials";"k_Pro Forma Income Statement",#N/A,FALSE,"Financials";"l_Pro Forma Balance Sheet",#N/A,FALSE,"Financials";"m_Pro Forma Cashflow Statement",#N/A,FALSE,"Financials";"n_Pro Forma Depreciation Schedule",#N/A,FALSE,"Financials"}</definedName>
    <definedName name="wrn.Pro._.Forma." localSheetId="2" hidden="1">{"i_Pro Forma Opening B.S.",#N/A,FALSE,"Financials";"j_Pro Forma Assumptions",#N/A,FALSE,"Financials";"k_Pro Forma Income Statement",#N/A,FALSE,"Financials";"l_Pro Forma Balance Sheet",#N/A,FALSE,"Financials";"m_Pro Forma Cashflow Statement",#N/A,FALSE,"Financials";"n_Pro Forma Depreciation Schedule",#N/A,FALSE,"Financials"}</definedName>
    <definedName name="wrn.Pro._.Forma." hidden="1">{"i_Pro Forma Opening B.S.",#N/A,FALSE,"Financials";"j_Pro Forma Assumptions",#N/A,FALSE,"Financials";"k_Pro Forma Income Statement",#N/A,FALSE,"Financials";"l_Pro Forma Balance Sheet",#N/A,FALSE,"Financials";"m_Pro Forma Cashflow Statement",#N/A,FALSE,"Financials";"n_Pro Forma Depreciation Schedule",#N/A,FALSE,"Financials"}</definedName>
    <definedName name="wrn.review." localSheetId="3" hidden="1">{#N/A,#N/A,FALSE,"FRONTPG";#N/A,#N/A,FALSE,"STATUSREC";#N/A,#N/A,FALSE,"INELIG";#N/A,#N/A,FALSE,"ARACTIV";#N/A,#N/A,FALSE,"ARANAL";#N/A,#N/A,FALSE,"INVANAL";#N/A,#N/A,FALSE,"BALSHT";#N/A,#N/A,FALSE,"INCSTMT";#N/A,#N/A,FALSE,"CASHFLOW";#N/A,#N/A,FALSE,"TREND";#N/A,#N/A,FALSE,"LIAB"}</definedName>
    <definedName name="wrn.review." localSheetId="2" hidden="1">{#N/A,#N/A,FALSE,"FRONTPG";#N/A,#N/A,FALSE,"STATUSREC";#N/A,#N/A,FALSE,"INELIG";#N/A,#N/A,FALSE,"ARACTIV";#N/A,#N/A,FALSE,"ARANAL";#N/A,#N/A,FALSE,"INVANAL";#N/A,#N/A,FALSE,"BALSHT";#N/A,#N/A,FALSE,"INCSTMT";#N/A,#N/A,FALSE,"CASHFLOW";#N/A,#N/A,FALSE,"TREND";#N/A,#N/A,FALSE,"LIAB"}</definedName>
    <definedName name="wrn.review." hidden="1">{#N/A,#N/A,FALSE,"FRONTPG";#N/A,#N/A,FALSE,"STATUSREC";#N/A,#N/A,FALSE,"INELIG";#N/A,#N/A,FALSE,"ARACTIV";#N/A,#N/A,FALSE,"ARANAL";#N/A,#N/A,FALSE,"INVANAL";#N/A,#N/A,FALSE,"BALSHT";#N/A,#N/A,FALSE,"INCSTMT";#N/A,#N/A,FALSE,"CASHFLOW";#N/A,#N/A,FALSE,"TREND";#N/A,#N/A,FALSE,"LIAB"}</definedName>
    <definedName name="wrn.Target." localSheetId="3" hidden="1">{"e_Target Assumptions",#N/A,FALSE,"Financials";"f_Target Income Statement",#N/A,FALSE,"Financials";"g_Target Balance Sheet",#N/A,FALSE,"Financials";"h_Target Cashflow Statement",#N/A,FALSE,"Financials"}</definedName>
    <definedName name="wrn.Target." localSheetId="2" hidden="1">{"e_Target Assumptions",#N/A,FALSE,"Financials";"f_Target Income Statement",#N/A,FALSE,"Financials";"g_Target Balance Sheet",#N/A,FALSE,"Financials";"h_Target Cashflow Statement",#N/A,FALSE,"Financials"}</definedName>
    <definedName name="wrn.Target." hidden="1">{"e_Target Assumptions",#N/A,FALSE,"Financials";"f_Target Income Statement",#N/A,FALSE,"Financials";"g_Target Balance Sheet",#N/A,FALSE,"Financials";"h_Target Cashflow Statement",#N/A,FALSE,"Financials"}</definedName>
    <definedName name="wrn.Totals." localSheetId="3" hidden="1">{"Total Conn",#N/A,FALSE,"Sun CT Properties";"Total Sun",#N/A,FALSE,"Sun Portfolio";"Total SNF",#N/A,FALSE,"Sun SNFs";"Total Hospitals",#N/A,FALSE,"Sun Hospitals";"Total Bev",#N/A,FALSE,"S01 Beverly";"Total S02",#N/A,FALSE,"S02 Boston";"Total S03",#N/A,FALSE,"S03 Bowling Green";"Total S04",#N/A,FALSE,"S04 Bradenton";"Total S05",#N/A,FALSE,"S05 Bristol";"Total S06",#N/A,FALSE,"S06 Brookline";"Total S07",#N/A,FALSE,"S07 Camden";"Total S08",#N/A,FALSE,"S08 Concord";"Total S09",#N/A,FALSE,"S09 South Conn";"Total S10",#N/A,FALSE,"S10 Danbury";"Total S11",#N/A,FALSE,"S11 Darien";"Total S12",#N/A,FALSE,"S12 Denver";"Total S13",#N/A,FALSE,"S13 East Longmeadow";"Total S14",#N/A,FALSE,"S14 Holyoke";"Total S15",#N/A,FALSE,"S15 Lexington";"Total S16",#N/A,FALSE,"S16 Lowell";"Total S17",#N/A,FALSE,"S17 Marlton";"Total S18",#N/A,FALSE,"S18 Milford";"Total S19",#N/A,FALSE,"S19 Millbury";"Total S20",#N/A,FALSE,"S20 Montgomery";"Total S21",#N/A,FALSE,"S21 New Bedford";"Total S22",#N/A,FALSE,"S22 Newington";"Total S23",#N/A,FALSE,"S23 Northshore";"Total S24",#N/A,FALSE,"S24 Northampton";"Total S25",#N/A,FALSE,"S25 Oradell";"Total S26",#N/A,FALSE,"S26 Peabody";"Total S27",#N/A,FALSE,"S27 Randolph";"Total S28",#N/A,FALSE,"S28 San Joaquin";"Total S29",#N/A,FALSE,"S29 Southbury";"Total S30",#N/A,FALSE,"S30 Stamford";"Total S31",#N/A,FALSE,"S31 Westport";"Total S32",#N/A,FALSE,"S32 Wethersfield";"Total S33",#N/A,FALSE,"S33 Weymouth";"Total S34",#N/A,FALSE,"S34 Wilmington Woods";"Total S35",#N/A,FALSE,"S35 Woodcrest";"Total S36",#N/A,FALSE,"S36 Cheshire";"Total S37",#N/A,FALSE,"S37 Kentfield";"Total S38",#N/A,FALSE,"S38 Newton"}</definedName>
    <definedName name="wrn.Totals." localSheetId="2" hidden="1">{"Total Conn",#N/A,FALSE,"Sun CT Properties";"Total Sun",#N/A,FALSE,"Sun Portfolio";"Total SNF",#N/A,FALSE,"Sun SNFs";"Total Hospitals",#N/A,FALSE,"Sun Hospitals";"Total Bev",#N/A,FALSE,"S01 Beverly";"Total S02",#N/A,FALSE,"S02 Boston";"Total S03",#N/A,FALSE,"S03 Bowling Green";"Total S04",#N/A,FALSE,"S04 Bradenton";"Total S05",#N/A,FALSE,"S05 Bristol";"Total S06",#N/A,FALSE,"S06 Brookline";"Total S07",#N/A,FALSE,"S07 Camden";"Total S08",#N/A,FALSE,"S08 Concord";"Total S09",#N/A,FALSE,"S09 South Conn";"Total S10",#N/A,FALSE,"S10 Danbury";"Total S11",#N/A,FALSE,"S11 Darien";"Total S12",#N/A,FALSE,"S12 Denver";"Total S13",#N/A,FALSE,"S13 East Longmeadow";"Total S14",#N/A,FALSE,"S14 Holyoke";"Total S15",#N/A,FALSE,"S15 Lexington";"Total S16",#N/A,FALSE,"S16 Lowell";"Total S17",#N/A,FALSE,"S17 Marlton";"Total S18",#N/A,FALSE,"S18 Milford";"Total S19",#N/A,FALSE,"S19 Millbury";"Total S20",#N/A,FALSE,"S20 Montgomery";"Total S21",#N/A,FALSE,"S21 New Bedford";"Total S22",#N/A,FALSE,"S22 Newington";"Total S23",#N/A,FALSE,"S23 Northshore";"Total S24",#N/A,FALSE,"S24 Northampton";"Total S25",#N/A,FALSE,"S25 Oradell";"Total S26",#N/A,FALSE,"S26 Peabody";"Total S27",#N/A,FALSE,"S27 Randolph";"Total S28",#N/A,FALSE,"S28 San Joaquin";"Total S29",#N/A,FALSE,"S29 Southbury";"Total S30",#N/A,FALSE,"S30 Stamford";"Total S31",#N/A,FALSE,"S31 Westport";"Total S32",#N/A,FALSE,"S32 Wethersfield";"Total S33",#N/A,FALSE,"S33 Weymouth";"Total S34",#N/A,FALSE,"S34 Wilmington Woods";"Total S35",#N/A,FALSE,"S35 Woodcrest";"Total S36",#N/A,FALSE,"S36 Cheshire";"Total S37",#N/A,FALSE,"S37 Kentfield";"Total S38",#N/A,FALSE,"S38 Newton"}</definedName>
    <definedName name="wrn.Totals." hidden="1">{"Total Conn",#N/A,FALSE,"Sun CT Properties";"Total Sun",#N/A,FALSE,"Sun Portfolio";"Total SNF",#N/A,FALSE,"Sun SNFs";"Total Hospitals",#N/A,FALSE,"Sun Hospitals";"Total Bev",#N/A,FALSE,"S01 Beverly";"Total S02",#N/A,FALSE,"S02 Boston";"Total S03",#N/A,FALSE,"S03 Bowling Green";"Total S04",#N/A,FALSE,"S04 Bradenton";"Total S05",#N/A,FALSE,"S05 Bristol";"Total S06",#N/A,FALSE,"S06 Brookline";"Total S07",#N/A,FALSE,"S07 Camden";"Total S08",#N/A,FALSE,"S08 Concord";"Total S09",#N/A,FALSE,"S09 South Conn";"Total S10",#N/A,FALSE,"S10 Danbury";"Total S11",#N/A,FALSE,"S11 Darien";"Total S12",#N/A,FALSE,"S12 Denver";"Total S13",#N/A,FALSE,"S13 East Longmeadow";"Total S14",#N/A,FALSE,"S14 Holyoke";"Total S15",#N/A,FALSE,"S15 Lexington";"Total S16",#N/A,FALSE,"S16 Lowell";"Total S17",#N/A,FALSE,"S17 Marlton";"Total S18",#N/A,FALSE,"S18 Milford";"Total S19",#N/A,FALSE,"S19 Millbury";"Total S20",#N/A,FALSE,"S20 Montgomery";"Total S21",#N/A,FALSE,"S21 New Bedford";"Total S22",#N/A,FALSE,"S22 Newington";"Total S23",#N/A,FALSE,"S23 Northshore";"Total S24",#N/A,FALSE,"S24 Northampton";"Total S25",#N/A,FALSE,"S25 Oradell";"Total S26",#N/A,FALSE,"S26 Peabody";"Total S27",#N/A,FALSE,"S27 Randolph";"Total S28",#N/A,FALSE,"S28 San Joaquin";"Total S29",#N/A,FALSE,"S29 Southbury";"Total S30",#N/A,FALSE,"S30 Stamford";"Total S31",#N/A,FALSE,"S31 Westport";"Total S32",#N/A,FALSE,"S32 Wethersfield";"Total S33",#N/A,FALSE,"S33 Weymouth";"Total S34",#N/A,FALSE,"S34 Wilmington Woods";"Total S35",#N/A,FALSE,"S35 Woodcrest";"Total S36",#N/A,FALSE,"S36 Cheshire";"Total S37",#N/A,FALSE,"S37 Kentfield";"Total S38",#N/A,FALSE,"S38 Newton"}</definedName>
    <definedName name="wrn.Tycon._.Model." localSheetId="3" hidden="1">{"rtn",#N/A,FALSE,"RTN";"tables",#N/A,FALSE,"RTN";"cf",#N/A,FALSE,"CF";"stats",#N/A,FALSE,"Stats";"prop",#N/A,FALSE,"Prop"}</definedName>
    <definedName name="wrn.Tycon._.Model." localSheetId="2" hidden="1">{"rtn",#N/A,FALSE,"RTN";"tables",#N/A,FALSE,"RTN";"cf",#N/A,FALSE,"CF";"stats",#N/A,FALSE,"Stats";"prop",#N/A,FALSE,"Prop"}</definedName>
    <definedName name="wrn.Tycon._.Model." hidden="1">{"rtn",#N/A,FALSE,"RTN";"tables",#N/A,FALSE,"RTN";"cf",#N/A,FALSE,"CF";"stats",#N/A,FALSE,"Stats";"prop",#N/A,FALSE,"Prop"}</definedName>
    <definedName name="wrn.z_ALL." localSheetId="3" hidden="1">{"a_Acquiror Assumptions",#N/A,FALSE,"Financials";"b_Acquiror Income Statement",#N/A,FALSE,"Financials";"c_Acquiror Balance Sheet",#N/A,FALSE,"Financials";"d_Acquiror Cashflow Statement",#N/A,FALSE,"Financials";"e_Target Assumptions",#N/A,FALSE,"Financials";"f_Target Income Statement",#N/A,FALSE,"Financials";"g_Target Balance Sheet",#N/A,FALSE,"Financials";"h_Target Cashflow Statement",#N/A,FALSE,"Financials";"i_Pro Forma Opening B.S.",#N/A,FALSE,"Financials";"j_Pro Forma Assumptions",#N/A,FALSE,"Financials";"k_Pro Forma Income Statement",#N/A,FALSE,"Financials";"l_Pro Forma Balance Sheet",#N/A,FALSE,"Financials";"m_Pro Forma Cashflow Statement",#N/A,FALSE,"Financials";"n_Pro Forma Depreciation Schedule",#N/A,FALSE,"Financials"}</definedName>
    <definedName name="wrn.z_ALL." localSheetId="2" hidden="1">{"a_Acquiror Assumptions",#N/A,FALSE,"Financials";"b_Acquiror Income Statement",#N/A,FALSE,"Financials";"c_Acquiror Balance Sheet",#N/A,FALSE,"Financials";"d_Acquiror Cashflow Statement",#N/A,FALSE,"Financials";"e_Target Assumptions",#N/A,FALSE,"Financials";"f_Target Income Statement",#N/A,FALSE,"Financials";"g_Target Balance Sheet",#N/A,FALSE,"Financials";"h_Target Cashflow Statement",#N/A,FALSE,"Financials";"i_Pro Forma Opening B.S.",#N/A,FALSE,"Financials";"j_Pro Forma Assumptions",#N/A,FALSE,"Financials";"k_Pro Forma Income Statement",#N/A,FALSE,"Financials";"l_Pro Forma Balance Sheet",#N/A,FALSE,"Financials";"m_Pro Forma Cashflow Statement",#N/A,FALSE,"Financials";"n_Pro Forma Depreciation Schedule",#N/A,FALSE,"Financials"}</definedName>
    <definedName name="wrn.z_ALL." hidden="1">{"a_Acquiror Assumptions",#N/A,FALSE,"Financials";"b_Acquiror Income Statement",#N/A,FALSE,"Financials";"c_Acquiror Balance Sheet",#N/A,FALSE,"Financials";"d_Acquiror Cashflow Statement",#N/A,FALSE,"Financials";"e_Target Assumptions",#N/A,FALSE,"Financials";"f_Target Income Statement",#N/A,FALSE,"Financials";"g_Target Balance Sheet",#N/A,FALSE,"Financials";"h_Target Cashflow Statement",#N/A,FALSE,"Financials";"i_Pro Forma Opening B.S.",#N/A,FALSE,"Financials";"j_Pro Forma Assumptions",#N/A,FALSE,"Financials";"k_Pro Forma Income Statement",#N/A,FALSE,"Financials";"l_Pro Forma Balance Sheet",#N/A,FALSE,"Financials";"m_Pro Forma Cashflow Statement",#N/A,FALSE,"Financials";"n_Pro Forma Depreciation Schedule",#N/A,FALSE,"Financials"}</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8" i="32" l="1"/>
  <c r="Z34" i="14"/>
  <c r="E4" i="32" l="1"/>
  <c r="E27" i="32" s="1"/>
  <c r="E31" i="32" s="1"/>
  <c r="K12" i="34" l="1"/>
  <c r="K11" i="34"/>
  <c r="K10" i="34"/>
  <c r="K9" i="34"/>
  <c r="K8" i="34"/>
  <c r="K7" i="34"/>
  <c r="K6" i="34"/>
  <c r="A6" i="34"/>
  <c r="A7" i="34" s="1"/>
  <c r="A8" i="34" s="1"/>
  <c r="A9" i="34" s="1"/>
  <c r="A10" i="34" s="1"/>
  <c r="A11" i="34" s="1"/>
  <c r="A12" i="34" s="1"/>
  <c r="K5" i="34"/>
  <c r="A5" i="34"/>
  <c r="K4" i="34"/>
  <c r="K13" i="34" s="1"/>
  <c r="Y11" i="14" l="1"/>
  <c r="Y10" i="14"/>
  <c r="Y43" i="14"/>
  <c r="Y44" i="31"/>
  <c r="Y38" i="31"/>
  <c r="Y37" i="31"/>
  <c r="Y36" i="31"/>
  <c r="Y35" i="31"/>
  <c r="Y32" i="31"/>
  <c r="A6" i="33"/>
  <c r="A5" i="33"/>
  <c r="K6" i="33"/>
  <c r="K5" i="33"/>
  <c r="K4" i="33"/>
  <c r="K7" i="33" s="1"/>
  <c r="E33" i="32" l="1"/>
  <c r="R3" i="2" l="1"/>
  <c r="Q3" i="2"/>
  <c r="P3" i="2"/>
  <c r="Y63" i="31"/>
  <c r="U63" i="31"/>
  <c r="Q63" i="31"/>
  <c r="M63" i="31"/>
  <c r="I63" i="31"/>
  <c r="E63" i="31"/>
  <c r="Y62" i="31"/>
  <c r="E62" i="31"/>
  <c r="Y61" i="31"/>
  <c r="U61" i="31"/>
  <c r="U62" i="31" s="1"/>
  <c r="Q61" i="31"/>
  <c r="Q62" i="31" s="1"/>
  <c r="M61" i="31"/>
  <c r="M62" i="31" s="1"/>
  <c r="I61" i="31"/>
  <c r="I62" i="31" s="1"/>
  <c r="E61" i="31"/>
  <c r="Y31" i="31"/>
  <c r="U31" i="31"/>
  <c r="Q31" i="31"/>
  <c r="M31" i="31"/>
  <c r="I31" i="31"/>
  <c r="E31" i="31"/>
  <c r="Y18" i="31"/>
  <c r="Y17" i="31"/>
  <c r="Y15" i="31"/>
  <c r="U15" i="31"/>
  <c r="Q15" i="31"/>
  <c r="M15" i="31"/>
  <c r="I15" i="31"/>
  <c r="E15" i="31"/>
  <c r="AA12" i="31"/>
  <c r="Y12" i="31"/>
  <c r="AA11" i="31"/>
  <c r="Z11" i="31"/>
  <c r="AA10" i="31"/>
  <c r="Z10" i="31"/>
  <c r="AH8" i="31"/>
  <c r="AG8" i="31"/>
  <c r="AF8" i="31"/>
  <c r="AE8" i="31"/>
  <c r="Z7" i="31"/>
  <c r="V7" i="31"/>
  <c r="R7" i="31"/>
  <c r="N7" i="31"/>
  <c r="J7" i="31"/>
  <c r="F7" i="31"/>
  <c r="R5" i="31"/>
  <c r="N5" i="31"/>
  <c r="Y13" i="31" l="1"/>
  <c r="Y19" i="31"/>
  <c r="Z19" i="31" l="1"/>
  <c r="Z12" i="31" s="1"/>
  <c r="Y62" i="14" l="1"/>
  <c r="Y63" i="14"/>
  <c r="Y61" i="14"/>
  <c r="Y31" i="14"/>
  <c r="Y15" i="14"/>
  <c r="Z7" i="14"/>
  <c r="Y12" i="14" l="1"/>
  <c r="B9" i="30"/>
  <c r="I11" i="14"/>
  <c r="I11" i="31" s="1"/>
  <c r="F14" i="30"/>
  <c r="F13" i="30"/>
  <c r="B13" i="30"/>
  <c r="B14" i="30"/>
  <c r="B18" i="30"/>
  <c r="B19" i="30"/>
  <c r="AA10" i="14" l="1"/>
  <c r="F15" i="30"/>
  <c r="E11" i="14"/>
  <c r="E11" i="31" s="1"/>
  <c r="AA12" i="14"/>
  <c r="Z43" i="14"/>
  <c r="Y13" i="14"/>
  <c r="AA11" i="14"/>
  <c r="B20" i="30"/>
  <c r="U11" i="14" l="1"/>
  <c r="U11" i="31" s="1"/>
  <c r="B15" i="30"/>
  <c r="B10" i="30"/>
  <c r="V7" i="14" l="1"/>
  <c r="J7" i="14"/>
  <c r="F7" i="14"/>
  <c r="AE5" i="30"/>
  <c r="X1" i="30"/>
  <c r="Y1" i="30"/>
  <c r="Y5" i="30" s="1"/>
  <c r="Z1" i="30"/>
  <c r="Z5" i="30" s="1"/>
  <c r="AA1" i="30"/>
  <c r="AA5" i="30" s="1"/>
  <c r="AB1" i="30"/>
  <c r="AB5" i="30" s="1"/>
  <c r="AC1" i="30"/>
  <c r="AC5" i="30" s="1"/>
  <c r="AD1" i="30"/>
  <c r="AD5" i="30" s="1"/>
  <c r="R5" i="30"/>
  <c r="T5" i="30"/>
  <c r="V5" i="30"/>
  <c r="X5" i="30"/>
  <c r="E1" i="30"/>
  <c r="E5" i="30" s="1"/>
  <c r="F1" i="30"/>
  <c r="F5" i="30" s="1"/>
  <c r="G1" i="30"/>
  <c r="G5" i="30" s="1"/>
  <c r="H1" i="30"/>
  <c r="H5" i="30" s="1"/>
  <c r="I1" i="30"/>
  <c r="I5" i="30" s="1"/>
  <c r="J1" i="30"/>
  <c r="J5" i="30" s="1"/>
  <c r="K1" i="30"/>
  <c r="K5" i="30" s="1"/>
  <c r="L1" i="30"/>
  <c r="L5" i="30" s="1"/>
  <c r="M1" i="30"/>
  <c r="M5" i="30" s="1"/>
  <c r="N1" i="30"/>
  <c r="N5" i="30" s="1"/>
  <c r="O1" i="30"/>
  <c r="O5" i="30" s="1"/>
  <c r="P1" i="30"/>
  <c r="P5" i="30" s="1"/>
  <c r="Q1" i="30"/>
  <c r="Q5" i="30" s="1"/>
  <c r="R1" i="30"/>
  <c r="S1" i="30"/>
  <c r="S5" i="30" s="1"/>
  <c r="T1" i="30"/>
  <c r="U1" i="30"/>
  <c r="U5" i="30" s="1"/>
  <c r="V1" i="30"/>
  <c r="W1" i="30"/>
  <c r="W5" i="30" s="1"/>
  <c r="C1" i="30"/>
  <c r="C5" i="30" s="1"/>
  <c r="D1" i="30"/>
  <c r="D5" i="30" s="1"/>
  <c r="B1" i="30"/>
  <c r="B5" i="30" s="1"/>
  <c r="C589" i="29" l="1"/>
  <c r="C581" i="29"/>
  <c r="C466" i="29"/>
  <c r="C420" i="29"/>
  <c r="C256" i="29"/>
  <c r="C409" i="29"/>
  <c r="L182" i="2"/>
  <c r="L183" i="2"/>
  <c r="L184" i="2"/>
  <c r="L185" i="2"/>
  <c r="L186" i="2"/>
  <c r="L187" i="2"/>
  <c r="L188" i="2"/>
  <c r="L189" i="2"/>
  <c r="J182" i="2"/>
  <c r="J183" i="2"/>
  <c r="J184" i="2"/>
  <c r="J185" i="2"/>
  <c r="J186" i="2"/>
  <c r="J187" i="2"/>
  <c r="J188" i="2"/>
  <c r="J189" i="2"/>
  <c r="B379" i="29"/>
  <c r="D372" i="29"/>
  <c r="D373" i="29"/>
  <c r="D374" i="29"/>
  <c r="D375" i="29"/>
  <c r="D376" i="29"/>
  <c r="D377" i="29"/>
  <c r="D378" i="29"/>
  <c r="A396" i="29"/>
  <c r="A395" i="29"/>
  <c r="L179" i="2"/>
  <c r="L180" i="2"/>
  <c r="L181" i="2"/>
  <c r="J179" i="2"/>
  <c r="J180" i="2"/>
  <c r="J181" i="2"/>
  <c r="D324" i="29"/>
  <c r="D325" i="29"/>
  <c r="A329" i="29"/>
  <c r="B329" i="29" s="1"/>
  <c r="A330" i="29"/>
  <c r="A335" i="29"/>
  <c r="B335" i="29" s="1"/>
  <c r="A337" i="29"/>
  <c r="B256" i="29"/>
  <c r="D371" i="29" l="1"/>
  <c r="D323" i="29"/>
  <c r="L178" i="2"/>
  <c r="J178" i="2"/>
  <c r="C205" i="29"/>
  <c r="L177" i="2"/>
  <c r="J177" i="2"/>
  <c r="C47" i="29"/>
  <c r="C196" i="29"/>
  <c r="J92" i="2"/>
  <c r="L92" i="2"/>
  <c r="J93" i="2"/>
  <c r="L93" i="2"/>
  <c r="J94" i="2"/>
  <c r="L94" i="2"/>
  <c r="J95" i="2"/>
  <c r="L95" i="2"/>
  <c r="J96" i="2"/>
  <c r="L96" i="2"/>
  <c r="J97" i="2"/>
  <c r="L97" i="2"/>
  <c r="J98" i="2"/>
  <c r="L98" i="2"/>
  <c r="J99" i="2"/>
  <c r="L99" i="2"/>
  <c r="J100" i="2"/>
  <c r="L100" i="2"/>
  <c r="J101" i="2"/>
  <c r="L101" i="2"/>
  <c r="J102" i="2"/>
  <c r="L102" i="2"/>
  <c r="J103" i="2"/>
  <c r="L103" i="2"/>
  <c r="J104" i="2"/>
  <c r="L104" i="2"/>
  <c r="J105" i="2"/>
  <c r="L105" i="2"/>
  <c r="J106" i="2"/>
  <c r="L106" i="2"/>
  <c r="J107" i="2"/>
  <c r="L107" i="2"/>
  <c r="J108" i="2"/>
  <c r="L108" i="2"/>
  <c r="J109" i="2"/>
  <c r="L109" i="2"/>
  <c r="J110" i="2"/>
  <c r="L110" i="2"/>
  <c r="J111" i="2"/>
  <c r="L111" i="2"/>
  <c r="J112" i="2"/>
  <c r="L112" i="2"/>
  <c r="J113" i="2"/>
  <c r="L113" i="2"/>
  <c r="J114" i="2"/>
  <c r="L114" i="2"/>
  <c r="J115" i="2"/>
  <c r="L115" i="2"/>
  <c r="J116" i="2"/>
  <c r="L116" i="2"/>
  <c r="J117" i="2"/>
  <c r="L117" i="2"/>
  <c r="J118" i="2"/>
  <c r="L118" i="2"/>
  <c r="J119" i="2"/>
  <c r="L119" i="2"/>
  <c r="J120" i="2"/>
  <c r="L120" i="2"/>
  <c r="J121" i="2"/>
  <c r="L121" i="2"/>
  <c r="J122" i="2"/>
  <c r="L122" i="2"/>
  <c r="J123" i="2"/>
  <c r="L123" i="2"/>
  <c r="J124" i="2"/>
  <c r="L124" i="2"/>
  <c r="J125" i="2"/>
  <c r="L125" i="2"/>
  <c r="J126" i="2"/>
  <c r="L126" i="2"/>
  <c r="J127" i="2"/>
  <c r="L127" i="2"/>
  <c r="J128" i="2"/>
  <c r="L128" i="2"/>
  <c r="J129" i="2"/>
  <c r="L129" i="2"/>
  <c r="J130" i="2"/>
  <c r="L130" i="2"/>
  <c r="J131" i="2"/>
  <c r="L131" i="2"/>
  <c r="J132" i="2"/>
  <c r="L132" i="2"/>
  <c r="J133" i="2"/>
  <c r="L133" i="2"/>
  <c r="J134" i="2"/>
  <c r="L134" i="2"/>
  <c r="J135" i="2"/>
  <c r="L135" i="2"/>
  <c r="J136" i="2"/>
  <c r="L136" i="2"/>
  <c r="J137" i="2"/>
  <c r="L137" i="2"/>
  <c r="J138" i="2"/>
  <c r="L138" i="2"/>
  <c r="J139" i="2"/>
  <c r="L139" i="2"/>
  <c r="J140" i="2"/>
  <c r="L140" i="2"/>
  <c r="J141" i="2"/>
  <c r="L141" i="2"/>
  <c r="J142" i="2"/>
  <c r="L142" i="2"/>
  <c r="J143" i="2"/>
  <c r="L143" i="2"/>
  <c r="J144" i="2"/>
  <c r="L144" i="2"/>
  <c r="J145" i="2"/>
  <c r="L145" i="2"/>
  <c r="J146" i="2"/>
  <c r="L146" i="2"/>
  <c r="J147" i="2"/>
  <c r="L147" i="2"/>
  <c r="J148" i="2"/>
  <c r="L148" i="2"/>
  <c r="J149" i="2"/>
  <c r="L149" i="2"/>
  <c r="J150" i="2"/>
  <c r="L150" i="2"/>
  <c r="J151" i="2"/>
  <c r="L151" i="2"/>
  <c r="J152" i="2"/>
  <c r="L152" i="2"/>
  <c r="J153" i="2"/>
  <c r="L153" i="2"/>
  <c r="J154" i="2"/>
  <c r="L154" i="2"/>
  <c r="J155" i="2"/>
  <c r="L155" i="2"/>
  <c r="J156" i="2"/>
  <c r="L156" i="2"/>
  <c r="J157" i="2"/>
  <c r="L157" i="2"/>
  <c r="J158" i="2"/>
  <c r="L158" i="2"/>
  <c r="J159" i="2"/>
  <c r="L159" i="2"/>
  <c r="J160" i="2"/>
  <c r="L160" i="2"/>
  <c r="J161" i="2"/>
  <c r="L161" i="2"/>
  <c r="J162" i="2"/>
  <c r="L162" i="2"/>
  <c r="J163" i="2"/>
  <c r="L163" i="2"/>
  <c r="J164" i="2"/>
  <c r="L164" i="2"/>
  <c r="J165" i="2"/>
  <c r="L165" i="2"/>
  <c r="J166" i="2"/>
  <c r="L166" i="2"/>
  <c r="J167" i="2"/>
  <c r="L167" i="2"/>
  <c r="J168" i="2"/>
  <c r="L168" i="2"/>
  <c r="J169" i="2"/>
  <c r="L169" i="2"/>
  <c r="J170" i="2"/>
  <c r="L170" i="2"/>
  <c r="J171" i="2"/>
  <c r="L171" i="2"/>
  <c r="J172" i="2"/>
  <c r="L172" i="2"/>
  <c r="J173" i="2"/>
  <c r="L173" i="2"/>
  <c r="J174" i="2"/>
  <c r="L174" i="2"/>
  <c r="J175" i="2"/>
  <c r="L175" i="2"/>
  <c r="J176" i="2"/>
  <c r="L176" i="2"/>
  <c r="D569" i="29"/>
  <c r="D570" i="29"/>
  <c r="D571" i="29"/>
  <c r="D572" i="29"/>
  <c r="D573" i="29"/>
  <c r="A574" i="29"/>
  <c r="E574" i="29" s="1"/>
  <c r="A575" i="29"/>
  <c r="D575" i="29" s="1"/>
  <c r="C575" i="29" s="1"/>
  <c r="A576" i="29"/>
  <c r="E576" i="29" s="1"/>
  <c r="A577" i="29"/>
  <c r="D577" i="29" s="1"/>
  <c r="C577" i="29" s="1"/>
  <c r="D578" i="29"/>
  <c r="A579" i="29"/>
  <c r="D579" i="29" s="1"/>
  <c r="C579" i="29" s="1"/>
  <c r="A580" i="29"/>
  <c r="E580" i="29" s="1"/>
  <c r="D581" i="29"/>
  <c r="D564" i="29"/>
  <c r="A566" i="29"/>
  <c r="D566" i="29" s="1"/>
  <c r="C566" i="29" s="1"/>
  <c r="A567" i="29"/>
  <c r="E567" i="29" s="1"/>
  <c r="A568" i="29"/>
  <c r="D568" i="29" s="1"/>
  <c r="C568" i="29" s="1"/>
  <c r="D561" i="29"/>
  <c r="D562" i="29"/>
  <c r="A495" i="29"/>
  <c r="D496" i="29"/>
  <c r="D498" i="29"/>
  <c r="D499" i="29"/>
  <c r="A500" i="29"/>
  <c r="B500" i="29" s="1"/>
  <c r="A501" i="29"/>
  <c r="D501" i="29" s="1"/>
  <c r="C501" i="29" s="1"/>
  <c r="A502" i="29"/>
  <c r="D502" i="29" s="1"/>
  <c r="C502" i="29" s="1"/>
  <c r="A503" i="29"/>
  <c r="D504" i="29"/>
  <c r="D506" i="29"/>
  <c r="D507" i="29"/>
  <c r="D508" i="29"/>
  <c r="D509" i="29"/>
  <c r="D510" i="29"/>
  <c r="A494" i="29"/>
  <c r="B494" i="29" s="1"/>
  <c r="A493" i="29"/>
  <c r="E493" i="29" s="1"/>
  <c r="A315" i="29"/>
  <c r="B315" i="29" s="1"/>
  <c r="A316" i="29"/>
  <c r="D316" i="29" s="1"/>
  <c r="C316" i="29" s="1"/>
  <c r="D318" i="29"/>
  <c r="D320" i="29"/>
  <c r="D321" i="29"/>
  <c r="D322" i="29"/>
  <c r="A314" i="29"/>
  <c r="E314" i="29" s="1"/>
  <c r="D329" i="29"/>
  <c r="C329" i="29" s="1"/>
  <c r="D332" i="29"/>
  <c r="A264" i="29"/>
  <c r="D264" i="29" s="1"/>
  <c r="C264" i="29" s="1"/>
  <c r="A100" i="29"/>
  <c r="B100" i="29" s="1"/>
  <c r="A101" i="29"/>
  <c r="D101" i="29" s="1"/>
  <c r="C101" i="29" s="1"/>
  <c r="A102" i="29"/>
  <c r="D102" i="29" s="1"/>
  <c r="C102" i="29" s="1"/>
  <c r="D104" i="29"/>
  <c r="D105" i="29"/>
  <c r="D106" i="29"/>
  <c r="D107" i="29"/>
  <c r="D109" i="29"/>
  <c r="D110" i="29"/>
  <c r="D111" i="29"/>
  <c r="D112" i="29"/>
  <c r="D113" i="29"/>
  <c r="C113" i="29" s="1"/>
  <c r="E113" i="29"/>
  <c r="A114" i="29"/>
  <c r="D114" i="29" s="1"/>
  <c r="C114" i="29" s="1"/>
  <c r="A94" i="29"/>
  <c r="B94" i="29" s="1"/>
  <c r="A95" i="29"/>
  <c r="D95" i="29" s="1"/>
  <c r="D5" i="29"/>
  <c r="D6" i="29"/>
  <c r="D7" i="29"/>
  <c r="D8" i="29"/>
  <c r="D9" i="29"/>
  <c r="D13" i="29"/>
  <c r="D14" i="29"/>
  <c r="D18" i="29"/>
  <c r="D19" i="29"/>
  <c r="D20" i="29"/>
  <c r="D21" i="29"/>
  <c r="D24" i="29"/>
  <c r="D25" i="29"/>
  <c r="D26" i="29"/>
  <c r="D27" i="29"/>
  <c r="D28" i="29"/>
  <c r="D31" i="29"/>
  <c r="D32" i="29"/>
  <c r="D33" i="29"/>
  <c r="D36" i="29"/>
  <c r="D37" i="29"/>
  <c r="D38" i="29"/>
  <c r="D39" i="29"/>
  <c r="D43" i="29"/>
  <c r="D44" i="29"/>
  <c r="D45" i="29"/>
  <c r="D46" i="29"/>
  <c r="D51" i="29"/>
  <c r="D52" i="29"/>
  <c r="D53" i="29"/>
  <c r="D54" i="29"/>
  <c r="D57" i="29"/>
  <c r="D58" i="29"/>
  <c r="D59" i="29"/>
  <c r="C59" i="29" s="1"/>
  <c r="E59" i="29"/>
  <c r="D62" i="29"/>
  <c r="D63" i="29"/>
  <c r="D64" i="29"/>
  <c r="D68" i="29"/>
  <c r="D69" i="29"/>
  <c r="D70" i="29"/>
  <c r="D71" i="29"/>
  <c r="D72" i="29"/>
  <c r="D76" i="29"/>
  <c r="D77" i="29"/>
  <c r="D78" i="29"/>
  <c r="D79" i="29"/>
  <c r="D80" i="29"/>
  <c r="D81" i="29"/>
  <c r="D82" i="29"/>
  <c r="D83" i="29"/>
  <c r="D84" i="29"/>
  <c r="D85" i="29"/>
  <c r="E85" i="29"/>
  <c r="D86" i="29"/>
  <c r="C86" i="29" s="1"/>
  <c r="E86" i="29"/>
  <c r="D88" i="29"/>
  <c r="D89" i="29"/>
  <c r="D90" i="29"/>
  <c r="D91" i="29"/>
  <c r="D92" i="29"/>
  <c r="D93" i="29"/>
  <c r="C93" i="29" s="1"/>
  <c r="E93" i="29"/>
  <c r="D96" i="29"/>
  <c r="D97" i="29"/>
  <c r="D119" i="29"/>
  <c r="D120" i="29"/>
  <c r="D121" i="29"/>
  <c r="D122" i="29"/>
  <c r="C122" i="29" s="1"/>
  <c r="E122" i="29"/>
  <c r="D123" i="29"/>
  <c r="C123" i="29" s="1"/>
  <c r="E123" i="29"/>
  <c r="D125" i="29"/>
  <c r="D126" i="29"/>
  <c r="D127" i="29"/>
  <c r="D128" i="29"/>
  <c r="D129" i="29"/>
  <c r="C129" i="29" s="1"/>
  <c r="E129" i="29"/>
  <c r="E130" i="29" s="1"/>
  <c r="D130" i="29"/>
  <c r="C130" i="29" s="1"/>
  <c r="D132" i="29"/>
  <c r="D133" i="29"/>
  <c r="D137" i="29"/>
  <c r="D138" i="29"/>
  <c r="D139" i="29"/>
  <c r="D140" i="29"/>
  <c r="D141" i="29"/>
  <c r="D142" i="29"/>
  <c r="D143" i="29"/>
  <c r="C143" i="29" s="1"/>
  <c r="E143" i="29"/>
  <c r="D144" i="29"/>
  <c r="C144" i="29" s="1"/>
  <c r="E144" i="29"/>
  <c r="D146" i="29"/>
  <c r="D147" i="29"/>
  <c r="D151" i="29"/>
  <c r="D152" i="29"/>
  <c r="D153" i="29"/>
  <c r="D154" i="29"/>
  <c r="D155" i="29"/>
  <c r="D156" i="29"/>
  <c r="D159" i="29"/>
  <c r="D160" i="29"/>
  <c r="D161" i="29"/>
  <c r="D162" i="29"/>
  <c r="D163" i="29"/>
  <c r="D164" i="29"/>
  <c r="D168" i="29"/>
  <c r="D169" i="29"/>
  <c r="D170" i="29"/>
  <c r="D171" i="29"/>
  <c r="D172" i="29"/>
  <c r="D173" i="29"/>
  <c r="D174" i="29"/>
  <c r="D175" i="29"/>
  <c r="D176" i="29"/>
  <c r="D177" i="29"/>
  <c r="D178" i="29"/>
  <c r="D181" i="29"/>
  <c r="D182" i="29"/>
  <c r="D183" i="29"/>
  <c r="D184" i="29"/>
  <c r="D185" i="29"/>
  <c r="D186" i="29"/>
  <c r="D187" i="29"/>
  <c r="D188" i="29"/>
  <c r="C188" i="29" s="1"/>
  <c r="E188" i="29"/>
  <c r="D191" i="29"/>
  <c r="D192" i="29"/>
  <c r="D193" i="29"/>
  <c r="D194" i="29"/>
  <c r="C194" i="29" s="1"/>
  <c r="E194" i="29"/>
  <c r="D195" i="29"/>
  <c r="C195" i="29" s="1"/>
  <c r="E195" i="29"/>
  <c r="D201" i="29"/>
  <c r="D204" i="29"/>
  <c r="C204" i="29" s="1"/>
  <c r="E204" i="29"/>
  <c r="E205" i="29" s="1"/>
  <c r="D205" i="29"/>
  <c r="B206" i="29"/>
  <c r="D206" i="29"/>
  <c r="C206" i="29" s="1"/>
  <c r="E206" i="29"/>
  <c r="B207" i="29"/>
  <c r="D207" i="29"/>
  <c r="C207" i="29" s="1"/>
  <c r="E207" i="29"/>
  <c r="B208" i="29"/>
  <c r="D208" i="29"/>
  <c r="C208" i="29" s="1"/>
  <c r="E208" i="29"/>
  <c r="D210" i="29"/>
  <c r="D211" i="29"/>
  <c r="D212" i="29"/>
  <c r="D213" i="29"/>
  <c r="D214" i="29"/>
  <c r="D215" i="29"/>
  <c r="D219" i="29"/>
  <c r="D220" i="29"/>
  <c r="D224" i="29"/>
  <c r="D225" i="29"/>
  <c r="D226" i="29"/>
  <c r="D227" i="29"/>
  <c r="D231" i="29"/>
  <c r="D232" i="29"/>
  <c r="D233" i="29"/>
  <c r="D234" i="29"/>
  <c r="D238" i="29"/>
  <c r="D239" i="29"/>
  <c r="D240" i="29"/>
  <c r="D243" i="29"/>
  <c r="D244" i="29"/>
  <c r="D245" i="29"/>
  <c r="D246" i="29"/>
  <c r="D250" i="29"/>
  <c r="D251" i="29"/>
  <c r="D252" i="29"/>
  <c r="D259" i="29"/>
  <c r="D260" i="29"/>
  <c r="D261" i="29"/>
  <c r="D262" i="29"/>
  <c r="D265" i="29"/>
  <c r="D266" i="29"/>
  <c r="D267" i="29"/>
  <c r="D268" i="29"/>
  <c r="E268" i="29"/>
  <c r="D271" i="29"/>
  <c r="D272" i="29"/>
  <c r="D273" i="29"/>
  <c r="D274" i="29"/>
  <c r="D275" i="29"/>
  <c r="D276" i="29"/>
  <c r="D280" i="29"/>
  <c r="D281" i="29"/>
  <c r="D282" i="29"/>
  <c r="D283" i="29"/>
  <c r="D284" i="29"/>
  <c r="D285" i="29"/>
  <c r="D289" i="29"/>
  <c r="D290" i="29"/>
  <c r="D291" i="29"/>
  <c r="D292" i="29"/>
  <c r="D293" i="29"/>
  <c r="D294" i="29"/>
  <c r="D295" i="29"/>
  <c r="D296" i="29"/>
  <c r="D297" i="29"/>
  <c r="D302" i="29"/>
  <c r="D303" i="29"/>
  <c r="D304" i="29"/>
  <c r="D305" i="29"/>
  <c r="D306" i="29"/>
  <c r="D307" i="29"/>
  <c r="D311" i="29"/>
  <c r="D312" i="29"/>
  <c r="B419" i="29"/>
  <c r="D419" i="29"/>
  <c r="C419" i="29" s="1"/>
  <c r="E419" i="29"/>
  <c r="B195" i="29"/>
  <c r="B194" i="29"/>
  <c r="B188" i="29"/>
  <c r="B144" i="29"/>
  <c r="B143" i="29"/>
  <c r="B130" i="29"/>
  <c r="B129" i="29"/>
  <c r="B123" i="29"/>
  <c r="B122" i="29"/>
  <c r="B113" i="29"/>
  <c r="B93" i="29"/>
  <c r="B86" i="29"/>
  <c r="B59" i="29"/>
  <c r="B204" i="29"/>
  <c r="D576" i="29" l="1"/>
  <c r="C576" i="29" s="1"/>
  <c r="B567" i="29"/>
  <c r="B566" i="29"/>
  <c r="D580" i="29"/>
  <c r="C580" i="29" s="1"/>
  <c r="D574" i="29"/>
  <c r="C574" i="29" s="1"/>
  <c r="B580" i="29"/>
  <c r="B579" i="29"/>
  <c r="B576" i="29"/>
  <c r="B575" i="29"/>
  <c r="B574" i="29"/>
  <c r="E581" i="29"/>
  <c r="E579" i="29"/>
  <c r="E577" i="29"/>
  <c r="E578" i="29" s="1"/>
  <c r="C578" i="29" s="1"/>
  <c r="E575" i="29"/>
  <c r="D567" i="29"/>
  <c r="C567" i="29" s="1"/>
  <c r="D565" i="29"/>
  <c r="E568" i="29"/>
  <c r="E569" i="29" s="1"/>
  <c r="E566" i="29"/>
  <c r="D563" i="29"/>
  <c r="B502" i="29"/>
  <c r="E502" i="29"/>
  <c r="E500" i="29"/>
  <c r="D500" i="29"/>
  <c r="C500" i="29" s="1"/>
  <c r="B501" i="29"/>
  <c r="D505" i="29"/>
  <c r="D497" i="29"/>
  <c r="E503" i="29"/>
  <c r="E504" i="29" s="1"/>
  <c r="E505" i="29" s="1"/>
  <c r="E506" i="29" s="1"/>
  <c r="E507" i="29" s="1"/>
  <c r="E508" i="29" s="1"/>
  <c r="E509" i="29" s="1"/>
  <c r="E495" i="29"/>
  <c r="E496" i="29" s="1"/>
  <c r="E497" i="29" s="1"/>
  <c r="E498" i="29" s="1"/>
  <c r="E499" i="29" s="1"/>
  <c r="C499" i="29" s="1"/>
  <c r="D511" i="29"/>
  <c r="D503" i="29"/>
  <c r="C503" i="29" s="1"/>
  <c r="D495" i="29"/>
  <c r="C495" i="29" s="1"/>
  <c r="E501" i="29"/>
  <c r="E494" i="29"/>
  <c r="D494" i="29"/>
  <c r="C494" i="29" s="1"/>
  <c r="B493" i="29"/>
  <c r="D493" i="29"/>
  <c r="C493" i="29" s="1"/>
  <c r="D319" i="29"/>
  <c r="D317" i="29"/>
  <c r="E315" i="29"/>
  <c r="D315" i="29"/>
  <c r="C315" i="29" s="1"/>
  <c r="E316" i="29"/>
  <c r="E317" i="29" s="1"/>
  <c r="E318" i="29" s="1"/>
  <c r="E319" i="29" s="1"/>
  <c r="E320" i="29" s="1"/>
  <c r="E321" i="29" s="1"/>
  <c r="B314" i="29"/>
  <c r="D314" i="29"/>
  <c r="C314" i="29" s="1"/>
  <c r="D94" i="29"/>
  <c r="C94" i="29" s="1"/>
  <c r="E94" i="29"/>
  <c r="D330" i="29"/>
  <c r="C330" i="29" s="1"/>
  <c r="E330" i="29"/>
  <c r="E331" i="29" s="1"/>
  <c r="E332" i="29" s="1"/>
  <c r="C332" i="29" s="1"/>
  <c r="D331" i="29"/>
  <c r="E329" i="29"/>
  <c r="B101" i="29"/>
  <c r="C307" i="29"/>
  <c r="C276" i="29"/>
  <c r="C268" i="29"/>
  <c r="E264" i="29"/>
  <c r="E265" i="29" s="1"/>
  <c r="E266" i="29" s="1"/>
  <c r="E267" i="29" s="1"/>
  <c r="C267" i="29" s="1"/>
  <c r="E102" i="29"/>
  <c r="E103" i="29" s="1"/>
  <c r="E104" i="29" s="1"/>
  <c r="E105" i="29" s="1"/>
  <c r="C105" i="29" s="1"/>
  <c r="D103" i="29"/>
  <c r="B114" i="29"/>
  <c r="E100" i="29"/>
  <c r="D108" i="29"/>
  <c r="D100" i="29"/>
  <c r="C100" i="29" s="1"/>
  <c r="E114" i="29"/>
  <c r="E101" i="29"/>
  <c r="E95" i="29"/>
  <c r="E96" i="29" s="1"/>
  <c r="E97" i="29" s="1"/>
  <c r="C97" i="29" s="1"/>
  <c r="C95" i="29"/>
  <c r="C85" i="29"/>
  <c r="C28" i="29"/>
  <c r="C21" i="29"/>
  <c r="A512" i="29"/>
  <c r="A513" i="29"/>
  <c r="A514" i="29"/>
  <c r="A515" i="29"/>
  <c r="A519" i="29"/>
  <c r="A520" i="29"/>
  <c r="A521" i="29"/>
  <c r="A527" i="29"/>
  <c r="A528" i="29"/>
  <c r="A403" i="29"/>
  <c r="A404" i="29"/>
  <c r="A405" i="29"/>
  <c r="A394" i="29"/>
  <c r="A277" i="29"/>
  <c r="A278" i="29"/>
  <c r="A279" i="29"/>
  <c r="A286" i="29"/>
  <c r="A287" i="29"/>
  <c r="A288" i="29"/>
  <c r="A298" i="29"/>
  <c r="A299" i="29"/>
  <c r="A300" i="29"/>
  <c r="A301" i="29"/>
  <c r="A308" i="29"/>
  <c r="A309" i="29"/>
  <c r="A310" i="29"/>
  <c r="A313" i="29"/>
  <c r="A253" i="29"/>
  <c r="B253" i="29" s="1"/>
  <c r="A254" i="29"/>
  <c r="B254" i="29" s="1"/>
  <c r="A255" i="29"/>
  <c r="B255" i="29" s="1"/>
  <c r="A257" i="29"/>
  <c r="A258" i="29"/>
  <c r="A115" i="29"/>
  <c r="A116" i="29"/>
  <c r="A117" i="29"/>
  <c r="A118" i="29"/>
  <c r="A124" i="29"/>
  <c r="A87" i="29"/>
  <c r="A98" i="29"/>
  <c r="A99" i="29"/>
  <c r="A73" i="29"/>
  <c r="A74" i="29"/>
  <c r="A75" i="29"/>
  <c r="A65" i="29"/>
  <c r="A66" i="29"/>
  <c r="A67" i="29"/>
  <c r="A48" i="29"/>
  <c r="A49" i="29"/>
  <c r="A50" i="29"/>
  <c r="A189" i="29"/>
  <c r="A190" i="29"/>
  <c r="A216" i="29"/>
  <c r="A217" i="29"/>
  <c r="A218" i="29"/>
  <c r="A221" i="29"/>
  <c r="A222" i="29"/>
  <c r="A223" i="29"/>
  <c r="A228" i="29"/>
  <c r="A229" i="29"/>
  <c r="A230" i="29"/>
  <c r="A235" i="29"/>
  <c r="A236" i="29"/>
  <c r="A237" i="29"/>
  <c r="A241" i="29"/>
  <c r="A242" i="29"/>
  <c r="A247" i="29"/>
  <c r="A248" i="29"/>
  <c r="A249" i="29"/>
  <c r="A263" i="29"/>
  <c r="A269" i="29"/>
  <c r="A270" i="29"/>
  <c r="A342" i="29"/>
  <c r="A343" i="29"/>
  <c r="A344" i="29"/>
  <c r="A345" i="29"/>
  <c r="A348" i="29"/>
  <c r="A349" i="29"/>
  <c r="A350" i="29"/>
  <c r="A358" i="29"/>
  <c r="A359" i="29"/>
  <c r="A363" i="29"/>
  <c r="A364" i="29"/>
  <c r="A365" i="29"/>
  <c r="A381" i="29"/>
  <c r="A382" i="29"/>
  <c r="A389" i="29"/>
  <c r="A390" i="29"/>
  <c r="A391" i="29"/>
  <c r="A408" i="29"/>
  <c r="A410" i="29"/>
  <c r="A411" i="29"/>
  <c r="A413" i="29"/>
  <c r="A414" i="29"/>
  <c r="A417" i="29"/>
  <c r="A418" i="29"/>
  <c r="A421" i="29"/>
  <c r="A422" i="29"/>
  <c r="A423" i="29"/>
  <c r="A430" i="29"/>
  <c r="A431" i="29"/>
  <c r="A432" i="29"/>
  <c r="A435" i="29"/>
  <c r="A436" i="29"/>
  <c r="A437" i="29"/>
  <c r="A441" i="29"/>
  <c r="A442" i="29"/>
  <c r="A443" i="29"/>
  <c r="A447" i="29"/>
  <c r="A448" i="29"/>
  <c r="A449" i="29"/>
  <c r="A453" i="29"/>
  <c r="A454" i="29"/>
  <c r="A458" i="29"/>
  <c r="A459" i="29"/>
  <c r="A460" i="29"/>
  <c r="A463" i="29"/>
  <c r="A464" i="29"/>
  <c r="A465" i="29"/>
  <c r="A467" i="29"/>
  <c r="A468" i="29"/>
  <c r="A476" i="29"/>
  <c r="A477" i="29"/>
  <c r="A478" i="29"/>
  <c r="A484" i="29"/>
  <c r="A485" i="29"/>
  <c r="A531" i="29"/>
  <c r="A532" i="29"/>
  <c r="A533" i="29"/>
  <c r="A538" i="29"/>
  <c r="A539" i="29"/>
  <c r="A540" i="29"/>
  <c r="A543" i="29"/>
  <c r="A544" i="29"/>
  <c r="A545" i="29"/>
  <c r="A582" i="29"/>
  <c r="B582" i="29" s="1"/>
  <c r="A583" i="29"/>
  <c r="B583" i="29" s="1"/>
  <c r="A584" i="29"/>
  <c r="A586" i="29"/>
  <c r="B586" i="29" s="1"/>
  <c r="A587" i="29"/>
  <c r="B587" i="29" s="1"/>
  <c r="A588" i="29"/>
  <c r="B588" i="29" s="1"/>
  <c r="A209" i="29"/>
  <c r="A60" i="29"/>
  <c r="A61" i="29"/>
  <c r="A131" i="29"/>
  <c r="A134" i="29"/>
  <c r="A135" i="29"/>
  <c r="A136" i="29"/>
  <c r="A145" i="29"/>
  <c r="A148" i="29"/>
  <c r="A149" i="29"/>
  <c r="A150" i="29"/>
  <c r="A157" i="29"/>
  <c r="A158" i="29"/>
  <c r="A165" i="29"/>
  <c r="A166" i="29"/>
  <c r="A167" i="29"/>
  <c r="A179" i="29"/>
  <c r="A180" i="29"/>
  <c r="A197" i="29"/>
  <c r="A198" i="29"/>
  <c r="A199" i="29"/>
  <c r="A200" i="29"/>
  <c r="A202" i="29"/>
  <c r="A203" i="29"/>
  <c r="A55" i="29"/>
  <c r="A56" i="29"/>
  <c r="A10" i="29"/>
  <c r="A11" i="29"/>
  <c r="A12" i="29"/>
  <c r="A15" i="29"/>
  <c r="A16" i="29"/>
  <c r="A17" i="29"/>
  <c r="A3" i="29"/>
  <c r="E3" i="29" s="1"/>
  <c r="A22" i="29"/>
  <c r="A23" i="29"/>
  <c r="A29" i="29"/>
  <c r="A30" i="29"/>
  <c r="A34" i="29"/>
  <c r="A35" i="29"/>
  <c r="A40" i="29"/>
  <c r="A41" i="29"/>
  <c r="A42" i="29"/>
  <c r="B307" i="29"/>
  <c r="B276" i="29"/>
  <c r="B268" i="29"/>
  <c r="B85" i="29"/>
  <c r="B28" i="29"/>
  <c r="B21" i="29"/>
  <c r="B581" i="29"/>
  <c r="B499" i="29"/>
  <c r="B332" i="29"/>
  <c r="B267" i="29"/>
  <c r="C331" i="29" l="1"/>
  <c r="E570" i="29"/>
  <c r="C569" i="29"/>
  <c r="C505" i="29"/>
  <c r="C496" i="29"/>
  <c r="C498" i="29"/>
  <c r="C497" i="29"/>
  <c r="C504" i="29"/>
  <c r="E510" i="29"/>
  <c r="C509" i="29"/>
  <c r="C508" i="29"/>
  <c r="C506" i="29"/>
  <c r="C507" i="29"/>
  <c r="C321" i="29"/>
  <c r="E322" i="29"/>
  <c r="C317" i="29"/>
  <c r="C318" i="29"/>
  <c r="C320" i="29"/>
  <c r="C319" i="29"/>
  <c r="D482" i="29"/>
  <c r="D426" i="29"/>
  <c r="D401" i="29"/>
  <c r="D589" i="29"/>
  <c r="D558" i="29"/>
  <c r="D550" i="29"/>
  <c r="D542" i="29"/>
  <c r="D534" i="29"/>
  <c r="D483" i="29"/>
  <c r="D475" i="29"/>
  <c r="E467" i="29"/>
  <c r="B467" i="29"/>
  <c r="D467" i="29"/>
  <c r="C467" i="29" s="1"/>
  <c r="D459" i="29"/>
  <c r="C459" i="29" s="1"/>
  <c r="E459" i="29"/>
  <c r="B459" i="29"/>
  <c r="D451" i="29"/>
  <c r="D443" i="29"/>
  <c r="C443" i="29" s="1"/>
  <c r="E443" i="29"/>
  <c r="E444" i="29" s="1"/>
  <c r="E445" i="29" s="1"/>
  <c r="E446" i="29" s="1"/>
  <c r="B435" i="29"/>
  <c r="D435" i="29"/>
  <c r="C435" i="29" s="1"/>
  <c r="E435" i="29"/>
  <c r="D427" i="29"/>
  <c r="B418" i="29"/>
  <c r="D418" i="29"/>
  <c r="C418" i="29" s="1"/>
  <c r="E418" i="29"/>
  <c r="B410" i="29"/>
  <c r="D410" i="29"/>
  <c r="C410" i="29" s="1"/>
  <c r="E410" i="29"/>
  <c r="D386" i="29"/>
  <c r="D368" i="29"/>
  <c r="D360" i="29"/>
  <c r="D352" i="29"/>
  <c r="D344" i="29"/>
  <c r="C344" i="29" s="1"/>
  <c r="E344" i="29"/>
  <c r="B344" i="29"/>
  <c r="B394" i="29"/>
  <c r="D394" i="29"/>
  <c r="C394" i="29" s="1"/>
  <c r="E394" i="29"/>
  <c r="D402" i="29"/>
  <c r="D529" i="29"/>
  <c r="D521" i="29"/>
  <c r="C521" i="29" s="1"/>
  <c r="E521" i="29"/>
  <c r="E522" i="29" s="1"/>
  <c r="E523" i="29" s="1"/>
  <c r="E524" i="29" s="1"/>
  <c r="E525" i="29" s="1"/>
  <c r="E526" i="29" s="1"/>
  <c r="B513" i="29"/>
  <c r="D513" i="29"/>
  <c r="C513" i="29" s="1"/>
  <c r="E513" i="29"/>
  <c r="D490" i="29"/>
  <c r="D466" i="29"/>
  <c r="D417" i="29"/>
  <c r="C417" i="29" s="1"/>
  <c r="E417" i="29"/>
  <c r="B417" i="29"/>
  <c r="D489" i="29"/>
  <c r="E587" i="29"/>
  <c r="D587" i="29"/>
  <c r="C587" i="29" s="1"/>
  <c r="D556" i="29"/>
  <c r="D548" i="29"/>
  <c r="D540" i="29"/>
  <c r="C540" i="29" s="1"/>
  <c r="E540" i="29"/>
  <c r="E541" i="29" s="1"/>
  <c r="E542" i="29" s="1"/>
  <c r="B532" i="29"/>
  <c r="D532" i="29"/>
  <c r="C532" i="29" s="1"/>
  <c r="E532" i="29"/>
  <c r="D481" i="29"/>
  <c r="D473" i="29"/>
  <c r="B465" i="29"/>
  <c r="D465" i="29"/>
  <c r="C465" i="29" s="1"/>
  <c r="E465" i="29"/>
  <c r="E466" i="29" s="1"/>
  <c r="D457" i="29"/>
  <c r="D449" i="29"/>
  <c r="C449" i="29" s="1"/>
  <c r="E449" i="29"/>
  <c r="E450" i="29" s="1"/>
  <c r="E451" i="29" s="1"/>
  <c r="E452" i="29" s="1"/>
  <c r="B441" i="29"/>
  <c r="D441" i="29"/>
  <c r="C441" i="29" s="1"/>
  <c r="E441" i="29"/>
  <c r="D433" i="29"/>
  <c r="D425" i="29"/>
  <c r="D416" i="29"/>
  <c r="E408" i="29"/>
  <c r="B408" i="29"/>
  <c r="D408" i="29"/>
  <c r="C408" i="29" s="1"/>
  <c r="D384" i="29"/>
  <c r="D366" i="29"/>
  <c r="E358" i="29"/>
  <c r="B358" i="29"/>
  <c r="D358" i="29"/>
  <c r="C358" i="29" s="1"/>
  <c r="D350" i="29"/>
  <c r="C350" i="29" s="1"/>
  <c r="E350" i="29"/>
  <c r="E351" i="29" s="1"/>
  <c r="E352" i="29" s="1"/>
  <c r="E353" i="29" s="1"/>
  <c r="E354" i="29" s="1"/>
  <c r="E355" i="29" s="1"/>
  <c r="E356" i="29" s="1"/>
  <c r="E357" i="29" s="1"/>
  <c r="B342" i="29"/>
  <c r="D342" i="29"/>
  <c r="C342" i="29" s="1"/>
  <c r="E342" i="29"/>
  <c r="D392" i="29"/>
  <c r="D400" i="29"/>
  <c r="B527" i="29"/>
  <c r="D527" i="29"/>
  <c r="C527" i="29" s="1"/>
  <c r="E527" i="29"/>
  <c r="E519" i="29"/>
  <c r="B519" i="29"/>
  <c r="D519" i="29"/>
  <c r="C519" i="29" s="1"/>
  <c r="D488" i="29"/>
  <c r="E106" i="29"/>
  <c r="C106" i="29" s="1"/>
  <c r="D549" i="29"/>
  <c r="B458" i="29"/>
  <c r="D458" i="29"/>
  <c r="C458" i="29" s="1"/>
  <c r="E458" i="29"/>
  <c r="D409" i="29"/>
  <c r="E409" i="29"/>
  <c r="B343" i="29"/>
  <c r="D343" i="29"/>
  <c r="C343" i="29" s="1"/>
  <c r="E343" i="29"/>
  <c r="E586" i="29"/>
  <c r="D586" i="29"/>
  <c r="C586" i="29" s="1"/>
  <c r="D555" i="29"/>
  <c r="D547" i="29"/>
  <c r="D539" i="29"/>
  <c r="C539" i="29" s="1"/>
  <c r="E539" i="29"/>
  <c r="B539" i="29"/>
  <c r="B531" i="29"/>
  <c r="D531" i="29"/>
  <c r="C531" i="29" s="1"/>
  <c r="E531" i="29"/>
  <c r="D480" i="29"/>
  <c r="D472" i="29"/>
  <c r="B464" i="29"/>
  <c r="D464" i="29"/>
  <c r="C464" i="29" s="1"/>
  <c r="E464" i="29"/>
  <c r="D456" i="29"/>
  <c r="B448" i="29"/>
  <c r="D448" i="29"/>
  <c r="C448" i="29" s="1"/>
  <c r="E448" i="29"/>
  <c r="D440" i="29"/>
  <c r="D432" i="29"/>
  <c r="C432" i="29" s="1"/>
  <c r="E432" i="29"/>
  <c r="E433" i="29" s="1"/>
  <c r="E434" i="29" s="1"/>
  <c r="D424" i="29"/>
  <c r="D415" i="29"/>
  <c r="D391" i="29"/>
  <c r="C391" i="29" s="1"/>
  <c r="E391" i="29"/>
  <c r="E392" i="29" s="1"/>
  <c r="E393" i="29" s="1"/>
  <c r="D383" i="29"/>
  <c r="D365" i="29"/>
  <c r="C365" i="29" s="1"/>
  <c r="E365" i="29"/>
  <c r="E366" i="29" s="1"/>
  <c r="E367" i="29" s="1"/>
  <c r="E368" i="29" s="1"/>
  <c r="E369" i="29" s="1"/>
  <c r="E370" i="29" s="1"/>
  <c r="E371" i="29" s="1"/>
  <c r="D357" i="29"/>
  <c r="D349" i="29"/>
  <c r="C349" i="29" s="1"/>
  <c r="E349" i="29"/>
  <c r="B349" i="29"/>
  <c r="D341" i="29"/>
  <c r="D407" i="29"/>
  <c r="D399" i="29"/>
  <c r="D526" i="29"/>
  <c r="D518" i="29"/>
  <c r="D487" i="29"/>
  <c r="D588" i="29"/>
  <c r="C588" i="29" s="1"/>
  <c r="E588" i="29"/>
  <c r="E589" i="29" s="1"/>
  <c r="D533" i="29"/>
  <c r="C533" i="29" s="1"/>
  <c r="E533" i="29"/>
  <c r="E534" i="29" s="1"/>
  <c r="E535" i="29" s="1"/>
  <c r="E536" i="29" s="1"/>
  <c r="E537" i="29" s="1"/>
  <c r="D442" i="29"/>
  <c r="C442" i="29" s="1"/>
  <c r="E442" i="29"/>
  <c r="B442" i="29"/>
  <c r="D359" i="29"/>
  <c r="C359" i="29" s="1"/>
  <c r="E359" i="29"/>
  <c r="E360" i="29" s="1"/>
  <c r="E361" i="29" s="1"/>
  <c r="E362" i="29" s="1"/>
  <c r="D528" i="29"/>
  <c r="C528" i="29" s="1"/>
  <c r="E528" i="29"/>
  <c r="E529" i="29" s="1"/>
  <c r="E530" i="29" s="1"/>
  <c r="D585" i="29"/>
  <c r="D554" i="29"/>
  <c r="D546" i="29"/>
  <c r="B538" i="29"/>
  <c r="D538" i="29"/>
  <c r="C538" i="29" s="1"/>
  <c r="E538" i="29"/>
  <c r="D530" i="29"/>
  <c r="D479" i="29"/>
  <c r="D471" i="29"/>
  <c r="B463" i="29"/>
  <c r="D463" i="29"/>
  <c r="C463" i="29" s="1"/>
  <c r="E463" i="29"/>
  <c r="D455" i="29"/>
  <c r="B447" i="29"/>
  <c r="D447" i="29"/>
  <c r="C447" i="29" s="1"/>
  <c r="E447" i="29"/>
  <c r="D439" i="29"/>
  <c r="B431" i="29"/>
  <c r="D431" i="29"/>
  <c r="C431" i="29" s="1"/>
  <c r="E431" i="29"/>
  <c r="D423" i="29"/>
  <c r="C423" i="29" s="1"/>
  <c r="E423" i="29"/>
  <c r="E424" i="29" s="1"/>
  <c r="E425" i="29" s="1"/>
  <c r="E426" i="29" s="1"/>
  <c r="E427" i="29" s="1"/>
  <c r="E428" i="29" s="1"/>
  <c r="E429" i="29" s="1"/>
  <c r="E414" i="29"/>
  <c r="E415" i="29" s="1"/>
  <c r="E416" i="29" s="1"/>
  <c r="D414" i="29"/>
  <c r="C414" i="29" s="1"/>
  <c r="B390" i="29"/>
  <c r="D390" i="29"/>
  <c r="C390" i="29" s="1"/>
  <c r="E390" i="29"/>
  <c r="D382" i="29"/>
  <c r="C382" i="29" s="1"/>
  <c r="E382" i="29"/>
  <c r="E383" i="29" s="1"/>
  <c r="E384" i="29" s="1"/>
  <c r="E385" i="29" s="1"/>
  <c r="E386" i="29" s="1"/>
  <c r="E387" i="29" s="1"/>
  <c r="E388" i="29" s="1"/>
  <c r="B364" i="29"/>
  <c r="D364" i="29"/>
  <c r="C364" i="29" s="1"/>
  <c r="E364" i="29"/>
  <c r="D356" i="29"/>
  <c r="B348" i="29"/>
  <c r="D348" i="29"/>
  <c r="C348" i="29" s="1"/>
  <c r="E348" i="29"/>
  <c r="D340" i="29"/>
  <c r="D406" i="29"/>
  <c r="D398" i="29"/>
  <c r="D525" i="29"/>
  <c r="D517" i="29"/>
  <c r="D557" i="29"/>
  <c r="D450" i="29"/>
  <c r="D367" i="29"/>
  <c r="B512" i="29"/>
  <c r="D512" i="29"/>
  <c r="C512" i="29" s="1"/>
  <c r="E512" i="29"/>
  <c r="E584" i="29"/>
  <c r="E585" i="29" s="1"/>
  <c r="D584" i="29"/>
  <c r="C584" i="29" s="1"/>
  <c r="D553" i="29"/>
  <c r="D545" i="29"/>
  <c r="C545" i="29" s="1"/>
  <c r="E545" i="29"/>
  <c r="E546" i="29" s="1"/>
  <c r="E547" i="29" s="1"/>
  <c r="E548" i="29" s="1"/>
  <c r="E549" i="29" s="1"/>
  <c r="E550" i="29" s="1"/>
  <c r="E551" i="29" s="1"/>
  <c r="E552" i="29" s="1"/>
  <c r="E553" i="29" s="1"/>
  <c r="E554" i="29" s="1"/>
  <c r="E555" i="29" s="1"/>
  <c r="E556" i="29" s="1"/>
  <c r="E557" i="29" s="1"/>
  <c r="E558" i="29" s="1"/>
  <c r="E559" i="29" s="1"/>
  <c r="E560" i="29" s="1"/>
  <c r="E561" i="29" s="1"/>
  <c r="D537" i="29"/>
  <c r="D486" i="29"/>
  <c r="D478" i="29"/>
  <c r="C478" i="29" s="1"/>
  <c r="E478" i="29"/>
  <c r="E479" i="29" s="1"/>
  <c r="E480" i="29" s="1"/>
  <c r="E481" i="29" s="1"/>
  <c r="E482" i="29" s="1"/>
  <c r="E483" i="29" s="1"/>
  <c r="D470" i="29"/>
  <c r="D462" i="29"/>
  <c r="D454" i="29"/>
  <c r="C454" i="29" s="1"/>
  <c r="E454" i="29"/>
  <c r="E455" i="29" s="1"/>
  <c r="E456" i="29" s="1"/>
  <c r="E457" i="29" s="1"/>
  <c r="D446" i="29"/>
  <c r="D438" i="29"/>
  <c r="B430" i="29"/>
  <c r="D430" i="29"/>
  <c r="C430" i="29" s="1"/>
  <c r="E430" i="29"/>
  <c r="E422" i="29"/>
  <c r="B422" i="29"/>
  <c r="D422" i="29"/>
  <c r="C422" i="29" s="1"/>
  <c r="B413" i="29"/>
  <c r="D413" i="29"/>
  <c r="C413" i="29" s="1"/>
  <c r="E413" i="29"/>
  <c r="B389" i="29"/>
  <c r="D389" i="29"/>
  <c r="C389" i="29" s="1"/>
  <c r="E389" i="29"/>
  <c r="B381" i="29"/>
  <c r="D381" i="29"/>
  <c r="C381" i="29" s="1"/>
  <c r="E381" i="29"/>
  <c r="D363" i="29"/>
  <c r="C363" i="29" s="1"/>
  <c r="E363" i="29"/>
  <c r="B363" i="29"/>
  <c r="D355" i="29"/>
  <c r="D347" i="29"/>
  <c r="D339" i="29"/>
  <c r="D405" i="29"/>
  <c r="C405" i="29" s="1"/>
  <c r="E405" i="29"/>
  <c r="E406" i="29" s="1"/>
  <c r="E407" i="29" s="1"/>
  <c r="D397" i="29"/>
  <c r="D524" i="29"/>
  <c r="D516" i="29"/>
  <c r="D541" i="29"/>
  <c r="D434" i="29"/>
  <c r="D351" i="29"/>
  <c r="B520" i="29"/>
  <c r="D520" i="29"/>
  <c r="C520" i="29" s="1"/>
  <c r="E520" i="29"/>
  <c r="D560" i="29"/>
  <c r="D552" i="29"/>
  <c r="B544" i="29"/>
  <c r="D544" i="29"/>
  <c r="C544" i="29" s="1"/>
  <c r="E544" i="29"/>
  <c r="D536" i="29"/>
  <c r="D485" i="29"/>
  <c r="C485" i="29" s="1"/>
  <c r="E485" i="29"/>
  <c r="E486" i="29" s="1"/>
  <c r="E487" i="29" s="1"/>
  <c r="E488" i="29" s="1"/>
  <c r="E489" i="29" s="1"/>
  <c r="E490" i="29" s="1"/>
  <c r="E491" i="29" s="1"/>
  <c r="E492" i="29" s="1"/>
  <c r="B477" i="29"/>
  <c r="D477" i="29"/>
  <c r="C477" i="29" s="1"/>
  <c r="E477" i="29"/>
  <c r="D469" i="29"/>
  <c r="D461" i="29"/>
  <c r="E453" i="29"/>
  <c r="B453" i="29"/>
  <c r="D453" i="29"/>
  <c r="C453" i="29" s="1"/>
  <c r="D445" i="29"/>
  <c r="D437" i="29"/>
  <c r="C437" i="29" s="1"/>
  <c r="E437" i="29"/>
  <c r="E438" i="29" s="1"/>
  <c r="E439" i="29" s="1"/>
  <c r="E440" i="29" s="1"/>
  <c r="D429" i="29"/>
  <c r="B421" i="29"/>
  <c r="D421" i="29"/>
  <c r="C421" i="29" s="1"/>
  <c r="E421" i="29"/>
  <c r="D412" i="29"/>
  <c r="C412" i="29" s="1"/>
  <c r="E412" i="29"/>
  <c r="D388" i="29"/>
  <c r="D370" i="29"/>
  <c r="D362" i="29"/>
  <c r="D354" i="29"/>
  <c r="D346" i="29"/>
  <c r="D338" i="29"/>
  <c r="B404" i="29"/>
  <c r="D404" i="29"/>
  <c r="C404" i="29" s="1"/>
  <c r="E404" i="29"/>
  <c r="D396" i="29"/>
  <c r="C396" i="29" s="1"/>
  <c r="E396" i="29"/>
  <c r="E397" i="29" s="1"/>
  <c r="E398" i="29" s="1"/>
  <c r="E399" i="29" s="1"/>
  <c r="E400" i="29" s="1"/>
  <c r="E401" i="29" s="1"/>
  <c r="E402" i="29" s="1"/>
  <c r="D523" i="29"/>
  <c r="D515" i="29"/>
  <c r="C515" i="29" s="1"/>
  <c r="E515" i="29"/>
  <c r="E516" i="29" s="1"/>
  <c r="E517" i="29" s="1"/>
  <c r="E518" i="29" s="1"/>
  <c r="D492" i="29"/>
  <c r="D474" i="29"/>
  <c r="D385" i="29"/>
  <c r="D393" i="29"/>
  <c r="E583" i="29"/>
  <c r="D583" i="29"/>
  <c r="C583" i="29" s="1"/>
  <c r="E179" i="29"/>
  <c r="B179" i="29"/>
  <c r="D179" i="29"/>
  <c r="C179" i="29" s="1"/>
  <c r="E209" i="29"/>
  <c r="E210" i="29" s="1"/>
  <c r="D209" i="29"/>
  <c r="C209" i="29" s="1"/>
  <c r="E582" i="29"/>
  <c r="D582" i="29"/>
  <c r="C582" i="29" s="1"/>
  <c r="D559" i="29"/>
  <c r="D551" i="29"/>
  <c r="B543" i="29"/>
  <c r="D543" i="29"/>
  <c r="C543" i="29" s="1"/>
  <c r="E543" i="29"/>
  <c r="D535" i="29"/>
  <c r="D484" i="29"/>
  <c r="C484" i="29" s="1"/>
  <c r="E484" i="29"/>
  <c r="B484" i="29"/>
  <c r="B476" i="29"/>
  <c r="D476" i="29"/>
  <c r="C476" i="29" s="1"/>
  <c r="E476" i="29"/>
  <c r="D468" i="29"/>
  <c r="C468" i="29" s="1"/>
  <c r="E468" i="29"/>
  <c r="E469" i="29" s="1"/>
  <c r="E470" i="29" s="1"/>
  <c r="E471" i="29" s="1"/>
  <c r="E472" i="29" s="1"/>
  <c r="E473" i="29" s="1"/>
  <c r="E474" i="29" s="1"/>
  <c r="E475" i="29" s="1"/>
  <c r="D460" i="29"/>
  <c r="C460" i="29" s="1"/>
  <c r="E460" i="29"/>
  <c r="E461" i="29" s="1"/>
  <c r="E462" i="29" s="1"/>
  <c r="D452" i="29"/>
  <c r="D444" i="29"/>
  <c r="E436" i="29"/>
  <c r="B436" i="29"/>
  <c r="D436" i="29"/>
  <c r="C436" i="29" s="1"/>
  <c r="D428" i="29"/>
  <c r="D420" i="29"/>
  <c r="E420" i="29"/>
  <c r="D411" i="29"/>
  <c r="C411" i="29" s="1"/>
  <c r="E411" i="29"/>
  <c r="B411" i="29"/>
  <c r="D387" i="29"/>
  <c r="D369" i="29"/>
  <c r="D361" i="29"/>
  <c r="D353" i="29"/>
  <c r="D345" i="29"/>
  <c r="C345" i="29" s="1"/>
  <c r="E345" i="29"/>
  <c r="E346" i="29" s="1"/>
  <c r="E347" i="29" s="1"/>
  <c r="E403" i="29"/>
  <c r="B403" i="29"/>
  <c r="D403" i="29"/>
  <c r="C403" i="29" s="1"/>
  <c r="C395" i="29"/>
  <c r="D522" i="29"/>
  <c r="B514" i="29"/>
  <c r="D514" i="29"/>
  <c r="C514" i="29" s="1"/>
  <c r="E514" i="29"/>
  <c r="D491" i="29"/>
  <c r="C265" i="29"/>
  <c r="B313" i="29"/>
  <c r="D313" i="29"/>
  <c r="C313" i="29" s="1"/>
  <c r="E313" i="29"/>
  <c r="B198" i="29"/>
  <c r="D198" i="29"/>
  <c r="C198" i="29" s="1"/>
  <c r="E198" i="29"/>
  <c r="D158" i="29"/>
  <c r="C158" i="29" s="1"/>
  <c r="E158" i="29"/>
  <c r="E159" i="29" s="1"/>
  <c r="E134" i="29"/>
  <c r="B134" i="29"/>
  <c r="D134" i="29"/>
  <c r="C134" i="29" s="1"/>
  <c r="B247" i="29"/>
  <c r="D247" i="29"/>
  <c r="C247" i="29" s="1"/>
  <c r="E247" i="29"/>
  <c r="D228" i="29"/>
  <c r="C228" i="29" s="1"/>
  <c r="E228" i="29"/>
  <c r="B228" i="29"/>
  <c r="D189" i="29"/>
  <c r="C189" i="29" s="1"/>
  <c r="B189" i="29"/>
  <c r="E189" i="29"/>
  <c r="B117" i="29"/>
  <c r="D117" i="29"/>
  <c r="C117" i="29" s="1"/>
  <c r="E117" i="29"/>
  <c r="E253" i="29"/>
  <c r="D253" i="29"/>
  <c r="C253" i="29" s="1"/>
  <c r="E298" i="29"/>
  <c r="B298" i="29"/>
  <c r="D298" i="29"/>
  <c r="C298" i="29" s="1"/>
  <c r="D197" i="29"/>
  <c r="C197" i="29" s="1"/>
  <c r="E197" i="29"/>
  <c r="B197" i="29"/>
  <c r="D223" i="29"/>
  <c r="C223" i="29" s="1"/>
  <c r="E223" i="29"/>
  <c r="E224" i="29" s="1"/>
  <c r="E288" i="29"/>
  <c r="E289" i="29" s="1"/>
  <c r="D288" i="29"/>
  <c r="C288" i="29" s="1"/>
  <c r="D150" i="29"/>
  <c r="C150" i="29" s="1"/>
  <c r="E150" i="29"/>
  <c r="E151" i="29" s="1"/>
  <c r="B222" i="29"/>
  <c r="D222" i="29"/>
  <c r="C222" i="29" s="1"/>
  <c r="E222" i="29"/>
  <c r="D287" i="29"/>
  <c r="C287" i="29" s="1"/>
  <c r="B287" i="29"/>
  <c r="E287" i="29"/>
  <c r="D180" i="29"/>
  <c r="C180" i="29" s="1"/>
  <c r="E180" i="29"/>
  <c r="E181" i="29" s="1"/>
  <c r="D149" i="29"/>
  <c r="C149" i="29" s="1"/>
  <c r="E149" i="29"/>
  <c r="B149" i="29"/>
  <c r="E335" i="29"/>
  <c r="D335" i="29"/>
  <c r="C335" i="29" s="1"/>
  <c r="E270" i="29"/>
  <c r="E271" i="29" s="1"/>
  <c r="D270" i="29"/>
  <c r="C270" i="29" s="1"/>
  <c r="D237" i="29"/>
  <c r="C237" i="29" s="1"/>
  <c r="E237" i="29"/>
  <c r="E238" i="29" s="1"/>
  <c r="D221" i="29"/>
  <c r="C221" i="29" s="1"/>
  <c r="B221" i="29"/>
  <c r="E221" i="29"/>
  <c r="D258" i="29"/>
  <c r="C258" i="29" s="1"/>
  <c r="E258" i="29"/>
  <c r="E259" i="29" s="1"/>
  <c r="B309" i="29"/>
  <c r="D309" i="29"/>
  <c r="C309" i="29" s="1"/>
  <c r="E309" i="29"/>
  <c r="B286" i="29"/>
  <c r="D286" i="29"/>
  <c r="C286" i="29" s="1"/>
  <c r="E286" i="29"/>
  <c r="C103" i="29"/>
  <c r="D131" i="29"/>
  <c r="C131" i="29" s="1"/>
  <c r="E131" i="29"/>
  <c r="E132" i="29" s="1"/>
  <c r="D242" i="29"/>
  <c r="C242" i="29" s="1"/>
  <c r="E242" i="29"/>
  <c r="E243" i="29" s="1"/>
  <c r="D203" i="29"/>
  <c r="C203" i="29" s="1"/>
  <c r="E203" i="29"/>
  <c r="B203" i="29"/>
  <c r="B148" i="29"/>
  <c r="D148" i="29"/>
  <c r="C148" i="29" s="1"/>
  <c r="E148" i="29"/>
  <c r="E337" i="29"/>
  <c r="E338" i="29" s="1"/>
  <c r="E339" i="29" s="1"/>
  <c r="E340" i="29" s="1"/>
  <c r="E341" i="29" s="1"/>
  <c r="D337" i="29"/>
  <c r="C337" i="29" s="1"/>
  <c r="D334" i="29"/>
  <c r="B269" i="29"/>
  <c r="D269" i="29"/>
  <c r="C269" i="29" s="1"/>
  <c r="E269" i="29"/>
  <c r="B236" i="29"/>
  <c r="D236" i="29"/>
  <c r="C236" i="29" s="1"/>
  <c r="E236" i="29"/>
  <c r="D218" i="29"/>
  <c r="C218" i="29" s="1"/>
  <c r="E218" i="29"/>
  <c r="E219" i="29" s="1"/>
  <c r="B257" i="29"/>
  <c r="D257" i="29"/>
  <c r="C257" i="29" s="1"/>
  <c r="E257" i="29"/>
  <c r="D308" i="29"/>
  <c r="C308" i="29" s="1"/>
  <c r="E308" i="29"/>
  <c r="B308" i="29"/>
  <c r="E279" i="29"/>
  <c r="E280" i="29" s="1"/>
  <c r="D279" i="29"/>
  <c r="C279" i="29" s="1"/>
  <c r="D196" i="29"/>
  <c r="E196" i="29"/>
  <c r="E202" i="29"/>
  <c r="B202" i="29"/>
  <c r="D202" i="29"/>
  <c r="C202" i="29" s="1"/>
  <c r="E167" i="29"/>
  <c r="E168" i="29" s="1"/>
  <c r="D167" i="29"/>
  <c r="C167" i="29" s="1"/>
  <c r="D145" i="29"/>
  <c r="C145" i="29" s="1"/>
  <c r="E145" i="29"/>
  <c r="E146" i="29" s="1"/>
  <c r="D336" i="29"/>
  <c r="E336" i="29"/>
  <c r="D333" i="29"/>
  <c r="E333" i="29"/>
  <c r="E334" i="29" s="1"/>
  <c r="E263" i="29"/>
  <c r="B263" i="29"/>
  <c r="D263" i="29"/>
  <c r="C263" i="29" s="1"/>
  <c r="B235" i="29"/>
  <c r="D235" i="29"/>
  <c r="C235" i="29" s="1"/>
  <c r="E235" i="29"/>
  <c r="D217" i="29"/>
  <c r="C217" i="29" s="1"/>
  <c r="B217" i="29"/>
  <c r="E217" i="29"/>
  <c r="D256" i="29"/>
  <c r="D301" i="29"/>
  <c r="C301" i="29" s="1"/>
  <c r="E301" i="29"/>
  <c r="E302" i="29" s="1"/>
  <c r="D278" i="29"/>
  <c r="C278" i="29" s="1"/>
  <c r="B278" i="29"/>
  <c r="E278" i="29"/>
  <c r="C104" i="29"/>
  <c r="C266" i="29"/>
  <c r="E157" i="29"/>
  <c r="B157" i="29"/>
  <c r="D157" i="29"/>
  <c r="C157" i="29" s="1"/>
  <c r="E115" i="29"/>
  <c r="B115" i="29"/>
  <c r="D115" i="29"/>
  <c r="C115" i="29" s="1"/>
  <c r="D200" i="29"/>
  <c r="C200" i="29" s="1"/>
  <c r="E200" i="29"/>
  <c r="E201" i="29" s="1"/>
  <c r="C201" i="29" s="1"/>
  <c r="D166" i="29"/>
  <c r="C166" i="29" s="1"/>
  <c r="E166" i="29"/>
  <c r="B166" i="29"/>
  <c r="D136" i="29"/>
  <c r="C136" i="29" s="1"/>
  <c r="E136" i="29"/>
  <c r="E137" i="29" s="1"/>
  <c r="D249" i="29"/>
  <c r="C249" i="29" s="1"/>
  <c r="E249" i="29"/>
  <c r="E250" i="29" s="1"/>
  <c r="D230" i="29"/>
  <c r="C230" i="29" s="1"/>
  <c r="E230" i="29"/>
  <c r="E231" i="29" s="1"/>
  <c r="B216" i="29"/>
  <c r="D216" i="29"/>
  <c r="C216" i="29" s="1"/>
  <c r="E216" i="29"/>
  <c r="D124" i="29"/>
  <c r="C124" i="29" s="1"/>
  <c r="E124" i="29"/>
  <c r="E125" i="29" s="1"/>
  <c r="E255" i="29"/>
  <c r="E256" i="29" s="1"/>
  <c r="D255" i="29"/>
  <c r="C255" i="29" s="1"/>
  <c r="B300" i="29"/>
  <c r="D300" i="29"/>
  <c r="C300" i="29" s="1"/>
  <c r="E300" i="29"/>
  <c r="B277" i="29"/>
  <c r="D277" i="29"/>
  <c r="C277" i="29" s="1"/>
  <c r="E277" i="29"/>
  <c r="E116" i="29"/>
  <c r="B116" i="29"/>
  <c r="D116" i="29"/>
  <c r="C116" i="29" s="1"/>
  <c r="E241" i="29"/>
  <c r="B241" i="29"/>
  <c r="D241" i="29"/>
  <c r="C241" i="29" s="1"/>
  <c r="D310" i="29"/>
  <c r="C310" i="29" s="1"/>
  <c r="E310" i="29"/>
  <c r="E311" i="29" s="1"/>
  <c r="D199" i="29"/>
  <c r="C199" i="29" s="1"/>
  <c r="B199" i="29"/>
  <c r="E199" i="29"/>
  <c r="B165" i="29"/>
  <c r="D165" i="29"/>
  <c r="C165" i="29" s="1"/>
  <c r="E165" i="29"/>
  <c r="E135" i="29"/>
  <c r="B135" i="29"/>
  <c r="D135" i="29"/>
  <c r="C135" i="29" s="1"/>
  <c r="E248" i="29"/>
  <c r="B248" i="29"/>
  <c r="D248" i="29"/>
  <c r="C248" i="29" s="1"/>
  <c r="B229" i="29"/>
  <c r="D229" i="29"/>
  <c r="C229" i="29" s="1"/>
  <c r="E229" i="29"/>
  <c r="D190" i="29"/>
  <c r="C190" i="29" s="1"/>
  <c r="E190" i="29"/>
  <c r="E191" i="29" s="1"/>
  <c r="E118" i="29"/>
  <c r="E119" i="29" s="1"/>
  <c r="D118" i="29"/>
  <c r="C118" i="29" s="1"/>
  <c r="D254" i="29"/>
  <c r="C254" i="29" s="1"/>
  <c r="E254" i="29"/>
  <c r="D299" i="29"/>
  <c r="C299" i="29" s="1"/>
  <c r="E299" i="29"/>
  <c r="B299" i="29"/>
  <c r="C96" i="29"/>
  <c r="D87" i="29"/>
  <c r="C87" i="29" s="1"/>
  <c r="E87" i="29"/>
  <c r="E88" i="29" s="1"/>
  <c r="D42" i="29"/>
  <c r="C42" i="29" s="1"/>
  <c r="E42" i="29"/>
  <c r="E43" i="29" s="1"/>
  <c r="E22" i="29"/>
  <c r="B22" i="29"/>
  <c r="D22" i="29"/>
  <c r="C22" i="29" s="1"/>
  <c r="E56" i="29"/>
  <c r="E57" i="29" s="1"/>
  <c r="D56" i="29"/>
  <c r="C56" i="29" s="1"/>
  <c r="D67" i="29"/>
  <c r="C67" i="29" s="1"/>
  <c r="E67" i="29"/>
  <c r="E68" i="29" s="1"/>
  <c r="B98" i="29"/>
  <c r="D98" i="29"/>
  <c r="C98" i="29" s="1"/>
  <c r="E98" i="29"/>
  <c r="B55" i="29"/>
  <c r="E55" i="29"/>
  <c r="D55" i="29"/>
  <c r="C55" i="29" s="1"/>
  <c r="D35" i="29"/>
  <c r="C35" i="29" s="1"/>
  <c r="E35" i="29"/>
  <c r="E36" i="29" s="1"/>
  <c r="B16" i="29"/>
  <c r="D16" i="29"/>
  <c r="C16" i="29" s="1"/>
  <c r="E16" i="29"/>
  <c r="D75" i="29"/>
  <c r="C75" i="29" s="1"/>
  <c r="E75" i="29"/>
  <c r="E76" i="29" s="1"/>
  <c r="D41" i="29"/>
  <c r="C41" i="29" s="1"/>
  <c r="B41" i="29"/>
  <c r="E41" i="29"/>
  <c r="B40" i="29"/>
  <c r="D40" i="29"/>
  <c r="C40" i="29" s="1"/>
  <c r="E40" i="29"/>
  <c r="D61" i="29"/>
  <c r="C61" i="29" s="1"/>
  <c r="E61" i="29"/>
  <c r="E62" i="29" s="1"/>
  <c r="D50" i="29"/>
  <c r="C50" i="29" s="1"/>
  <c r="E50" i="29"/>
  <c r="E51" i="29" s="1"/>
  <c r="B74" i="29"/>
  <c r="D74" i="29"/>
  <c r="C74" i="29" s="1"/>
  <c r="E74" i="29"/>
  <c r="E17" i="29"/>
  <c r="E18" i="29" s="1"/>
  <c r="D17" i="29"/>
  <c r="C17" i="29" s="1"/>
  <c r="E15" i="29"/>
  <c r="B15" i="29"/>
  <c r="D15" i="29"/>
  <c r="C15" i="29" s="1"/>
  <c r="D12" i="29"/>
  <c r="C12" i="29" s="1"/>
  <c r="E12" i="29"/>
  <c r="E13" i="29" s="1"/>
  <c r="D60" i="29"/>
  <c r="C60" i="29" s="1"/>
  <c r="E60" i="29"/>
  <c r="B60" i="29"/>
  <c r="B49" i="29"/>
  <c r="D49" i="29"/>
  <c r="C49" i="29" s="1"/>
  <c r="E49" i="29"/>
  <c r="D73" i="29"/>
  <c r="C73" i="29" s="1"/>
  <c r="B73" i="29"/>
  <c r="E73" i="29"/>
  <c r="D66" i="29"/>
  <c r="C66" i="29" s="1"/>
  <c r="B66" i="29"/>
  <c r="E66" i="29"/>
  <c r="E30" i="29"/>
  <c r="E31" i="29" s="1"/>
  <c r="D30" i="29"/>
  <c r="C30" i="29" s="1"/>
  <c r="B29" i="29"/>
  <c r="D29" i="29"/>
  <c r="C29" i="29" s="1"/>
  <c r="E29" i="29"/>
  <c r="B11" i="29"/>
  <c r="D11" i="29"/>
  <c r="C11" i="29" s="1"/>
  <c r="E11" i="29"/>
  <c r="B48" i="29"/>
  <c r="D48" i="29"/>
  <c r="C48" i="29" s="1"/>
  <c r="E48" i="29"/>
  <c r="B65" i="29"/>
  <c r="D65" i="29"/>
  <c r="C65" i="29" s="1"/>
  <c r="E65" i="29"/>
  <c r="D34" i="29"/>
  <c r="C34" i="29" s="1"/>
  <c r="B34" i="29"/>
  <c r="E34" i="29"/>
  <c r="D23" i="29"/>
  <c r="C23" i="29" s="1"/>
  <c r="E23" i="29"/>
  <c r="E24" i="29" s="1"/>
  <c r="B10" i="29"/>
  <c r="D10" i="29"/>
  <c r="C10" i="29" s="1"/>
  <c r="E10" i="29"/>
  <c r="D47" i="29"/>
  <c r="D99" i="29"/>
  <c r="C99" i="29" s="1"/>
  <c r="B99" i="29"/>
  <c r="E99" i="29"/>
  <c r="D3" i="29"/>
  <c r="C3" i="29" s="1"/>
  <c r="E4" i="29"/>
  <c r="E5" i="29" s="1"/>
  <c r="D4" i="29"/>
  <c r="A2" i="29"/>
  <c r="E2" i="29" s="1"/>
  <c r="U63" i="14"/>
  <c r="U10" i="14" s="1"/>
  <c r="U10" i="31" s="1"/>
  <c r="Q63" i="14"/>
  <c r="M63" i="14"/>
  <c r="I63" i="14"/>
  <c r="I10" i="14" s="1"/>
  <c r="I10" i="31" s="1"/>
  <c r="E63" i="14"/>
  <c r="E10" i="14" s="1"/>
  <c r="E10" i="31" s="1"/>
  <c r="E12" i="31" s="1"/>
  <c r="U61" i="14"/>
  <c r="U62" i="14" s="1"/>
  <c r="Q61" i="14"/>
  <c r="Q62" i="14" s="1"/>
  <c r="M61" i="14"/>
  <c r="M62" i="14" s="1"/>
  <c r="I61" i="14"/>
  <c r="I62" i="14" s="1"/>
  <c r="E61" i="14"/>
  <c r="E62" i="14" s="1"/>
  <c r="U31" i="14"/>
  <c r="Q31" i="14"/>
  <c r="M31" i="14"/>
  <c r="I31" i="14"/>
  <c r="E31" i="14"/>
  <c r="U15" i="14"/>
  <c r="Q15" i="14"/>
  <c r="M15" i="14"/>
  <c r="I15" i="14"/>
  <c r="E15" i="14"/>
  <c r="AH8" i="14"/>
  <c r="AG8" i="14"/>
  <c r="AF8" i="14"/>
  <c r="AE8" i="14"/>
  <c r="R7" i="14"/>
  <c r="N7" i="14"/>
  <c r="R5" i="14"/>
  <c r="N5" i="14"/>
  <c r="L91" i="2"/>
  <c r="J91" i="2"/>
  <c r="L90" i="2"/>
  <c r="J90" i="2"/>
  <c r="L89" i="2"/>
  <c r="J89" i="2"/>
  <c r="L88" i="2"/>
  <c r="J88" i="2"/>
  <c r="L87" i="2"/>
  <c r="J87" i="2"/>
  <c r="L86" i="2"/>
  <c r="J86" i="2"/>
  <c r="L85" i="2"/>
  <c r="J85" i="2"/>
  <c r="L84" i="2"/>
  <c r="J84" i="2"/>
  <c r="L83" i="2"/>
  <c r="J83" i="2"/>
  <c r="L82" i="2"/>
  <c r="J82" i="2"/>
  <c r="L81" i="2"/>
  <c r="J81" i="2"/>
  <c r="L80" i="2"/>
  <c r="J80" i="2"/>
  <c r="L79" i="2"/>
  <c r="J79" i="2"/>
  <c r="L78" i="2"/>
  <c r="J78" i="2"/>
  <c r="L77" i="2"/>
  <c r="J77" i="2"/>
  <c r="L76" i="2"/>
  <c r="J76" i="2"/>
  <c r="L75" i="2"/>
  <c r="J75" i="2"/>
  <c r="L74" i="2"/>
  <c r="J74" i="2"/>
  <c r="L73" i="2"/>
  <c r="J73" i="2"/>
  <c r="L72" i="2"/>
  <c r="J72" i="2"/>
  <c r="L71" i="2"/>
  <c r="J71" i="2"/>
  <c r="L70" i="2"/>
  <c r="J70" i="2"/>
  <c r="L69" i="2"/>
  <c r="J69" i="2"/>
  <c r="L68" i="2"/>
  <c r="J68" i="2"/>
  <c r="L67" i="2"/>
  <c r="J67" i="2"/>
  <c r="L66" i="2"/>
  <c r="J66" i="2"/>
  <c r="L65" i="2"/>
  <c r="J65" i="2"/>
  <c r="L64" i="2"/>
  <c r="J64" i="2"/>
  <c r="L63" i="2"/>
  <c r="J63" i="2"/>
  <c r="L62" i="2"/>
  <c r="J62" i="2"/>
  <c r="L61" i="2"/>
  <c r="J61" i="2"/>
  <c r="L60" i="2"/>
  <c r="J60" i="2"/>
  <c r="L59" i="2"/>
  <c r="J59" i="2"/>
  <c r="L58" i="2"/>
  <c r="J58" i="2"/>
  <c r="L57" i="2"/>
  <c r="J57" i="2"/>
  <c r="L56" i="2"/>
  <c r="J56" i="2"/>
  <c r="L55" i="2"/>
  <c r="J55" i="2"/>
  <c r="L54" i="2"/>
  <c r="J54" i="2"/>
  <c r="L53" i="2"/>
  <c r="J53" i="2"/>
  <c r="L52" i="2"/>
  <c r="J52" i="2"/>
  <c r="L51" i="2"/>
  <c r="J51" i="2"/>
  <c r="L50" i="2"/>
  <c r="J50" i="2"/>
  <c r="L49" i="2"/>
  <c r="J49" i="2"/>
  <c r="L48" i="2"/>
  <c r="J48" i="2"/>
  <c r="L47" i="2"/>
  <c r="J47" i="2"/>
  <c r="L46" i="2"/>
  <c r="J46" i="2"/>
  <c r="L45" i="2"/>
  <c r="J45" i="2"/>
  <c r="L44" i="2"/>
  <c r="J44" i="2"/>
  <c r="L43" i="2"/>
  <c r="J43" i="2"/>
  <c r="L42" i="2"/>
  <c r="J42" i="2"/>
  <c r="L41" i="2"/>
  <c r="J41" i="2"/>
  <c r="L40" i="2"/>
  <c r="J40" i="2"/>
  <c r="L39" i="2"/>
  <c r="J39" i="2"/>
  <c r="L38" i="2"/>
  <c r="J38" i="2"/>
  <c r="L37" i="2"/>
  <c r="J37" i="2"/>
  <c r="L36" i="2"/>
  <c r="J36" i="2"/>
  <c r="L35" i="2"/>
  <c r="J35" i="2"/>
  <c r="L34" i="2"/>
  <c r="J34" i="2"/>
  <c r="L33" i="2"/>
  <c r="J33" i="2"/>
  <c r="L32" i="2"/>
  <c r="J32" i="2"/>
  <c r="L31" i="2"/>
  <c r="J31" i="2"/>
  <c r="L30" i="2"/>
  <c r="J30" i="2"/>
  <c r="L29" i="2"/>
  <c r="J29" i="2"/>
  <c r="L28" i="2"/>
  <c r="J28" i="2"/>
  <c r="L27" i="2"/>
  <c r="J27" i="2"/>
  <c r="L26" i="2"/>
  <c r="J26" i="2"/>
  <c r="L25" i="2"/>
  <c r="J25" i="2"/>
  <c r="L24" i="2"/>
  <c r="J24" i="2"/>
  <c r="L23" i="2"/>
  <c r="J23" i="2"/>
  <c r="L22" i="2"/>
  <c r="J22" i="2"/>
  <c r="L21" i="2"/>
  <c r="J21" i="2"/>
  <c r="L20" i="2"/>
  <c r="J20" i="2"/>
  <c r="L19" i="2"/>
  <c r="J19" i="2"/>
  <c r="L18" i="2"/>
  <c r="J18" i="2"/>
  <c r="L17" i="2"/>
  <c r="J17" i="2"/>
  <c r="L16" i="2"/>
  <c r="J16" i="2"/>
  <c r="L15" i="2"/>
  <c r="J15" i="2"/>
  <c r="L14" i="2"/>
  <c r="J14" i="2"/>
  <c r="L13" i="2"/>
  <c r="J13" i="2"/>
  <c r="L12" i="2"/>
  <c r="J12" i="2"/>
  <c r="L11" i="2"/>
  <c r="J11" i="2"/>
  <c r="L10" i="2"/>
  <c r="J10" i="2"/>
  <c r="L9" i="2"/>
  <c r="J9" i="2"/>
  <c r="L8" i="2"/>
  <c r="J8" i="2"/>
  <c r="L7" i="2"/>
  <c r="J7" i="2"/>
  <c r="L6" i="2"/>
  <c r="J6" i="2"/>
  <c r="L5" i="2"/>
  <c r="J5" i="2"/>
  <c r="L4" i="2"/>
  <c r="J4" i="2"/>
  <c r="L3" i="2"/>
  <c r="J3" i="2"/>
  <c r="B412" i="29"/>
  <c r="B317" i="29"/>
  <c r="B318" i="29"/>
  <c r="B505" i="29"/>
  <c r="B508" i="29"/>
  <c r="B504" i="29"/>
  <c r="B265" i="29"/>
  <c r="B266" i="29"/>
  <c r="B466" i="29"/>
  <c r="B578" i="29"/>
  <c r="B96" i="29"/>
  <c r="B498" i="29"/>
  <c r="B105" i="29"/>
  <c r="B97" i="29"/>
  <c r="B507" i="29"/>
  <c r="B320" i="29"/>
  <c r="B506" i="29"/>
  <c r="B497" i="29"/>
  <c r="B201" i="29"/>
  <c r="B509" i="29"/>
  <c r="B569" i="29"/>
  <c r="B331" i="29"/>
  <c r="B106" i="29"/>
  <c r="B103" i="29"/>
  <c r="B104" i="29"/>
  <c r="B319" i="29"/>
  <c r="B321" i="29"/>
  <c r="B496" i="29"/>
  <c r="U12" i="31" l="1"/>
  <c r="AB9" i="31"/>
  <c r="G10" i="31"/>
  <c r="G12" i="31"/>
  <c r="E13" i="31"/>
  <c r="G11" i="31"/>
  <c r="I12" i="31"/>
  <c r="K10" i="31" s="1"/>
  <c r="E372" i="29"/>
  <c r="C371" i="29"/>
  <c r="C333" i="29"/>
  <c r="C322" i="29"/>
  <c r="E323" i="29"/>
  <c r="C334" i="29"/>
  <c r="C339" i="29"/>
  <c r="C338" i="29"/>
  <c r="C585" i="29"/>
  <c r="C570" i="29"/>
  <c r="E571" i="29"/>
  <c r="C522" i="29"/>
  <c r="E562" i="29"/>
  <c r="C561" i="29"/>
  <c r="C529" i="29"/>
  <c r="C541" i="29"/>
  <c r="C516" i="29"/>
  <c r="C559" i="29"/>
  <c r="C546" i="29"/>
  <c r="C547" i="29"/>
  <c r="C548" i="29"/>
  <c r="C552" i="29"/>
  <c r="C553" i="29"/>
  <c r="C554" i="29"/>
  <c r="C555" i="29"/>
  <c r="C551" i="29"/>
  <c r="C557" i="29"/>
  <c r="C549" i="29"/>
  <c r="C550" i="29"/>
  <c r="C556" i="29"/>
  <c r="C560" i="29"/>
  <c r="C558" i="29"/>
  <c r="C542" i="29"/>
  <c r="C537" i="29"/>
  <c r="C536" i="29"/>
  <c r="C535" i="29"/>
  <c r="C534" i="29"/>
  <c r="C530" i="29"/>
  <c r="C524" i="29"/>
  <c r="C525" i="29"/>
  <c r="C526" i="29"/>
  <c r="C523" i="29"/>
  <c r="C517" i="29"/>
  <c r="C518" i="29"/>
  <c r="E511" i="29"/>
  <c r="C511" i="29" s="1"/>
  <c r="C510" i="29"/>
  <c r="E107" i="29"/>
  <c r="E108" i="29" s="1"/>
  <c r="C444" i="29"/>
  <c r="C347" i="29"/>
  <c r="C362" i="29"/>
  <c r="C461" i="29"/>
  <c r="C450" i="29"/>
  <c r="C469" i="29"/>
  <c r="C351" i="29"/>
  <c r="C397" i="29"/>
  <c r="C470" i="29"/>
  <c r="C360" i="29"/>
  <c r="C383" i="29"/>
  <c r="C346" i="29"/>
  <c r="C406" i="29"/>
  <c r="C438" i="29"/>
  <c r="C479" i="29"/>
  <c r="C440" i="29"/>
  <c r="C392" i="29"/>
  <c r="C416" i="29"/>
  <c r="C492" i="29"/>
  <c r="C489" i="29"/>
  <c r="C490" i="29"/>
  <c r="C491" i="29"/>
  <c r="C488" i="29"/>
  <c r="C486" i="29"/>
  <c r="C487" i="29"/>
  <c r="C480" i="29"/>
  <c r="C482" i="29"/>
  <c r="C481" i="29"/>
  <c r="C483" i="29"/>
  <c r="C473" i="29"/>
  <c r="C475" i="29"/>
  <c r="C472" i="29"/>
  <c r="C471" i="29"/>
  <c r="C474" i="29"/>
  <c r="C462" i="29"/>
  <c r="C455" i="29"/>
  <c r="C456" i="29"/>
  <c r="C457" i="29"/>
  <c r="C452" i="29"/>
  <c r="C451" i="29"/>
  <c r="C445" i="29"/>
  <c r="C446" i="29"/>
  <c r="C439" i="29"/>
  <c r="C434" i="29"/>
  <c r="C433" i="29"/>
  <c r="C428" i="29"/>
  <c r="C429" i="29"/>
  <c r="C425" i="29"/>
  <c r="C427" i="29"/>
  <c r="C426" i="29"/>
  <c r="C424" i="29"/>
  <c r="C415" i="29"/>
  <c r="C407" i="29"/>
  <c r="C402" i="29"/>
  <c r="C398" i="29"/>
  <c r="C401" i="29"/>
  <c r="C399" i="29"/>
  <c r="C400" i="29"/>
  <c r="C393" i="29"/>
  <c r="C386" i="29"/>
  <c r="C387" i="29"/>
  <c r="C385" i="29"/>
  <c r="C388" i="29"/>
  <c r="C384" i="29"/>
  <c r="C367" i="29"/>
  <c r="C366" i="29"/>
  <c r="C368" i="29"/>
  <c r="C369" i="29"/>
  <c r="C370" i="29"/>
  <c r="C361" i="29"/>
  <c r="C354" i="29"/>
  <c r="C356" i="29"/>
  <c r="C352" i="29"/>
  <c r="C353" i="29"/>
  <c r="C355" i="29"/>
  <c r="C357" i="29"/>
  <c r="C341" i="29"/>
  <c r="C340" i="29"/>
  <c r="E211" i="29"/>
  <c r="C210" i="29"/>
  <c r="E225" i="29"/>
  <c r="C224" i="29"/>
  <c r="E192" i="29"/>
  <c r="C191" i="29"/>
  <c r="E169" i="29"/>
  <c r="C168" i="29"/>
  <c r="E244" i="29"/>
  <c r="C243" i="29"/>
  <c r="E290" i="29"/>
  <c r="C289" i="29"/>
  <c r="E281" i="29"/>
  <c r="C280" i="29"/>
  <c r="E133" i="29"/>
  <c r="C133" i="29" s="1"/>
  <c r="C132" i="29"/>
  <c r="E232" i="29"/>
  <c r="C231" i="29"/>
  <c r="E239" i="29"/>
  <c r="C238" i="29"/>
  <c r="E160" i="29"/>
  <c r="C159" i="29"/>
  <c r="E220" i="29"/>
  <c r="C220" i="29" s="1"/>
  <c r="C219" i="29"/>
  <c r="E251" i="29"/>
  <c r="C250" i="29"/>
  <c r="E138" i="29"/>
  <c r="C137" i="29"/>
  <c r="E147" i="29"/>
  <c r="C147" i="29" s="1"/>
  <c r="C146" i="29"/>
  <c r="E182" i="29"/>
  <c r="C181" i="29"/>
  <c r="E152" i="29"/>
  <c r="C151" i="29"/>
  <c r="E126" i="29"/>
  <c r="C125" i="29"/>
  <c r="E260" i="29"/>
  <c r="C259" i="29"/>
  <c r="E272" i="29"/>
  <c r="C271" i="29"/>
  <c r="E120" i="29"/>
  <c r="C119" i="29"/>
  <c r="E312" i="29"/>
  <c r="C312" i="29" s="1"/>
  <c r="C311" i="29"/>
  <c r="E303" i="29"/>
  <c r="C302" i="29"/>
  <c r="C107" i="29"/>
  <c r="E19" i="29"/>
  <c r="C18" i="29"/>
  <c r="C13" i="29"/>
  <c r="E14" i="29"/>
  <c r="C14" i="29" s="1"/>
  <c r="E44" i="29"/>
  <c r="C43" i="29"/>
  <c r="E77" i="29"/>
  <c r="C76" i="29"/>
  <c r="E69" i="29"/>
  <c r="C68" i="29"/>
  <c r="E25" i="29"/>
  <c r="C24" i="29"/>
  <c r="E52" i="29"/>
  <c r="C51" i="29"/>
  <c r="C4" i="29"/>
  <c r="E6" i="29"/>
  <c r="C5" i="29"/>
  <c r="E32" i="29"/>
  <c r="C31" i="29"/>
  <c r="E63" i="29"/>
  <c r="C62" i="29"/>
  <c r="E58" i="29"/>
  <c r="C58" i="29" s="1"/>
  <c r="C57" i="29"/>
  <c r="E89" i="29"/>
  <c r="C88" i="29"/>
  <c r="E37" i="29"/>
  <c r="C36" i="29"/>
  <c r="D2" i="29"/>
  <c r="C2" i="29" s="1"/>
  <c r="B526" i="29"/>
  <c r="B483" i="29"/>
  <c r="B407" i="29"/>
  <c r="B357" i="29"/>
  <c r="B522" i="29"/>
  <c r="B452" i="29"/>
  <c r="B482" i="29"/>
  <c r="B451" i="29"/>
  <c r="B68" i="29"/>
  <c r="B280" i="29"/>
  <c r="B159" i="29"/>
  <c r="B585" i="29"/>
  <c r="B62" i="29"/>
  <c r="B556" i="29"/>
  <c r="B456" i="29"/>
  <c r="B554" i="29"/>
  <c r="B470" i="29"/>
  <c r="B416" i="29"/>
  <c r="B351" i="29"/>
  <c r="B243" i="29"/>
  <c r="B553" i="29"/>
  <c r="B346" i="29"/>
  <c r="B352" i="29"/>
  <c r="B511" i="29"/>
  <c r="B424" i="29"/>
  <c r="B536" i="29"/>
  <c r="B334" i="29"/>
  <c r="B384" i="29"/>
  <c r="B561" i="29"/>
  <c r="B88" i="29"/>
  <c r="B388" i="29"/>
  <c r="B393" i="29"/>
  <c r="B473" i="29"/>
  <c r="B479" i="29"/>
  <c r="B133" i="29"/>
  <c r="B31" i="29"/>
  <c r="B341" i="29"/>
  <c r="B523" i="29"/>
  <c r="B415" i="29"/>
  <c r="B370" i="29"/>
  <c r="B181" i="29"/>
  <c r="B481" i="29"/>
  <c r="B457" i="29"/>
  <c r="B510" i="29"/>
  <c r="B289" i="29"/>
  <c r="B132" i="29"/>
  <c r="B238" i="29"/>
  <c r="B552" i="29"/>
  <c r="B147" i="29"/>
  <c r="B426" i="29"/>
  <c r="B362" i="29"/>
  <c r="B57" i="29"/>
  <c r="B333" i="29"/>
  <c r="B356" i="29"/>
  <c r="B472" i="29"/>
  <c r="B220" i="29"/>
  <c r="B366" i="29"/>
  <c r="B355" i="29"/>
  <c r="B58" i="29"/>
  <c r="B107" i="29"/>
  <c r="B425" i="29"/>
  <c r="B492" i="29"/>
  <c r="B51" i="29"/>
  <c r="B541" i="29"/>
  <c r="B385" i="29"/>
  <c r="B76" i="29"/>
  <c r="B18" i="29"/>
  <c r="B219" i="29"/>
  <c r="B487" i="29"/>
  <c r="B462" i="29"/>
  <c r="B529" i="29"/>
  <c r="B524" i="29"/>
  <c r="B446" i="29"/>
  <c r="B14" i="29"/>
  <c r="B428" i="29"/>
  <c r="B397" i="29"/>
  <c r="B480" i="29"/>
  <c r="B399" i="29"/>
  <c r="B516" i="29"/>
  <c r="B353" i="29"/>
  <c r="B371" i="29"/>
  <c r="B517" i="29"/>
  <c r="B392" i="29"/>
  <c r="B168" i="29"/>
  <c r="B427" i="29"/>
  <c r="B361" i="29"/>
  <c r="B518" i="29"/>
  <c r="B461" i="29"/>
  <c r="B191" i="29"/>
  <c r="B490" i="29"/>
  <c r="B534" i="29"/>
  <c r="B439" i="29"/>
  <c r="B551" i="29"/>
  <c r="B438" i="29"/>
  <c r="B471" i="29"/>
  <c r="B469" i="29"/>
  <c r="B369" i="29"/>
  <c r="B548" i="29"/>
  <c r="B434" i="29"/>
  <c r="B559" i="29"/>
  <c r="B398" i="29"/>
  <c r="B406" i="29"/>
  <c r="B486" i="29"/>
  <c r="B542" i="29"/>
  <c r="B250" i="29"/>
  <c r="B43" i="29"/>
  <c r="B525" i="29"/>
  <c r="B339" i="29"/>
  <c r="B368" i="29"/>
  <c r="B530" i="29"/>
  <c r="B231" i="29"/>
  <c r="B440" i="29"/>
  <c r="B550" i="29"/>
  <c r="B558" i="29"/>
  <c r="B119" i="29"/>
  <c r="B386" i="29"/>
  <c r="B387" i="29"/>
  <c r="B360" i="29"/>
  <c r="B24" i="29"/>
  <c r="B455" i="29"/>
  <c r="B137" i="29"/>
  <c r="B367" i="29"/>
  <c r="B474" i="29"/>
  <c r="B338" i="29"/>
  <c r="B429" i="29"/>
  <c r="B151" i="29"/>
  <c r="B347" i="29"/>
  <c r="B383" i="29"/>
  <c r="B125" i="29"/>
  <c r="B354" i="29"/>
  <c r="B491" i="29"/>
  <c r="B537" i="29"/>
  <c r="B444" i="29"/>
  <c r="B546" i="29"/>
  <c r="B224" i="29"/>
  <c r="B36" i="29"/>
  <c r="B311" i="29"/>
  <c r="B560" i="29"/>
  <c r="B271" i="29"/>
  <c r="B450" i="29"/>
  <c r="B401" i="29"/>
  <c r="B402" i="29"/>
  <c r="B547" i="29"/>
  <c r="B445" i="29"/>
  <c r="B4" i="29"/>
  <c r="B400" i="29"/>
  <c r="B302" i="29"/>
  <c r="B549" i="29"/>
  <c r="B322" i="29"/>
  <c r="B488" i="29"/>
  <c r="B570" i="29"/>
  <c r="B535" i="29"/>
  <c r="B433" i="29"/>
  <c r="B5" i="29"/>
  <c r="B557" i="29"/>
  <c r="B475" i="29"/>
  <c r="B146" i="29"/>
  <c r="B13" i="29"/>
  <c r="B210" i="29"/>
  <c r="B312" i="29"/>
  <c r="B555" i="29"/>
  <c r="B489" i="29"/>
  <c r="B340" i="29"/>
  <c r="Q17" i="31" a="1"/>
  <c r="I13" i="31" l="1"/>
  <c r="K12" i="31"/>
  <c r="K11" i="31"/>
  <c r="W10" i="31"/>
  <c r="U13" i="31"/>
  <c r="W12" i="31"/>
  <c r="W11" i="31"/>
  <c r="Q17" i="31"/>
  <c r="E373" i="29"/>
  <c r="C372" i="29"/>
  <c r="E324" i="29"/>
  <c r="C323" i="29"/>
  <c r="C562" i="29"/>
  <c r="E563" i="29"/>
  <c r="E572" i="29"/>
  <c r="C571" i="29"/>
  <c r="E212" i="29"/>
  <c r="C211" i="29"/>
  <c r="E233" i="29"/>
  <c r="C232" i="29"/>
  <c r="E109" i="29"/>
  <c r="C108" i="29"/>
  <c r="E153" i="29"/>
  <c r="C152" i="29"/>
  <c r="E273" i="29"/>
  <c r="C272" i="29"/>
  <c r="E183" i="29"/>
  <c r="C182" i="29"/>
  <c r="E170" i="29"/>
  <c r="C169" i="29"/>
  <c r="E121" i="29"/>
  <c r="C121" i="29" s="1"/>
  <c r="C120" i="29"/>
  <c r="E304" i="29"/>
  <c r="C303" i="29"/>
  <c r="E261" i="29"/>
  <c r="C260" i="29"/>
  <c r="E161" i="29"/>
  <c r="C160" i="29"/>
  <c r="E282" i="29"/>
  <c r="C281" i="29"/>
  <c r="E193" i="29"/>
  <c r="C193" i="29" s="1"/>
  <c r="C192" i="29"/>
  <c r="E252" i="29"/>
  <c r="C252" i="29" s="1"/>
  <c r="C251" i="29"/>
  <c r="E245" i="29"/>
  <c r="C244" i="29"/>
  <c r="E127" i="29"/>
  <c r="C126" i="29"/>
  <c r="E139" i="29"/>
  <c r="C138" i="29"/>
  <c r="E240" i="29"/>
  <c r="C240" i="29" s="1"/>
  <c r="C239" i="29"/>
  <c r="E291" i="29"/>
  <c r="C290" i="29"/>
  <c r="E226" i="29"/>
  <c r="C225" i="29"/>
  <c r="C89" i="29"/>
  <c r="E90" i="29"/>
  <c r="E7" i="29"/>
  <c r="C6" i="29"/>
  <c r="E78" i="29"/>
  <c r="C77" i="29"/>
  <c r="E53" i="29"/>
  <c r="C52" i="29"/>
  <c r="E45" i="29"/>
  <c r="C44" i="29"/>
  <c r="E64" i="29"/>
  <c r="C64" i="29" s="1"/>
  <c r="C63" i="29"/>
  <c r="E26" i="29"/>
  <c r="C25" i="29"/>
  <c r="E38" i="29"/>
  <c r="C37" i="29"/>
  <c r="E33" i="29"/>
  <c r="C33" i="29" s="1"/>
  <c r="C32" i="29"/>
  <c r="E70" i="29"/>
  <c r="C69" i="29"/>
  <c r="E20" i="29"/>
  <c r="C19" i="29"/>
  <c r="M17" i="31" a="1"/>
  <c r="B211" i="29"/>
  <c r="B77" i="29"/>
  <c r="B169" i="29"/>
  <c r="B52" i="29"/>
  <c r="B182" i="29"/>
  <c r="B232" i="29"/>
  <c r="B251" i="29"/>
  <c r="B33" i="29"/>
  <c r="B225" i="29"/>
  <c r="B120" i="29"/>
  <c r="B323" i="29"/>
  <c r="B244" i="29"/>
  <c r="B239" i="29"/>
  <c r="B25" i="29"/>
  <c r="B37" i="29"/>
  <c r="B290" i="29"/>
  <c r="B192" i="29"/>
  <c r="B281" i="29"/>
  <c r="B260" i="29"/>
  <c r="B108" i="29"/>
  <c r="B138" i="29"/>
  <c r="B63" i="29"/>
  <c r="B303" i="29"/>
  <c r="B272" i="29"/>
  <c r="B44" i="29"/>
  <c r="B19" i="29"/>
  <c r="B562" i="29"/>
  <c r="B64" i="29"/>
  <c r="B252" i="29"/>
  <c r="B193" i="29"/>
  <c r="B571" i="29"/>
  <c r="B240" i="29"/>
  <c r="B6" i="29"/>
  <c r="B372" i="29"/>
  <c r="B121" i="29"/>
  <c r="B126" i="29"/>
  <c r="B160" i="29"/>
  <c r="B32" i="29"/>
  <c r="B69" i="29"/>
  <c r="B89" i="29"/>
  <c r="B152" i="29"/>
  <c r="M17" i="31" l="1"/>
  <c r="E374" i="29"/>
  <c r="C373" i="29"/>
  <c r="C324" i="29"/>
  <c r="E325" i="29"/>
  <c r="C325" i="29" s="1"/>
  <c r="E573" i="29"/>
  <c r="C573" i="29" s="1"/>
  <c r="C572" i="29"/>
  <c r="E564" i="29"/>
  <c r="C563" i="29"/>
  <c r="E213" i="29"/>
  <c r="C212" i="29"/>
  <c r="E140" i="29"/>
  <c r="C139" i="29"/>
  <c r="E305" i="29"/>
  <c r="C304" i="29"/>
  <c r="E227" i="29"/>
  <c r="C227" i="29" s="1"/>
  <c r="C226" i="29"/>
  <c r="E128" i="29"/>
  <c r="C128" i="29" s="1"/>
  <c r="C127" i="29"/>
  <c r="E283" i="29"/>
  <c r="C282" i="29"/>
  <c r="E154" i="29"/>
  <c r="C153" i="29"/>
  <c r="E274" i="29"/>
  <c r="C273" i="29"/>
  <c r="E292" i="29"/>
  <c r="C291" i="29"/>
  <c r="E246" i="29"/>
  <c r="C246" i="29" s="1"/>
  <c r="C245" i="29"/>
  <c r="E162" i="29"/>
  <c r="C161" i="29"/>
  <c r="E171" i="29"/>
  <c r="C170" i="29"/>
  <c r="E110" i="29"/>
  <c r="C109" i="29"/>
  <c r="E262" i="29"/>
  <c r="C262" i="29" s="1"/>
  <c r="C261" i="29"/>
  <c r="E184" i="29"/>
  <c r="C183" i="29"/>
  <c r="E234" i="29"/>
  <c r="C234" i="29" s="1"/>
  <c r="C233" i="29"/>
  <c r="E54" i="29"/>
  <c r="C54" i="29" s="1"/>
  <c r="C53" i="29"/>
  <c r="E39" i="29"/>
  <c r="C39" i="29" s="1"/>
  <c r="C38" i="29"/>
  <c r="E21" i="29"/>
  <c r="C20" i="29"/>
  <c r="E27" i="29"/>
  <c r="C26" i="29"/>
  <c r="E79" i="29"/>
  <c r="C78" i="29"/>
  <c r="E71" i="29"/>
  <c r="C70" i="29"/>
  <c r="E8" i="29"/>
  <c r="C7" i="29"/>
  <c r="E91" i="29"/>
  <c r="C90" i="29"/>
  <c r="E46" i="29"/>
  <c r="C45" i="29"/>
  <c r="B245" i="29"/>
  <c r="B127" i="29"/>
  <c r="B262" i="29"/>
  <c r="B38" i="29"/>
  <c r="B325" i="29"/>
  <c r="B161" i="29"/>
  <c r="B153" i="29"/>
  <c r="B234" i="29"/>
  <c r="B26" i="29"/>
  <c r="B53" i="29"/>
  <c r="B373" i="29"/>
  <c r="B573" i="29"/>
  <c r="B304" i="29"/>
  <c r="B139" i="29"/>
  <c r="B39" i="29"/>
  <c r="B273" i="29"/>
  <c r="B227" i="29"/>
  <c r="B109" i="29"/>
  <c r="B226" i="29"/>
  <c r="B246" i="29"/>
  <c r="B45" i="29"/>
  <c r="B291" i="29"/>
  <c r="B7" i="29"/>
  <c r="B70" i="29"/>
  <c r="B128" i="29"/>
  <c r="B54" i="29"/>
  <c r="B233" i="29"/>
  <c r="B572" i="29"/>
  <c r="B563" i="29"/>
  <c r="B90" i="29"/>
  <c r="B78" i="29"/>
  <c r="B183" i="29"/>
  <c r="B170" i="29"/>
  <c r="B324" i="29"/>
  <c r="B261" i="29"/>
  <c r="B20" i="29"/>
  <c r="B282" i="29"/>
  <c r="B212" i="29"/>
  <c r="E375" i="29" l="1"/>
  <c r="C374" i="29"/>
  <c r="C46" i="29"/>
  <c r="E47" i="29"/>
  <c r="C564" i="29"/>
  <c r="E565" i="29"/>
  <c r="C565" i="29" s="1"/>
  <c r="E214" i="29"/>
  <c r="C213" i="29"/>
  <c r="E111" i="29"/>
  <c r="C110" i="29"/>
  <c r="E172" i="29"/>
  <c r="C171" i="29"/>
  <c r="E275" i="29"/>
  <c r="C274" i="29"/>
  <c r="E293" i="29"/>
  <c r="C292" i="29"/>
  <c r="E185" i="29"/>
  <c r="C184" i="29"/>
  <c r="E163" i="29"/>
  <c r="C162" i="29"/>
  <c r="E155" i="29"/>
  <c r="C154" i="29"/>
  <c r="E306" i="29"/>
  <c r="C305" i="29"/>
  <c r="E284" i="29"/>
  <c r="C283" i="29"/>
  <c r="E141" i="29"/>
  <c r="C140" i="29"/>
  <c r="E92" i="29"/>
  <c r="C92" i="29" s="1"/>
  <c r="C91" i="29"/>
  <c r="E28" i="29"/>
  <c r="C27" i="29"/>
  <c r="E9" i="29"/>
  <c r="C9" i="29" s="1"/>
  <c r="C8" i="29"/>
  <c r="E72" i="29"/>
  <c r="C72" i="29" s="1"/>
  <c r="C71" i="29"/>
  <c r="E80" i="29"/>
  <c r="C79" i="29"/>
  <c r="B79" i="29"/>
  <c r="B374" i="29"/>
  <c r="B71" i="29"/>
  <c r="B72" i="29"/>
  <c r="B91" i="29"/>
  <c r="B213" i="29"/>
  <c r="B92" i="29"/>
  <c r="B565" i="29"/>
  <c r="B154" i="29"/>
  <c r="B8" i="29"/>
  <c r="B283" i="29"/>
  <c r="B110" i="29"/>
  <c r="B162" i="29"/>
  <c r="B292" i="29"/>
  <c r="B140" i="29"/>
  <c r="B171" i="29"/>
  <c r="B274" i="29"/>
  <c r="B184" i="29"/>
  <c r="B27" i="29"/>
  <c r="B564" i="29"/>
  <c r="B305" i="29"/>
  <c r="B9" i="29"/>
  <c r="Q22" i="31" a="1"/>
  <c r="Q18" i="31" a="1"/>
  <c r="M18" i="31" a="1"/>
  <c r="M22" i="31" a="1"/>
  <c r="M20" i="31" a="1"/>
  <c r="Q20" i="31" a="1"/>
  <c r="Q22" i="31" l="1"/>
  <c r="Q20" i="31"/>
  <c r="Q18" i="31"/>
  <c r="M22" i="31"/>
  <c r="M18" i="31"/>
  <c r="M20" i="31"/>
  <c r="C375" i="29"/>
  <c r="E376" i="29"/>
  <c r="E215" i="29"/>
  <c r="C215" i="29" s="1"/>
  <c r="C214" i="29"/>
  <c r="E285" i="29"/>
  <c r="C285" i="29" s="1"/>
  <c r="C284" i="29"/>
  <c r="E112" i="29"/>
  <c r="C112" i="29" s="1"/>
  <c r="C111" i="29"/>
  <c r="E294" i="29"/>
  <c r="C293" i="29"/>
  <c r="E156" i="29"/>
  <c r="C156" i="29" s="1"/>
  <c r="C155" i="29"/>
  <c r="E276" i="29"/>
  <c r="C275" i="29"/>
  <c r="E307" i="29"/>
  <c r="C306" i="29"/>
  <c r="E142" i="29"/>
  <c r="C142" i="29" s="1"/>
  <c r="C141" i="29"/>
  <c r="E164" i="29"/>
  <c r="C164" i="29" s="1"/>
  <c r="C163" i="29"/>
  <c r="E173" i="29"/>
  <c r="C172" i="29"/>
  <c r="E186" i="29"/>
  <c r="C185" i="29"/>
  <c r="E81" i="29"/>
  <c r="C80" i="29"/>
  <c r="B375" i="29"/>
  <c r="B215" i="29"/>
  <c r="B293" i="29"/>
  <c r="B111" i="29"/>
  <c r="B172" i="29"/>
  <c r="B141" i="29"/>
  <c r="B164" i="29"/>
  <c r="B80" i="29"/>
  <c r="B214" i="29"/>
  <c r="B163" i="29"/>
  <c r="B306" i="29"/>
  <c r="B156" i="29"/>
  <c r="B285" i="29"/>
  <c r="B275" i="29"/>
  <c r="B284" i="29"/>
  <c r="B185" i="29"/>
  <c r="B112" i="29"/>
  <c r="B155" i="29"/>
  <c r="B142" i="29"/>
  <c r="Q19" i="31" l="1"/>
  <c r="M19" i="31"/>
  <c r="C376" i="29"/>
  <c r="E377" i="29"/>
  <c r="E174" i="29"/>
  <c r="C173" i="29"/>
  <c r="E295" i="29"/>
  <c r="C294" i="29"/>
  <c r="E187" i="29"/>
  <c r="C187" i="29" s="1"/>
  <c r="C186" i="29"/>
  <c r="E82" i="29"/>
  <c r="C81" i="29"/>
  <c r="B173" i="29"/>
  <c r="B294" i="29"/>
  <c r="B186" i="29"/>
  <c r="B187" i="29"/>
  <c r="B81" i="29"/>
  <c r="B376" i="29"/>
  <c r="M29" i="31" l="1"/>
  <c r="O19" i="31" s="1"/>
  <c r="Q29" i="31"/>
  <c r="S19" i="31" s="1"/>
  <c r="C377" i="29"/>
  <c r="E378" i="29"/>
  <c r="C378" i="29" s="1"/>
  <c r="E296" i="29"/>
  <c r="C295" i="29"/>
  <c r="E175" i="29"/>
  <c r="C174" i="29"/>
  <c r="E83" i="29"/>
  <c r="C82" i="29"/>
  <c r="B82" i="29"/>
  <c r="B378" i="29"/>
  <c r="B295" i="29"/>
  <c r="B174" i="29"/>
  <c r="B377" i="29"/>
  <c r="O29" i="31" l="1"/>
  <c r="O17" i="31"/>
  <c r="O18" i="31"/>
  <c r="O20" i="31"/>
  <c r="O22" i="31"/>
  <c r="S29" i="31"/>
  <c r="S17" i="31"/>
  <c r="S18" i="31"/>
  <c r="S20" i="31"/>
  <c r="S22" i="31"/>
  <c r="E297" i="29"/>
  <c r="C297" i="29" s="1"/>
  <c r="C296" i="29"/>
  <c r="E176" i="29"/>
  <c r="C175" i="29"/>
  <c r="E84" i="29"/>
  <c r="C84" i="29" s="1"/>
  <c r="C83" i="29"/>
  <c r="B296" i="29"/>
  <c r="B83" i="29"/>
  <c r="B84" i="29"/>
  <c r="B297" i="29"/>
  <c r="B175" i="29"/>
  <c r="E177" i="29" l="1"/>
  <c r="C176" i="29"/>
  <c r="B176" i="29"/>
  <c r="E178" i="29" l="1"/>
  <c r="C178" i="29" s="1"/>
  <c r="C177" i="29"/>
  <c r="M39" i="14" a="1"/>
  <c r="M50" i="14" a="1"/>
  <c r="Q39" i="14" a="1"/>
  <c r="M40" i="14" a="1"/>
  <c r="M20" i="14" a="1"/>
  <c r="M41" i="14" a="1"/>
  <c r="Q40" i="14" a="1"/>
  <c r="M17" i="14" a="1"/>
  <c r="Q49" i="14" a="1"/>
  <c r="M45" i="14" a="1"/>
  <c r="B178" i="29"/>
  <c r="Q51" i="14" a="1"/>
  <c r="M49" i="14" a="1"/>
  <c r="Q20" i="14" a="1"/>
  <c r="Q45" i="14" a="1"/>
  <c r="B177" i="29"/>
  <c r="E38" i="14" a="1"/>
  <c r="Q42" i="14" a="1"/>
  <c r="Y49" i="14" a="1"/>
  <c r="I68" i="14" a="1"/>
  <c r="U44" i="14" a="1"/>
  <c r="M32" i="14" a="1"/>
  <c r="Q10" i="14" a="1"/>
  <c r="Q26" i="31" a="1"/>
  <c r="E26" i="14" a="1"/>
  <c r="I37" i="14" a="1"/>
  <c r="M48" i="14" a="1"/>
  <c r="Q34" i="14" a="1"/>
  <c r="Q22" i="14" a="1"/>
  <c r="U17" i="14" a="1"/>
  <c r="Y46" i="14" a="1"/>
  <c r="Y26" i="31" a="1"/>
  <c r="Q41" i="14" a="1"/>
  <c r="I41" i="14" a="1"/>
  <c r="I34" i="14" a="1"/>
  <c r="Q43" i="14" a="1"/>
  <c r="I32" i="14" a="1"/>
  <c r="E18" i="14" a="1"/>
  <c r="U21" i="14" a="1"/>
  <c r="U67" i="31" a="1"/>
  <c r="Y25" i="31" a="1"/>
  <c r="M18" i="14" a="1"/>
  <c r="E50" i="14" a="1"/>
  <c r="Y50" i="14" a="1"/>
  <c r="Q26" i="14" a="1"/>
  <c r="M51" i="14" a="1"/>
  <c r="U49" i="14" a="1"/>
  <c r="I36" i="14" a="1"/>
  <c r="U67" i="14" a="1"/>
  <c r="U33" i="14" a="1"/>
  <c r="Q50" i="14" a="1"/>
  <c r="U68" i="14" a="1"/>
  <c r="M42" i="14" a="1"/>
  <c r="Q25" i="31" a="1"/>
  <c r="U25" i="31" a="1"/>
  <c r="U32" i="14" a="1"/>
  <c r="I17" i="14" a="1"/>
  <c r="U22" i="14" a="1"/>
  <c r="U45" i="14" a="1"/>
  <c r="Q35" i="14" a="1"/>
  <c r="U25" i="14" a="1"/>
  <c r="E23" i="14" a="1"/>
  <c r="M25" i="31" a="1"/>
  <c r="U46" i="14" a="1"/>
  <c r="Q17" i="14" a="1"/>
  <c r="Q46" i="14" a="1"/>
  <c r="Y25" i="14" a="1"/>
  <c r="Q38" i="14" a="1"/>
  <c r="Q18" i="14" a="1"/>
  <c r="M22" i="14" a="1"/>
  <c r="I33" i="14" a="1"/>
  <c r="Y26" i="14" a="1"/>
  <c r="E45" i="14" a="1"/>
  <c r="M43" i="14" a="1"/>
  <c r="I21" i="14" a="1"/>
  <c r="M11" i="31" a="1"/>
  <c r="I66" i="31" a="1"/>
  <c r="I26" i="14" a="1"/>
  <c r="E25" i="31" a="1"/>
  <c r="Q11" i="14" a="1"/>
  <c r="E48" i="14" a="1"/>
  <c r="E20" i="14" a="1"/>
  <c r="E67" i="14" a="1"/>
  <c r="E40" i="14" a="1"/>
  <c r="M10" i="14" a="1"/>
  <c r="I68" i="31" a="1"/>
  <c r="I51" i="14" a="1"/>
  <c r="Q44" i="14" a="1"/>
  <c r="I20" i="14" a="1"/>
  <c r="I45" i="14" a="1"/>
  <c r="U50" i="14" a="1"/>
  <c r="Q25" i="14" a="1"/>
  <c r="U18" i="14" a="1"/>
  <c r="I23" i="14" a="1"/>
  <c r="Y51" i="14" a="1"/>
  <c r="U37" i="14" a="1"/>
  <c r="I40" i="14" a="1"/>
  <c r="I38" i="14" a="1"/>
  <c r="U23" i="14" a="1"/>
  <c r="M37" i="14" a="1"/>
  <c r="U68" i="31" a="1"/>
  <c r="E26" i="31" a="1"/>
  <c r="U36" i="14" a="1"/>
  <c r="E37" i="14" a="1"/>
  <c r="E35" i="14" a="1"/>
  <c r="E66" i="14" a="1"/>
  <c r="I25" i="31" a="1"/>
  <c r="I50" i="14" a="1"/>
  <c r="U66" i="14" a="1"/>
  <c r="I48" i="14" a="1"/>
  <c r="U40" i="14" a="1"/>
  <c r="Y66" i="31" a="1"/>
  <c r="E25" i="14" a="1"/>
  <c r="Q48" i="14" a="1"/>
  <c r="U48" i="14" a="1"/>
  <c r="M38" i="14" a="1"/>
  <c r="I49" i="14" a="1"/>
  <c r="M10" i="31" a="1"/>
  <c r="E51" i="14" a="1"/>
  <c r="I26" i="31" a="1"/>
  <c r="E39" i="14" a="1"/>
  <c r="I46" i="14" a="1"/>
  <c r="E67" i="31" a="1"/>
  <c r="M11" i="14" a="1"/>
  <c r="M46" i="14" a="1"/>
  <c r="M34" i="14" a="1"/>
  <c r="Q11" i="31" a="1"/>
  <c r="I18" i="14" a="1"/>
  <c r="I35" i="14" a="1"/>
  <c r="Y48" i="14" a="1"/>
  <c r="M26" i="31" a="1"/>
  <c r="I44" i="14" a="1"/>
  <c r="E22" i="14" a="1"/>
  <c r="E34" i="14" a="1"/>
  <c r="Q36" i="14" a="1"/>
  <c r="E36" i="14" a="1"/>
  <c r="U34" i="14" a="1"/>
  <c r="U20" i="14" a="1"/>
  <c r="U26" i="31" a="1"/>
  <c r="E68" i="31" a="1"/>
  <c r="I66" i="14" a="1"/>
  <c r="U35" i="14" a="1"/>
  <c r="I67" i="31" a="1"/>
  <c r="E42" i="14" a="1"/>
  <c r="Q32" i="14" a="1"/>
  <c r="E66" i="31" a="1"/>
  <c r="U51" i="14" a="1"/>
  <c r="M26" i="14" a="1"/>
  <c r="I22" i="14" a="1"/>
  <c r="U66" i="31" a="1"/>
  <c r="E49" i="14" a="1"/>
  <c r="E33" i="14" a="1"/>
  <c r="I39" i="14" a="1"/>
  <c r="I42" i="14" a="1"/>
  <c r="E32" i="14" a="1"/>
  <c r="M35" i="14" a="1"/>
  <c r="E41" i="14" a="1"/>
  <c r="I25" i="14" a="1"/>
  <c r="U38" i="14" a="1"/>
  <c r="U39" i="14" a="1"/>
  <c r="U26" i="14" a="1"/>
  <c r="E68" i="14" a="1"/>
  <c r="Q10" i="31" a="1"/>
  <c r="E44" i="14" a="1"/>
  <c r="M44" i="14" a="1"/>
  <c r="E17" i="14" a="1"/>
  <c r="I67" i="14" a="1"/>
  <c r="M25" i="14" a="1"/>
  <c r="E21" i="14" a="1"/>
  <c r="M36" i="14" a="1"/>
  <c r="Y67" i="31" a="1"/>
  <c r="Y68" i="31" a="1"/>
  <c r="E46" i="14" a="1"/>
  <c r="Q37" i="14" a="1"/>
  <c r="E26" i="31" l="1"/>
  <c r="I66" i="31"/>
  <c r="Q25" i="31"/>
  <c r="E67" i="31"/>
  <c r="I68" i="31"/>
  <c r="U68" i="31"/>
  <c r="U25" i="31"/>
  <c r="Y66" i="31"/>
  <c r="E66" i="31"/>
  <c r="Y68" i="31"/>
  <c r="E68" i="31"/>
  <c r="I67" i="31"/>
  <c r="I25" i="31"/>
  <c r="Q26" i="31"/>
  <c r="Y67" i="31"/>
  <c r="M26" i="31"/>
  <c r="Y25" i="31"/>
  <c r="M25" i="31"/>
  <c r="Y26" i="31"/>
  <c r="Q10" i="31"/>
  <c r="Q11" i="31"/>
  <c r="M10" i="31"/>
  <c r="E25" i="31"/>
  <c r="U66" i="31"/>
  <c r="U26" i="31"/>
  <c r="U67" i="31"/>
  <c r="I26" i="31"/>
  <c r="M11" i="31"/>
  <c r="Y25" i="14"/>
  <c r="Y49" i="14"/>
  <c r="Y51" i="14"/>
  <c r="Y46" i="14"/>
  <c r="Y26" i="14"/>
  <c r="Y48" i="14"/>
  <c r="Y50" i="14"/>
  <c r="U23" i="14"/>
  <c r="U23" i="31" s="1"/>
  <c r="U22" i="14"/>
  <c r="U22" i="31" s="1"/>
  <c r="U21" i="14"/>
  <c r="U21" i="31" s="1"/>
  <c r="I21" i="14"/>
  <c r="Y21" i="14" s="1"/>
  <c r="I23" i="14"/>
  <c r="Y23" i="14" s="1"/>
  <c r="I22" i="14"/>
  <c r="Y22" i="14" s="1"/>
  <c r="E23" i="14"/>
  <c r="E23" i="31" s="1"/>
  <c r="E22" i="14"/>
  <c r="E22" i="31" s="1"/>
  <c r="E21" i="14"/>
  <c r="E21" i="31" s="1"/>
  <c r="E46" i="14"/>
  <c r="I38" i="14"/>
  <c r="Y38" i="14" s="1"/>
  <c r="E35" i="14"/>
  <c r="E25" i="14"/>
  <c r="I26" i="14"/>
  <c r="U68" i="14"/>
  <c r="Q42" i="14"/>
  <c r="U26" i="14"/>
  <c r="M40" i="14"/>
  <c r="Q41" i="14"/>
  <c r="U50" i="14"/>
  <c r="I37" i="14"/>
  <c r="Y37" i="14" s="1"/>
  <c r="U45" i="14"/>
  <c r="Q18" i="14"/>
  <c r="M34" i="14"/>
  <c r="E20" i="14"/>
  <c r="E20" i="31" s="1"/>
  <c r="M22" i="14"/>
  <c r="M37" i="14"/>
  <c r="E67" i="14"/>
  <c r="E34" i="14"/>
  <c r="E39" i="14"/>
  <c r="P5" i="2" s="1"/>
  <c r="U51" i="14"/>
  <c r="U17" i="14"/>
  <c r="U17" i="31" s="1"/>
  <c r="M18" i="14"/>
  <c r="U38" i="14"/>
  <c r="Q37" i="14"/>
  <c r="Q50" i="14"/>
  <c r="Q34" i="14"/>
  <c r="I49" i="14"/>
  <c r="M41" i="14"/>
  <c r="E68" i="14"/>
  <c r="Q35" i="14"/>
  <c r="Q36" i="14"/>
  <c r="Q43" i="14"/>
  <c r="U48" i="14"/>
  <c r="M43" i="14"/>
  <c r="M10" i="14"/>
  <c r="I39" i="14"/>
  <c r="I50" i="14"/>
  <c r="U25" i="14"/>
  <c r="I25" i="14"/>
  <c r="E66" i="14"/>
  <c r="Q49" i="14"/>
  <c r="I66" i="14"/>
  <c r="M26" i="14"/>
  <c r="I34" i="14"/>
  <c r="Q48" i="14"/>
  <c r="U39" i="14"/>
  <c r="R5" i="2" s="1"/>
  <c r="E48" i="14"/>
  <c r="I51" i="14"/>
  <c r="E45" i="14"/>
  <c r="M45" i="14"/>
  <c r="Q46" i="14"/>
  <c r="E33" i="14"/>
  <c r="E17" i="14"/>
  <c r="E17" i="31" s="1"/>
  <c r="U49" i="14"/>
  <c r="Q26" i="14"/>
  <c r="E37" i="14"/>
  <c r="M25" i="14"/>
  <c r="U33" i="14"/>
  <c r="Q17" i="14"/>
  <c r="E50" i="14"/>
  <c r="U18" i="14"/>
  <c r="U18" i="31" s="1"/>
  <c r="E44" i="14"/>
  <c r="Q11" i="14"/>
  <c r="U32" i="14"/>
  <c r="U44" i="14"/>
  <c r="E49" i="14"/>
  <c r="I36" i="14"/>
  <c r="Y36" i="14" s="1"/>
  <c r="I18" i="14"/>
  <c r="E51" i="14"/>
  <c r="M46" i="14"/>
  <c r="M48" i="14"/>
  <c r="E26" i="14"/>
  <c r="Q10" i="14"/>
  <c r="I46" i="14"/>
  <c r="Q39" i="14"/>
  <c r="I40" i="14"/>
  <c r="I32" i="14"/>
  <c r="E36" i="14"/>
  <c r="U34" i="14"/>
  <c r="M51" i="14"/>
  <c r="I35" i="14"/>
  <c r="Y35" i="14" s="1"/>
  <c r="E40" i="14"/>
  <c r="P6" i="2" s="1"/>
  <c r="Q32" i="14"/>
  <c r="Q25" i="14"/>
  <c r="I48" i="14"/>
  <c r="M39" i="14"/>
  <c r="I20" i="14"/>
  <c r="Y20" i="14" s="1"/>
  <c r="I41" i="14"/>
  <c r="Q7" i="2" s="1"/>
  <c r="U40" i="14"/>
  <c r="R6" i="2" s="1"/>
  <c r="I33" i="14"/>
  <c r="Y33" i="14" s="1"/>
  <c r="M35" i="14"/>
  <c r="M17" i="14"/>
  <c r="I42" i="14"/>
  <c r="Y42" i="14" s="1"/>
  <c r="I17" i="14"/>
  <c r="I17" i="31" s="1"/>
  <c r="U66" i="14"/>
  <c r="M32" i="14"/>
  <c r="E41" i="14"/>
  <c r="P7" i="2" s="1"/>
  <c r="M50" i="14"/>
  <c r="M11" i="14"/>
  <c r="E38" i="14"/>
  <c r="U37" i="14"/>
  <c r="Q22" i="14"/>
  <c r="Q40" i="14"/>
  <c r="Q45" i="14"/>
  <c r="Q44" i="14"/>
  <c r="I45" i="14"/>
  <c r="Y45" i="14" s="1"/>
  <c r="M20" i="14"/>
  <c r="E18" i="14"/>
  <c r="E18" i="31" s="1"/>
  <c r="Q51" i="14"/>
  <c r="M49" i="14"/>
  <c r="E42" i="14"/>
  <c r="M36" i="14"/>
  <c r="M42" i="14"/>
  <c r="Q38" i="14"/>
  <c r="I67" i="14"/>
  <c r="U67" i="14"/>
  <c r="U35" i="14"/>
  <c r="M44" i="14"/>
  <c r="I44" i="14"/>
  <c r="Y44" i="14" s="1"/>
  <c r="U36" i="14"/>
  <c r="Q20" i="14"/>
  <c r="M38" i="14"/>
  <c r="E32" i="14"/>
  <c r="U20" i="14"/>
  <c r="U20" i="31" s="1"/>
  <c r="I68" i="14"/>
  <c r="U46" i="14"/>
  <c r="I18" i="31" l="1"/>
  <c r="I19" i="31" s="1"/>
  <c r="Q6" i="2"/>
  <c r="T6" i="2" s="1"/>
  <c r="Q5" i="2"/>
  <c r="T5" i="2" s="1"/>
  <c r="Z21" i="14"/>
  <c r="I21" i="31"/>
  <c r="Y21" i="31" s="1"/>
  <c r="Z20" i="14"/>
  <c r="I20" i="31"/>
  <c r="J20" i="31" s="1"/>
  <c r="Z23" i="14"/>
  <c r="I23" i="31"/>
  <c r="Y23" i="31" s="1"/>
  <c r="Z22" i="14"/>
  <c r="I22" i="31"/>
  <c r="Y22" i="31" s="1"/>
  <c r="V26" i="31"/>
  <c r="V20" i="31"/>
  <c r="Z25" i="31"/>
  <c r="M55" i="31"/>
  <c r="V23" i="31"/>
  <c r="F26" i="31"/>
  <c r="F20" i="31"/>
  <c r="V21" i="31"/>
  <c r="F23" i="31"/>
  <c r="Q55" i="31"/>
  <c r="F25" i="31"/>
  <c r="V18" i="31"/>
  <c r="V11" i="31" s="1"/>
  <c r="N18" i="31"/>
  <c r="N11" i="31" s="1"/>
  <c r="M12" i="31"/>
  <c r="N17" i="31"/>
  <c r="N10" i="31" s="1"/>
  <c r="F18" i="31"/>
  <c r="F11" i="31" s="1"/>
  <c r="F22" i="31"/>
  <c r="E19" i="31"/>
  <c r="F17" i="31"/>
  <c r="F10" i="31" s="1"/>
  <c r="J26" i="31"/>
  <c r="R18" i="31"/>
  <c r="R11" i="31" s="1"/>
  <c r="J18" i="31"/>
  <c r="J11" i="31" s="1"/>
  <c r="V25" i="31"/>
  <c r="J17" i="31"/>
  <c r="J10" i="31" s="1"/>
  <c r="V17" i="31"/>
  <c r="V10" i="31" s="1"/>
  <c r="U19" i="31"/>
  <c r="Q27" i="31"/>
  <c r="V22" i="31"/>
  <c r="Q12" i="31"/>
  <c r="R17" i="31"/>
  <c r="R10" i="31" s="1"/>
  <c r="Z26" i="31"/>
  <c r="M27" i="31"/>
  <c r="J25" i="31"/>
  <c r="F21" i="31"/>
  <c r="U42" i="14"/>
  <c r="Z42" i="14"/>
  <c r="U41" i="14"/>
  <c r="R7" i="2" s="1"/>
  <c r="T7" i="2" s="1"/>
  <c r="Z51" i="14"/>
  <c r="Z49" i="14"/>
  <c r="Z44" i="14"/>
  <c r="Z50" i="14"/>
  <c r="Z48" i="14"/>
  <c r="Z26" i="14"/>
  <c r="Z37" i="14"/>
  <c r="Z45" i="14"/>
  <c r="Z46" i="14"/>
  <c r="Z33" i="14"/>
  <c r="Z35" i="14"/>
  <c r="Z25" i="14"/>
  <c r="Z38" i="14"/>
  <c r="J18" i="14"/>
  <c r="I12" i="14"/>
  <c r="J25" i="14" s="1"/>
  <c r="M12" i="14"/>
  <c r="N44" i="14" s="1"/>
  <c r="F18" i="14"/>
  <c r="F11" i="14" s="1"/>
  <c r="N18" i="14"/>
  <c r="N11" i="14" s="1"/>
  <c r="I19" i="14"/>
  <c r="I29" i="14" s="1"/>
  <c r="E22" i="32" s="1"/>
  <c r="J17" i="14"/>
  <c r="J10" i="14" s="1"/>
  <c r="Z17" i="14" s="1"/>
  <c r="Z10" i="14" s="1"/>
  <c r="Y17" i="14" s="1"/>
  <c r="V18" i="14"/>
  <c r="V11" i="14" s="1"/>
  <c r="F17" i="14"/>
  <c r="F10" i="14" s="1"/>
  <c r="E19" i="14"/>
  <c r="E29" i="14" s="1"/>
  <c r="N17" i="14"/>
  <c r="N10" i="14" s="1"/>
  <c r="M19" i="14"/>
  <c r="Q12" i="14"/>
  <c r="R50" i="14" s="1"/>
  <c r="R17" i="14"/>
  <c r="R10" i="14" s="1"/>
  <c r="Q19" i="14"/>
  <c r="E12" i="14"/>
  <c r="F41" i="14" s="1"/>
  <c r="U12" i="14"/>
  <c r="V21" i="14" s="1"/>
  <c r="M52" i="14"/>
  <c r="Q52" i="14"/>
  <c r="V17" i="14"/>
  <c r="V10" i="14" s="1"/>
  <c r="U19" i="14"/>
  <c r="U29" i="14" s="1"/>
  <c r="W43" i="14" s="1"/>
  <c r="R18" i="14"/>
  <c r="R11" i="14" s="1"/>
  <c r="J11" i="14" l="1"/>
  <c r="Z18" i="14"/>
  <c r="Z11" i="14" s="1"/>
  <c r="Y20" i="31"/>
  <c r="Z20" i="31" s="1"/>
  <c r="J21" i="31"/>
  <c r="N25" i="31"/>
  <c r="J22" i="31"/>
  <c r="J23" i="31"/>
  <c r="S26" i="31"/>
  <c r="S25" i="31"/>
  <c r="Q57" i="31"/>
  <c r="S27" i="31"/>
  <c r="R27" i="31"/>
  <c r="I27" i="31"/>
  <c r="I29" i="31"/>
  <c r="K19" i="31" s="1"/>
  <c r="J19" i="31"/>
  <c r="J12" i="31" s="1"/>
  <c r="Z22" i="31"/>
  <c r="O55" i="31"/>
  <c r="N55" i="31"/>
  <c r="M59" i="31"/>
  <c r="R25" i="31"/>
  <c r="Z21" i="31"/>
  <c r="M57" i="31"/>
  <c r="O27" i="31"/>
  <c r="N27" i="31"/>
  <c r="O12" i="31"/>
  <c r="M13" i="31"/>
  <c r="N20" i="31"/>
  <c r="N22" i="31"/>
  <c r="N19" i="31"/>
  <c r="N12" i="31" s="1"/>
  <c r="N29" i="31"/>
  <c r="O25" i="31"/>
  <c r="R26" i="31"/>
  <c r="S11" i="31"/>
  <c r="O10" i="31"/>
  <c r="N26" i="31"/>
  <c r="S12" i="31"/>
  <c r="Q13" i="31"/>
  <c r="R20" i="31"/>
  <c r="R22" i="31"/>
  <c r="R19" i="31"/>
  <c r="R12" i="31" s="1"/>
  <c r="R29" i="31"/>
  <c r="U29" i="31"/>
  <c r="W19" i="31" s="1"/>
  <c r="V19" i="31"/>
  <c r="V12" i="31" s="1"/>
  <c r="U27" i="31"/>
  <c r="O26" i="31"/>
  <c r="S10" i="31"/>
  <c r="O11" i="31"/>
  <c r="S55" i="31"/>
  <c r="R55" i="31"/>
  <c r="Q59" i="31"/>
  <c r="E29" i="31"/>
  <c r="G19" i="31" s="1"/>
  <c r="F19" i="31"/>
  <c r="F12" i="31" s="1"/>
  <c r="E27" i="31"/>
  <c r="Z23" i="31"/>
  <c r="Z36" i="14"/>
  <c r="V43" i="14"/>
  <c r="V23" i="14"/>
  <c r="V22" i="14"/>
  <c r="J21" i="14"/>
  <c r="J23" i="14"/>
  <c r="J22" i="14"/>
  <c r="F23" i="14"/>
  <c r="F22" i="14"/>
  <c r="F21" i="14"/>
  <c r="E27" i="14"/>
  <c r="R52" i="14"/>
  <c r="J49" i="14"/>
  <c r="N38" i="14"/>
  <c r="I13" i="14"/>
  <c r="O11" i="14"/>
  <c r="R32" i="14"/>
  <c r="N22" i="14"/>
  <c r="N46" i="14"/>
  <c r="N41" i="14"/>
  <c r="O10" i="14"/>
  <c r="N36" i="14"/>
  <c r="J36" i="14"/>
  <c r="M13" i="14"/>
  <c r="J46" i="14"/>
  <c r="N48" i="14"/>
  <c r="N39" i="14"/>
  <c r="N49" i="14"/>
  <c r="N52" i="14"/>
  <c r="N43" i="14"/>
  <c r="J51" i="14"/>
  <c r="N37" i="14"/>
  <c r="N40" i="14"/>
  <c r="N51" i="14"/>
  <c r="J37" i="14"/>
  <c r="J40" i="14"/>
  <c r="J45" i="14"/>
  <c r="J38" i="14"/>
  <c r="J33" i="14"/>
  <c r="J32" i="14"/>
  <c r="J26" i="14"/>
  <c r="J35" i="14"/>
  <c r="O12" i="14"/>
  <c r="N34" i="14"/>
  <c r="N32" i="14"/>
  <c r="J41" i="14"/>
  <c r="N25" i="14"/>
  <c r="J20" i="14"/>
  <c r="K12" i="14"/>
  <c r="J48" i="14"/>
  <c r="K10" i="14"/>
  <c r="K11" i="14"/>
  <c r="J39" i="14"/>
  <c r="J50" i="14"/>
  <c r="J44" i="14"/>
  <c r="J34" i="14"/>
  <c r="J42" i="14"/>
  <c r="N45" i="14"/>
  <c r="N50" i="14"/>
  <c r="N42" i="14"/>
  <c r="N20" i="14"/>
  <c r="N35" i="14"/>
  <c r="N26" i="14"/>
  <c r="F33" i="14"/>
  <c r="F37" i="14"/>
  <c r="Q27" i="14"/>
  <c r="S52" i="14" s="1"/>
  <c r="Q29" i="14"/>
  <c r="R19" i="14"/>
  <c r="R12" i="14" s="1"/>
  <c r="V48" i="14"/>
  <c r="V38" i="14"/>
  <c r="U13" i="14"/>
  <c r="V50" i="14"/>
  <c r="W12" i="14"/>
  <c r="V20" i="14"/>
  <c r="V40" i="14"/>
  <c r="V26" i="14"/>
  <c r="V33" i="14"/>
  <c r="V51" i="14"/>
  <c r="V34" i="14"/>
  <c r="V25" i="14"/>
  <c r="V36" i="14"/>
  <c r="V41" i="14"/>
  <c r="V44" i="14"/>
  <c r="V37" i="14"/>
  <c r="V45" i="14"/>
  <c r="W11" i="14"/>
  <c r="W10" i="14"/>
  <c r="V49" i="14"/>
  <c r="V32" i="14"/>
  <c r="V39" i="14"/>
  <c r="V35" i="14"/>
  <c r="J19" i="14"/>
  <c r="J12" i="14" s="1"/>
  <c r="I27" i="14"/>
  <c r="F50" i="14"/>
  <c r="F51" i="14"/>
  <c r="F46" i="14"/>
  <c r="F26" i="14"/>
  <c r="F34" i="14"/>
  <c r="G11" i="14"/>
  <c r="F32" i="14"/>
  <c r="F35" i="14"/>
  <c r="F25" i="14"/>
  <c r="F39" i="14"/>
  <c r="F36" i="14"/>
  <c r="E13" i="14"/>
  <c r="F48" i="14"/>
  <c r="F20" i="14"/>
  <c r="F44" i="14"/>
  <c r="G12" i="14"/>
  <c r="F40" i="14"/>
  <c r="F42" i="14"/>
  <c r="G10" i="14"/>
  <c r="F45" i="14"/>
  <c r="F38" i="14"/>
  <c r="M29" i="14"/>
  <c r="M27" i="14"/>
  <c r="N19" i="14"/>
  <c r="N12" i="14" s="1"/>
  <c r="F49" i="14"/>
  <c r="V42" i="14"/>
  <c r="V19" i="14"/>
  <c r="V12" i="14" s="1"/>
  <c r="U27" i="14"/>
  <c r="R44" i="14"/>
  <c r="F19" i="14"/>
  <c r="F12" i="14" s="1"/>
  <c r="R26" i="14"/>
  <c r="R43" i="14"/>
  <c r="R39" i="14"/>
  <c r="R51" i="14"/>
  <c r="R41" i="14"/>
  <c r="R45" i="14"/>
  <c r="S12" i="14"/>
  <c r="S10" i="14"/>
  <c r="R46" i="14"/>
  <c r="R48" i="14"/>
  <c r="R37" i="14"/>
  <c r="R25" i="14"/>
  <c r="R22" i="14"/>
  <c r="S11" i="14"/>
  <c r="R20" i="14"/>
  <c r="R35" i="14"/>
  <c r="R38" i="14"/>
  <c r="R49" i="14"/>
  <c r="R42" i="14"/>
  <c r="R40" i="14"/>
  <c r="R34" i="14"/>
  <c r="Q13" i="14"/>
  <c r="R36" i="14"/>
  <c r="V46" i="14"/>
  <c r="Y18" i="14" l="1"/>
  <c r="Y34" i="14"/>
  <c r="Z32" i="14"/>
  <c r="Y32" i="14" s="1"/>
  <c r="Y27" i="31"/>
  <c r="Z27" i="31" s="1"/>
  <c r="Y29" i="31"/>
  <c r="AA22" i="31" s="1"/>
  <c r="E57" i="31"/>
  <c r="G27" i="31"/>
  <c r="F27" i="31"/>
  <c r="O57" i="31"/>
  <c r="N57" i="31"/>
  <c r="J29" i="31"/>
  <c r="K29" i="31"/>
  <c r="K23" i="31"/>
  <c r="K26" i="31"/>
  <c r="K21" i="31"/>
  <c r="K25" i="31"/>
  <c r="K22" i="31"/>
  <c r="K20" i="31"/>
  <c r="K18" i="31"/>
  <c r="K17" i="31"/>
  <c r="S57" i="31"/>
  <c r="R57" i="31"/>
  <c r="I57" i="31"/>
  <c r="K27" i="31"/>
  <c r="J27" i="31"/>
  <c r="F29" i="31"/>
  <c r="G29" i="31"/>
  <c r="G26" i="31"/>
  <c r="G17" i="31"/>
  <c r="G22" i="31"/>
  <c r="G21" i="31"/>
  <c r="G25" i="31"/>
  <c r="G20" i="31"/>
  <c r="G18" i="31"/>
  <c r="G23" i="31"/>
  <c r="S59" i="31"/>
  <c r="R59" i="31"/>
  <c r="U57" i="31"/>
  <c r="W27" i="31"/>
  <c r="V27" i="31"/>
  <c r="W29" i="31"/>
  <c r="V29" i="31"/>
  <c r="W26" i="31"/>
  <c r="W20" i="31"/>
  <c r="W21" i="31"/>
  <c r="W23" i="31"/>
  <c r="W18" i="31"/>
  <c r="W22" i="31"/>
  <c r="W25" i="31"/>
  <c r="W17" i="31"/>
  <c r="N59" i="31"/>
  <c r="O59" i="31"/>
  <c r="W21" i="14"/>
  <c r="W22" i="14"/>
  <c r="W23" i="14"/>
  <c r="K22" i="14"/>
  <c r="K23" i="14"/>
  <c r="K21" i="14"/>
  <c r="G21" i="14"/>
  <c r="G22" i="14"/>
  <c r="G23" i="14"/>
  <c r="K19" i="14"/>
  <c r="G19" i="14"/>
  <c r="S36" i="14"/>
  <c r="S32" i="14"/>
  <c r="S40" i="14"/>
  <c r="S37" i="14"/>
  <c r="S20" i="14"/>
  <c r="S38" i="14"/>
  <c r="S39" i="14"/>
  <c r="S46" i="14"/>
  <c r="S44" i="14"/>
  <c r="S18" i="14"/>
  <c r="S42" i="14"/>
  <c r="S29" i="14"/>
  <c r="S22" i="14"/>
  <c r="R29" i="14"/>
  <c r="S34" i="14"/>
  <c r="Q54" i="14"/>
  <c r="S43" i="14"/>
  <c r="S17" i="14"/>
  <c r="S45" i="14"/>
  <c r="S41" i="14"/>
  <c r="S35" i="14"/>
  <c r="W42" i="14"/>
  <c r="W50" i="14"/>
  <c r="V29" i="14"/>
  <c r="W45" i="14"/>
  <c r="U54" i="14"/>
  <c r="W35" i="14"/>
  <c r="W29" i="14"/>
  <c r="W37" i="14"/>
  <c r="W38" i="14"/>
  <c r="W49" i="14"/>
  <c r="W18" i="14"/>
  <c r="W33" i="14"/>
  <c r="W46" i="14"/>
  <c r="W17" i="14"/>
  <c r="W20" i="14"/>
  <c r="W34" i="14"/>
  <c r="W41" i="14"/>
  <c r="W32" i="14"/>
  <c r="W26" i="14"/>
  <c r="W44" i="14"/>
  <c r="W25" i="14"/>
  <c r="W51" i="14"/>
  <c r="W40" i="14"/>
  <c r="W39" i="14"/>
  <c r="W36" i="14"/>
  <c r="V27" i="14"/>
  <c r="W27" i="14"/>
  <c r="W48" i="14"/>
  <c r="J27" i="14"/>
  <c r="K27" i="14"/>
  <c r="K48" i="14"/>
  <c r="W19" i="14"/>
  <c r="S19" i="14"/>
  <c r="K50" i="14"/>
  <c r="K45" i="14"/>
  <c r="K25" i="14"/>
  <c r="J29" i="14"/>
  <c r="K33" i="14"/>
  <c r="K35" i="14"/>
  <c r="K44" i="14"/>
  <c r="K37" i="14"/>
  <c r="K51" i="14"/>
  <c r="K39" i="14"/>
  <c r="K38" i="14"/>
  <c r="K34" i="14"/>
  <c r="K40" i="14"/>
  <c r="K32" i="14"/>
  <c r="K36" i="14"/>
  <c r="K41" i="14"/>
  <c r="K42" i="14"/>
  <c r="K46" i="14"/>
  <c r="K17" i="14"/>
  <c r="K18" i="14"/>
  <c r="K26" i="14"/>
  <c r="K20" i="14"/>
  <c r="I54" i="14"/>
  <c r="K29" i="14"/>
  <c r="K49" i="14"/>
  <c r="G39" i="14"/>
  <c r="G36" i="14"/>
  <c r="G26" i="14"/>
  <c r="G44" i="14"/>
  <c r="G33" i="14"/>
  <c r="G46" i="14"/>
  <c r="G35" i="14"/>
  <c r="G29" i="14"/>
  <c r="G34" i="14"/>
  <c r="G40" i="14"/>
  <c r="G45" i="14"/>
  <c r="E54" i="14"/>
  <c r="F29" i="14"/>
  <c r="G25" i="14"/>
  <c r="G20" i="14"/>
  <c r="G38" i="14"/>
  <c r="G41" i="14"/>
  <c r="G17" i="14"/>
  <c r="G42" i="14"/>
  <c r="G32" i="14"/>
  <c r="G18" i="14"/>
  <c r="G37" i="14"/>
  <c r="G49" i="14"/>
  <c r="G48" i="14"/>
  <c r="G50" i="14"/>
  <c r="G51" i="14"/>
  <c r="F27" i="14"/>
  <c r="G27" i="14"/>
  <c r="O25" i="14"/>
  <c r="O51" i="14"/>
  <c r="O48" i="14"/>
  <c r="O49" i="14"/>
  <c r="M57" i="14"/>
  <c r="O52" i="14"/>
  <c r="O26" i="14"/>
  <c r="O50" i="14"/>
  <c r="N27" i="14"/>
  <c r="O27" i="14"/>
  <c r="S27" i="14"/>
  <c r="R27" i="14"/>
  <c r="S51" i="14"/>
  <c r="S26" i="14"/>
  <c r="S25" i="14"/>
  <c r="S48" i="14"/>
  <c r="Q57" i="14"/>
  <c r="S49" i="14"/>
  <c r="S50" i="14"/>
  <c r="O17" i="14"/>
  <c r="O35" i="14"/>
  <c r="O44" i="14"/>
  <c r="O34" i="14"/>
  <c r="O45" i="14"/>
  <c r="O36" i="14"/>
  <c r="O32" i="14"/>
  <c r="O46" i="14"/>
  <c r="O43" i="14"/>
  <c r="O42" i="14"/>
  <c r="O18" i="14"/>
  <c r="O40" i="14"/>
  <c r="O29" i="14"/>
  <c r="O39" i="14"/>
  <c r="O19" i="14"/>
  <c r="O38" i="14"/>
  <c r="M54" i="14"/>
  <c r="O20" i="14"/>
  <c r="N29" i="14"/>
  <c r="O37" i="14"/>
  <c r="O22" i="14"/>
  <c r="O41" i="14"/>
  <c r="AA25" i="31" l="1"/>
  <c r="AA17" i="31"/>
  <c r="AA21" i="31"/>
  <c r="AA18" i="31"/>
  <c r="Y57" i="31"/>
  <c r="Y69" i="31" s="1"/>
  <c r="AA23" i="31"/>
  <c r="AA26" i="31"/>
  <c r="Z29" i="31"/>
  <c r="AA20" i="31"/>
  <c r="AA19" i="31"/>
  <c r="AA27" i="31"/>
  <c r="AA29" i="31"/>
  <c r="K57" i="31"/>
  <c r="J57" i="31"/>
  <c r="I69" i="31"/>
  <c r="U55" i="31"/>
  <c r="E55" i="31"/>
  <c r="I55" i="31"/>
  <c r="W57" i="31"/>
  <c r="V57" i="31"/>
  <c r="U69" i="31"/>
  <c r="Y55" i="31"/>
  <c r="S3" i="2" s="1"/>
  <c r="F57" i="31"/>
  <c r="G57" i="31"/>
  <c r="E69" i="31"/>
  <c r="Q55" i="14"/>
  <c r="R54" i="14"/>
  <c r="S54" i="14"/>
  <c r="M55" i="14"/>
  <c r="N54" i="14"/>
  <c r="O54" i="14"/>
  <c r="N57" i="14"/>
  <c r="O57" i="14"/>
  <c r="K54" i="14"/>
  <c r="J54" i="14"/>
  <c r="F54" i="14"/>
  <c r="G54" i="14"/>
  <c r="R57" i="14"/>
  <c r="S57" i="14"/>
  <c r="W54" i="14"/>
  <c r="V54" i="14"/>
  <c r="S7" i="2" l="1"/>
  <c r="Y41" i="14" s="1"/>
  <c r="Z41" i="14" s="1"/>
  <c r="S5" i="2"/>
  <c r="Y39" i="14" s="1"/>
  <c r="S6" i="2"/>
  <c r="Y40" i="14" s="1"/>
  <c r="Z40" i="14" s="1"/>
  <c r="AA57" i="31"/>
  <c r="Z57" i="31"/>
  <c r="G55" i="31"/>
  <c r="F55" i="31"/>
  <c r="E59" i="31"/>
  <c r="W55" i="31"/>
  <c r="V55" i="31"/>
  <c r="U59" i="31"/>
  <c r="AA55" i="31"/>
  <c r="Z55" i="31"/>
  <c r="Y59" i="31"/>
  <c r="K55" i="31"/>
  <c r="J55" i="31"/>
  <c r="I59" i="31"/>
  <c r="N55" i="14"/>
  <c r="O55" i="14"/>
  <c r="M59" i="14"/>
  <c r="S55" i="14"/>
  <c r="R55" i="14"/>
  <c r="Q59" i="14"/>
  <c r="Z39" i="14" l="1"/>
  <c r="Y52" i="14"/>
  <c r="Z52" i="14" s="1"/>
  <c r="K59" i="31"/>
  <c r="J59" i="31"/>
  <c r="AA59" i="31"/>
  <c r="Z59" i="31"/>
  <c r="G59" i="31"/>
  <c r="F59" i="31"/>
  <c r="W59" i="31"/>
  <c r="V59" i="31"/>
  <c r="S59" i="14"/>
  <c r="R59" i="14"/>
  <c r="N59" i="14"/>
  <c r="O59" i="14"/>
  <c r="F43" i="14"/>
  <c r="G43" i="14"/>
  <c r="E52" i="14" a="1"/>
  <c r="E52" i="14" s="1"/>
  <c r="E55" i="14"/>
  <c r="G55" i="14" s="1"/>
  <c r="U55" i="14"/>
  <c r="W55" i="14" s="1"/>
  <c r="J43" i="14"/>
  <c r="U52" i="14"/>
  <c r="U57" i="14" s="1"/>
  <c r="U69" i="14" s="1"/>
  <c r="U59" i="14" l="1"/>
  <c r="V59" i="14" s="1"/>
  <c r="F55" i="14"/>
  <c r="E59" i="14"/>
  <c r="G59" i="14" s="1"/>
  <c r="V57" i="14"/>
  <c r="W57" i="14"/>
  <c r="F52" i="14"/>
  <c r="G52" i="14"/>
  <c r="E57" i="14"/>
  <c r="V55" i="14"/>
  <c r="W52" i="14"/>
  <c r="I52" i="14"/>
  <c r="V52" i="14"/>
  <c r="I55" i="14"/>
  <c r="K43" i="14"/>
  <c r="W59" i="14" l="1"/>
  <c r="F59" i="14"/>
  <c r="I59" i="14"/>
  <c r="K55" i="14"/>
  <c r="J55" i="14"/>
  <c r="G57" i="14"/>
  <c r="E69" i="14"/>
  <c r="F57" i="14"/>
  <c r="J52" i="14"/>
  <c r="I57" i="14"/>
  <c r="I69" i="14" s="1"/>
  <c r="K52" i="14"/>
  <c r="E20" i="32" l="1"/>
  <c r="E21" i="32" s="1"/>
  <c r="K59" i="14"/>
  <c r="E23" i="32" s="1"/>
  <c r="G23" i="32" s="1"/>
  <c r="K57" i="14"/>
  <c r="J57" i="14"/>
  <c r="J59" i="14"/>
  <c r="Y19" i="14"/>
  <c r="G20" i="32" l="1"/>
  <c r="Y27" i="14"/>
  <c r="Z19" i="14"/>
  <c r="Z12" i="14" s="1"/>
  <c r="Y29" i="14"/>
  <c r="E15" i="32" s="1"/>
  <c r="AA33" i="14" l="1"/>
  <c r="AA39" i="14"/>
  <c r="AA45" i="14"/>
  <c r="AA51" i="14"/>
  <c r="Y54" i="14"/>
  <c r="AA29" i="14"/>
  <c r="Z29" i="14"/>
  <c r="AA42" i="14"/>
  <c r="AA17" i="14"/>
  <c r="AA40" i="14"/>
  <c r="AA49" i="14"/>
  <c r="AA26" i="14"/>
  <c r="AA34" i="14"/>
  <c r="AA23" i="14"/>
  <c r="AA22" i="14"/>
  <c r="AA32" i="14"/>
  <c r="AA20" i="14"/>
  <c r="AA50" i="14"/>
  <c r="AA37" i="14"/>
  <c r="AA44" i="14"/>
  <c r="AA25" i="14"/>
  <c r="AA38" i="14"/>
  <c r="AA36" i="14"/>
  <c r="AA43" i="14"/>
  <c r="AA21" i="14"/>
  <c r="AA46" i="14"/>
  <c r="AA35" i="14"/>
  <c r="AA41" i="14"/>
  <c r="Z27" i="14"/>
  <c r="AA27" i="14"/>
  <c r="AA52" i="14"/>
  <c r="AA48" i="14"/>
  <c r="Y57" i="14"/>
  <c r="AA19" i="14"/>
  <c r="AA18" i="14"/>
  <c r="Z57" i="14" l="1"/>
  <c r="AA57" i="14"/>
  <c r="AA54" i="14"/>
  <c r="Y55" i="14"/>
  <c r="Z54" i="14"/>
  <c r="AA55" i="14" l="1"/>
  <c r="Z55" i="14"/>
  <c r="Y59" i="14"/>
  <c r="E13" i="32" l="1"/>
  <c r="E14" i="32" s="1"/>
  <c r="AA59" i="14"/>
  <c r="E16" i="32" s="1"/>
  <c r="G16" i="32" s="1"/>
  <c r="Z59" i="14"/>
  <c r="G13" i="32" l="1"/>
  <c r="G4" i="32" s="1"/>
  <c r="G27" i="32" l="1"/>
  <c r="G28" i="32"/>
  <c r="G15" i="32"/>
  <c r="G21" i="32"/>
  <c r="G9" i="32"/>
  <c r="G22" i="32"/>
  <c r="G31" i="32" l="1"/>
  <c r="G33" i="32" s="1"/>
</calcChain>
</file>

<file path=xl/sharedStrings.xml><?xml version="1.0" encoding="utf-8"?>
<sst xmlns="http://schemas.openxmlformats.org/spreadsheetml/2006/main" count="1778" uniqueCount="675">
  <si>
    <t>CENSUS</t>
  </si>
  <si>
    <t>REVENUE</t>
  </si>
  <si>
    <t>EXPENSE</t>
  </si>
  <si>
    <t>Data Name</t>
  </si>
  <si>
    <t>Code</t>
  </si>
  <si>
    <t>TABLE</t>
  </si>
  <si>
    <t>CODE</t>
  </si>
  <si>
    <t>PROPERTY NAME</t>
  </si>
  <si>
    <t>CODE RANGE</t>
  </si>
  <si>
    <t>CODE FORMULA</t>
  </si>
  <si>
    <t>DATA FORMULA</t>
  </si>
  <si>
    <t>OCCUPANCY METRICS</t>
  </si>
  <si>
    <t>AMC</t>
  </si>
  <si>
    <t>%-CENSUS</t>
  </si>
  <si>
    <t>TOTAL</t>
  </si>
  <si>
    <t>%-REV</t>
  </si>
  <si>
    <t>TOTAL REVENUE</t>
  </si>
  <si>
    <t>OPERATING EXPENSES</t>
  </si>
  <si>
    <t>EBITDAR</t>
  </si>
  <si>
    <t>DAYS:</t>
  </si>
  <si>
    <t>MULTIPLIER (annualization factor):</t>
  </si>
  <si>
    <t>MONTHS:</t>
  </si>
  <si>
    <t>EXCLUDED Expenses</t>
  </si>
  <si>
    <t>EXCLUDED Revenues</t>
  </si>
  <si>
    <t>TOTAL REVENUE (w/ Excluded)</t>
  </si>
  <si>
    <t>TOTAL EXPENSES (w/ Excluded)</t>
  </si>
  <si>
    <t>EBITDAR (w/ Excluded)</t>
  </si>
  <si>
    <t>UN-CODED EXPENSES</t>
  </si>
  <si>
    <t>UN-CODED REVENUES</t>
  </si>
  <si>
    <t>TOTAL UNITS</t>
  </si>
  <si>
    <t>(1/1/2014 - 12/31/2014)</t>
  </si>
  <si>
    <t>CATEGORY</t>
  </si>
  <si>
    <t>ITEM</t>
  </si>
  <si>
    <t>USE WAGE CODING</t>
  </si>
  <si>
    <t>Standard Code</t>
  </si>
  <si>
    <t>Wage Code</t>
  </si>
  <si>
    <t>TOTAL ROOM &amp; BOARD</t>
  </si>
  <si>
    <t>Resident Room &amp; Board</t>
  </si>
  <si>
    <t>MANAGEMENT FEE</t>
  </si>
  <si>
    <t>TOTAL OPERATING EXPENSES</t>
  </si>
  <si>
    <t>Dietary</t>
  </si>
  <si>
    <t>Activities</t>
  </si>
  <si>
    <t>Marketing</t>
  </si>
  <si>
    <t>General Administrative</t>
  </si>
  <si>
    <t>Payroll Taxes</t>
  </si>
  <si>
    <t>Employee Benefits</t>
  </si>
  <si>
    <t>Worker's Compensation</t>
  </si>
  <si>
    <t>Real Estate Taxes</t>
  </si>
  <si>
    <t>Insurance</t>
  </si>
  <si>
    <t>Property, Plant, &amp; Maintenance</t>
  </si>
  <si>
    <t>Utilities</t>
  </si>
  <si>
    <t>Miscellaneous</t>
  </si>
  <si>
    <t>Bad Debt</t>
  </si>
  <si>
    <t>EXCLUDED Management Fees</t>
  </si>
  <si>
    <t>EXCLUDED Rent</t>
  </si>
  <si>
    <t>Total Income</t>
  </si>
  <si>
    <t>(1/1/2015 - 6/30/2015)</t>
  </si>
  <si>
    <t>Resident Services</t>
  </si>
  <si>
    <t>LICENSED CAPACITY</t>
  </si>
  <si>
    <t>Housekeeping &amp; Laundry</t>
  </si>
  <si>
    <t>T3A</t>
  </si>
  <si>
    <t>(4/1/2015 - 6/30/2015)</t>
  </si>
  <si>
    <t>T6A</t>
  </si>
  <si>
    <t>Per Res.</t>
  </si>
  <si>
    <t>FOOTNOTES</t>
  </si>
  <si>
    <t>1. TTM defined as operating performance for the trailing twelve month period between 7/1/2014 and 6/30/2015</t>
  </si>
  <si>
    <t>2. AMC defined as Average Monthly Census (Residents) by payor source; management prepared occupancy reports measure occupancy by resident days and payor source</t>
  </si>
  <si>
    <t>3. Per Res. defined as effective monthly revenues (by payor source) and expenses realized Per Resident in each period</t>
  </si>
  <si>
    <t>4. Pro Forma non-wage payroll expenses have been adjusted to reflect typical skilled nursing facilities’ costs (percentages of total salaries) in Ohio</t>
  </si>
  <si>
    <t>5. An industry standard Management Fee (5.0% of Total Revenue) is included in each period</t>
  </si>
  <si>
    <t>* Pro Forma scenario reflects census, revenue and operating expenses in-line with previously achieved stabilized operating performance at the community</t>
  </si>
  <si>
    <t>Management Fee</t>
  </si>
  <si>
    <t>2014 DATA RANGE</t>
  </si>
  <si>
    <t>Income</t>
  </si>
  <si>
    <t>Expense</t>
  </si>
  <si>
    <t>Total Expense</t>
  </si>
  <si>
    <t>Net Ordinary Income</t>
  </si>
  <si>
    <t>Other Expense</t>
  </si>
  <si>
    <t>Total Other Expense</t>
  </si>
  <si>
    <t>Net Other Income</t>
  </si>
  <si>
    <t>Net Income</t>
  </si>
  <si>
    <t>FORMATTED FIELD 1</t>
  </si>
  <si>
    <t>EXP</t>
  </si>
  <si>
    <t>Contract Labor</t>
  </si>
  <si>
    <t>2015 DATA RANGE</t>
  </si>
  <si>
    <t>T6A DATA RANGE</t>
  </si>
  <si>
    <t>(1/1/2015 - 12/31/2015)</t>
  </si>
  <si>
    <t>Rev</t>
  </si>
  <si>
    <t>NOI</t>
  </si>
  <si>
    <t>Diff</t>
  </si>
  <si>
    <t>Source Tie-Out</t>
  </si>
  <si>
    <t>Quail Run</t>
  </si>
  <si>
    <t>40100 Room &amp; Board</t>
  </si>
  <si>
    <t>40101 Building 9900</t>
  </si>
  <si>
    <t>40102 Building 9902</t>
  </si>
  <si>
    <t>40104 Building 9904</t>
  </si>
  <si>
    <t>40108 Building 9906</t>
  </si>
  <si>
    <t>40100 Room &amp; Board Other</t>
  </si>
  <si>
    <t>Total 40100 Room &amp; Board</t>
  </si>
  <si>
    <t/>
  </si>
  <si>
    <t>40110 Medicaid Waiver</t>
  </si>
  <si>
    <t>40113 Building 9904</t>
  </si>
  <si>
    <t>40111 Building 9900</t>
  </si>
  <si>
    <t>Total 40110 Medicaid Waiver</t>
  </si>
  <si>
    <t>40300 Respite Care</t>
  </si>
  <si>
    <t>443301 Building 9900</t>
  </si>
  <si>
    <t>40302 Building 9902</t>
  </si>
  <si>
    <t>40306 Building 9906</t>
  </si>
  <si>
    <t>Total 40300 Respite Care</t>
  </si>
  <si>
    <t>40200 Community Entrance Fee</t>
  </si>
  <si>
    <t>40201 Building 9900</t>
  </si>
  <si>
    <t>40202 Building 9902</t>
  </si>
  <si>
    <t>40204 Building 9904</t>
  </si>
  <si>
    <t>40206 Building 99906</t>
  </si>
  <si>
    <t>Total 40200 Community Entrance Fee</t>
  </si>
  <si>
    <t>41000 Ancillary Services</t>
  </si>
  <si>
    <t>41400 Special Care Services</t>
  </si>
  <si>
    <t>41700 Barber &amp; Salon Services</t>
  </si>
  <si>
    <t>41800 Activity Revenue</t>
  </si>
  <si>
    <t>42000 Other Resident Income</t>
  </si>
  <si>
    <t>42100 Reimbursements</t>
  </si>
  <si>
    <t>42200 Guest Services</t>
  </si>
  <si>
    <t>42900 Reside Finance Charge</t>
  </si>
  <si>
    <t>42000 Other Resident Income Other</t>
  </si>
  <si>
    <t>Total 42000 Other Resident income</t>
  </si>
  <si>
    <t>49000 Refunds</t>
  </si>
  <si>
    <t>49100 Room and Board</t>
  </si>
  <si>
    <t>49900 All Other Refunds</t>
  </si>
  <si>
    <t>Total 49000 Refunds</t>
  </si>
  <si>
    <t>41000 Ancillary Services Other</t>
  </si>
  <si>
    <t>Total 41000 Ancillary Services</t>
  </si>
  <si>
    <t>50000 Resident Care</t>
  </si>
  <si>
    <t>50046 W/C Resident Care</t>
  </si>
  <si>
    <t>50044 Emp Benes Res. Care</t>
  </si>
  <si>
    <t>50042 Payroll Tax Res. Care</t>
  </si>
  <si>
    <t>50010 Resident Care Wages</t>
  </si>
  <si>
    <t>50011 Resident Care Supervisors</t>
  </si>
  <si>
    <t>50012 Resident Care Aides</t>
  </si>
  <si>
    <t>Total 50010 Resident Care Wages</t>
  </si>
  <si>
    <t>50020 Resident Care Supplies</t>
  </si>
  <si>
    <t>50024 Medical supplies</t>
  </si>
  <si>
    <t>50020 Resident Care Supplies Other</t>
  </si>
  <si>
    <t>50030 Consulting</t>
  </si>
  <si>
    <t>Total 50000 Resident Care</t>
  </si>
  <si>
    <t>50100 Resident Dietary Expenses</t>
  </si>
  <si>
    <t>50120 Bulk Food Purchases</t>
  </si>
  <si>
    <t>50123 Dairy</t>
  </si>
  <si>
    <t>50130 Food Supplements</t>
  </si>
  <si>
    <t>50140 Grocery Items</t>
  </si>
  <si>
    <t>50100 Resident Dietary Expenses Other</t>
  </si>
  <si>
    <t>Total 50100 Resident Dietary Expenses</t>
  </si>
  <si>
    <t>50400 Resident Recreation Expense</t>
  </si>
  <si>
    <t>50416 W/C Activities</t>
  </si>
  <si>
    <t>50414 Ernp Benes Activities</t>
  </si>
  <si>
    <t>50412 Payroll Tax Activities</t>
  </si>
  <si>
    <t>50410 Recreation Supervisor Salary</t>
  </si>
  <si>
    <t>50420 Entertainment</t>
  </si>
  <si>
    <t>50430 Holiday Events</t>
  </si>
  <si>
    <t>50460 Offsite Activities</t>
  </si>
  <si>
    <t>50480 Recreation Supplies</t>
  </si>
  <si>
    <t>Total 50400 Resident Recreation Expense</t>
  </si>
  <si>
    <t>50800 Resident Housekeeping &amp; Laundry</t>
  </si>
  <si>
    <t>50616 W/C Hskpg &amp; Laundry</t>
  </si>
  <si>
    <t>50614 Emp Benes Hskpg Laurnd</t>
  </si>
  <si>
    <t>50612 Payroll Tax Hskpg Laund</t>
  </si>
  <si>
    <t>50610 Housekeeping/Laundry Salary</t>
  </si>
  <si>
    <t>50680 Housekeeping Supplies</t>
  </si>
  <si>
    <t>Total 50600 Resident Housekeeping &amp; Laundry</t>
  </si>
  <si>
    <t>50800 Beautician</t>
  </si>
  <si>
    <t>52000 Insurance</t>
  </si>
  <si>
    <t>52100 Liability</t>
  </si>
  <si>
    <t>52300 Property lnsurance</t>
  </si>
  <si>
    <t>Total 52000 Insurance</t>
  </si>
  <si>
    <t>54000 Rent</t>
  </si>
  <si>
    <t>55016 W/C Plant</t>
  </si>
  <si>
    <t>55014 Emp Benes Plant</t>
  </si>
  <si>
    <t>55012 Payroll Tax Plant</t>
  </si>
  <si>
    <t>55010 Maintenance Salaries</t>
  </si>
  <si>
    <t>55040 Inspection &amp; Certifications</t>
  </si>
  <si>
    <t>55050 Maintenance Contracts</t>
  </si>
  <si>
    <t>55056 Pest Control</t>
  </si>
  <si>
    <t>56055 Landscaping</t>
  </si>
  <si>
    <t>55050 Maintenance Contracts Other</t>
  </si>
  <si>
    <t>Total 55050 Maintenance Contracts</t>
  </si>
  <si>
    <t>55200 Maintenance Supplies</t>
  </si>
  <si>
    <t>55300 Repairs and Service</t>
  </si>
  <si>
    <t>55600 Trash Removal</t>
  </si>
  <si>
    <t>55000 Facility Maintenance Other</t>
  </si>
  <si>
    <t>Total 55000 Facility Maintenance</t>
  </si>
  <si>
    <t>56000 Utilities</t>
  </si>
  <si>
    <t>56100 Gas &amp; Electric</t>
  </si>
  <si>
    <t>56200 Cable</t>
  </si>
  <si>
    <t>56300 Phone</t>
  </si>
  <si>
    <t>56700 Water</t>
  </si>
  <si>
    <t>Total 56000 Utilities</t>
  </si>
  <si>
    <t>58000 Licenses &amp; Fees Other</t>
  </si>
  <si>
    <t>58100 Personal Property Tax</t>
  </si>
  <si>
    <t>Total 58000 Licenses &amp; Fees</t>
  </si>
  <si>
    <t>60000 Marketing Expense</t>
  </si>
  <si>
    <t>60060 Referral Fees</t>
  </si>
  <si>
    <t>60010 Marketing Salary</t>
  </si>
  <si>
    <t>60030 Media</t>
  </si>
  <si>
    <t>60040 Marketing Supplies</t>
  </si>
  <si>
    <t>60050 Events</t>
  </si>
  <si>
    <t>60000 Marketing Expense Other</t>
  </si>
  <si>
    <t>Total 60000 Marketing Expense</t>
  </si>
  <si>
    <t>62000 Employee Benefits</t>
  </si>
  <si>
    <t>62100 Health Insurance</t>
  </si>
  <si>
    <t>62300 Life &amp; Disability Insurance</t>
  </si>
  <si>
    <t>Total 62000 Employee Benefits</t>
  </si>
  <si>
    <t>70000 Office &amp; Administrative</t>
  </si>
  <si>
    <t>70016 W/C Admin</t>
  </si>
  <si>
    <t>70014 Emp Benes Admin</t>
  </si>
  <si>
    <t>70012 Payroll Tax Admin</t>
  </si>
  <si>
    <t>70010 Office &amp; Admin Salaries</t>
  </si>
  <si>
    <t>70300 Dues &amp; Subscriptions</t>
  </si>
  <si>
    <t>70400 Computer Expenses</t>
  </si>
  <si>
    <t>70500 Professional Fees</t>
  </si>
  <si>
    <t>70525 Legal Fees</t>
  </si>
  <si>
    <t>70515 Brokers Fee</t>
  </si>
  <si>
    <t>70510 Accounting</t>
  </si>
  <si>
    <t>70550 Payroll Administration</t>
  </si>
  <si>
    <t>70520 EE Background Check</t>
  </si>
  <si>
    <t>70500 Professional Fees Other</t>
  </si>
  <si>
    <t>Total 70500 Professional Fees</t>
  </si>
  <si>
    <t>70600 Office Equipment</t>
  </si>
  <si>
    <t>70620 Office Equipment Lease</t>
  </si>
  <si>
    <t>70610 Office Equipment Repairs</t>
  </si>
  <si>
    <t>70600 Office Equipment Other</t>
  </si>
  <si>
    <t>70710 Postage &amp; Shipping</t>
  </si>
  <si>
    <t>70800 Meals &amp; Entertainment</t>
  </si>
  <si>
    <t>70700 Office Supplies</t>
  </si>
  <si>
    <t>70900 Training &amp; Travel</t>
  </si>
  <si>
    <t>Total 70000 Office &amp; Administrative</t>
  </si>
  <si>
    <t>71000 QREC Management Fee</t>
  </si>
  <si>
    <t>72000 Cellular Phone</t>
  </si>
  <si>
    <t>73000 Vehicle Expenses</t>
  </si>
  <si>
    <t>73790 Mileage Reimbursement</t>
  </si>
  <si>
    <t>73200 Parking &amp; Tolls</t>
  </si>
  <si>
    <t>73100 Gas</t>
  </si>
  <si>
    <t>73400 Insurance</t>
  </si>
  <si>
    <t>73600 Registration &amp; Fees</t>
  </si>
  <si>
    <t>73800 Repairs &amp; Maintenance</t>
  </si>
  <si>
    <t>73000 Vehicle Expenses Other</t>
  </si>
  <si>
    <t>Total 73000 Vehicle Expenses</t>
  </si>
  <si>
    <t>78000 Bank Fees</t>
  </si>
  <si>
    <t>79000 Miscellaneous</t>
  </si>
  <si>
    <t>82000 Interest Expense</t>
  </si>
  <si>
    <t>82100 Credit Card Finance Charges</t>
  </si>
  <si>
    <t>82200 Interest NBRS Working Capital</t>
  </si>
  <si>
    <t>82400 Interest FFCU</t>
  </si>
  <si>
    <t>Total 82000 Interest Expense</t>
  </si>
  <si>
    <t>Other Income/Expense</t>
  </si>
  <si>
    <t>85000 Depreciation &amp; Amortization</t>
  </si>
  <si>
    <t>2014</t>
  </si>
  <si>
    <t>2015</t>
  </si>
  <si>
    <t>40106 Building 9906</t>
  </si>
  <si>
    <t>40301 Building 9900</t>
  </si>
  <si>
    <t>40304 Building 9904</t>
  </si>
  <si>
    <t>40206 Building 9906</t>
  </si>
  <si>
    <t>42900 Resident Finance Charge</t>
  </si>
  <si>
    <t>42000 Other Resident lncome Other</t>
  </si>
  <si>
    <t>Total 42000 Other Resident Income</t>
  </si>
  <si>
    <t>49000 Refunds Other</t>
  </si>
  <si>
    <t>50046 WIC Resident Care</t>
  </si>
  <si>
    <t>50044 Emp Benes Res Care</t>
  </si>
  <si>
    <t>50010 Resident Care Wages Other</t>
  </si>
  <si>
    <t>50022 Pharmacy items</t>
  </si>
  <si>
    <t>50024 Medical Supplies</t>
  </si>
  <si>
    <t>50000 Resident Care Other</t>
  </si>
  <si>
    <t>50170 Bulk Food Purchases</t>
  </si>
  <si>
    <t>50122 Coffee</t>
  </si>
  <si>
    <t>50102 Dairy</t>
  </si>
  <si>
    <t>50415 W/C Activities</t>
  </si>
  <si>
    <t>50414 Emp Benes Activities</t>
  </si>
  <si>
    <t>50410 Recreation Superisor Salary</t>
  </si>
  <si>
    <t>50435 Holiday Events</t>
  </si>
  <si>
    <t>5040 Offsite Activities</t>
  </si>
  <si>
    <t>50600 Resident Housekeeping &amp; Laundry</t>
  </si>
  <si>
    <t>50611 W/C Hskpg &amp; Laundry</t>
  </si>
  <si>
    <t>50612 Payroll Tax Hskpg Laurnd</t>
  </si>
  <si>
    <t>50610 Housekeeping Laundry Salary</t>
  </si>
  <si>
    <t>52300 Property Insurance</t>
  </si>
  <si>
    <t>55000 Facility Maintenance</t>
  </si>
  <si>
    <t>55040 Inspections &amp; Certifications</t>
  </si>
  <si>
    <t>55057 Security</t>
  </si>
  <si>
    <t>55058 Pest Control</t>
  </si>
  <si>
    <t>54085 Landscaping</t>
  </si>
  <si>
    <t>58000 Licenses &amp; Fees</t>
  </si>
  <si>
    <t>80000 Marketing Expense</t>
  </si>
  <si>
    <t>80060 Referral Fees</t>
  </si>
  <si>
    <t>80030 Media</t>
  </si>
  <si>
    <t>80040 Marketing Supplies</t>
  </si>
  <si>
    <t>62000 Employes Benefits</t>
  </si>
  <si>
    <t>62900 Employee Appreciation</t>
  </si>
  <si>
    <t>Total 70500 Professional Fees Other</t>
  </si>
  <si>
    <t>70800 Office Equipment</t>
  </si>
  <si>
    <t>70810 Office Equipment Repairs</t>
  </si>
  <si>
    <t>Tot. 70600 Office Equipment</t>
  </si>
  <si>
    <t>73700 Mileage Reimbursement</t>
  </si>
  <si>
    <t>73800 Registration &amp; Fees</t>
  </si>
  <si>
    <t>76000 Contributions</t>
  </si>
  <si>
    <t>Other Expanse</t>
  </si>
  <si>
    <t>2016</t>
  </si>
  <si>
    <t>50022 Pharmacy Items</t>
  </si>
  <si>
    <t>50100 Resident Dietary Expense</t>
  </si>
  <si>
    <t>50600 Resident Housekeeping Laundry</t>
  </si>
  <si>
    <t>55040 Inspections &amp; Certific</t>
  </si>
  <si>
    <t>55055 Landscaping</t>
  </si>
  <si>
    <t>55050 Maintenance Cont</t>
  </si>
  <si>
    <t>70910 Seminars</t>
  </si>
  <si>
    <t>Expenses</t>
  </si>
  <si>
    <t>REV</t>
  </si>
  <si>
    <t>INCOME : 40100 ROOM &amp; BOARD</t>
  </si>
  <si>
    <t>INCOME : 40101 BUILDING 9900</t>
  </si>
  <si>
    <t>INCOME : 40102 BUILDING 9902</t>
  </si>
  <si>
    <t>INCOME : 40104 BUILDING 9904</t>
  </si>
  <si>
    <t>INCOME : 40108 BUILDING 9906</t>
  </si>
  <si>
    <t>INCOME : 40100 ROOM &amp; BOARD OTHER</t>
  </si>
  <si>
    <t>40110 MEDICAID WAIVER : 40113 BUILDING 9904</t>
  </si>
  <si>
    <t>40110 MEDICAID WAIVER : 40111 BUILDING 9900</t>
  </si>
  <si>
    <t>40300 RESPITE CARE : 443301 BUILDING 9900</t>
  </si>
  <si>
    <t>40300 RESPITE CARE : 40302 BUILDING 9902</t>
  </si>
  <si>
    <t>40300 RESPITE CARE : 40306 BUILDING 9906</t>
  </si>
  <si>
    <t>40200 COMMUNITY ENTRANCE FEE : 40201 BUILDING 9900</t>
  </si>
  <si>
    <t>40200 COMMUNITY ENTRANCE FEE : 40202 BUILDING 9902</t>
  </si>
  <si>
    <t>40200 COMMUNITY ENTRANCE FEE : 40204 BUILDING 9904</t>
  </si>
  <si>
    <t>40200 COMMUNITY ENTRANCE FEE : 40206 BUILDING 99906</t>
  </si>
  <si>
    <t>41000 ANCILLARY SERVICES : 41400 SPECIAL CARE SERVICES</t>
  </si>
  <si>
    <t>41000 ANCILLARY SERVICES : 41700 BARBER &amp; SALON SERVICES</t>
  </si>
  <si>
    <t>41000 ANCILLARY SERVICES : 41800 ACTIVITY REVENUE</t>
  </si>
  <si>
    <t>42000 OTHER RESIDENT INCOME : 42100 REIMBURSEMENTS</t>
  </si>
  <si>
    <t>42000 OTHER RESIDENT INCOME : 42200 GUEST SERVICES</t>
  </si>
  <si>
    <t>42000 OTHER RESIDENT INCOME : 42900 RESIDE FINANCE CHARGE</t>
  </si>
  <si>
    <t>42000 OTHER RESIDENT INCOME : 42000 OTHER RESIDENT INCOME OTHER</t>
  </si>
  <si>
    <t>49000 REFUNDS : 49100 ROOM AND BOARD</t>
  </si>
  <si>
    <t>49000 REFUNDS : 49900 ALL OTHER REFUNDS</t>
  </si>
  <si>
    <t>49000 REFUNDS : 41000 ANCILLARY SERVICES OTHER</t>
  </si>
  <si>
    <t>INCOME : 40106 BUILDING 9906</t>
  </si>
  <si>
    <t>40300 RESPITE CARE : 40301 BUILDING 9900</t>
  </si>
  <si>
    <t>40300 RESPITE CARE : 40304 BUILDING 9904</t>
  </si>
  <si>
    <t>40200 COMMUNITY ENTRANCE FEE : 40206 BUILDING 9906</t>
  </si>
  <si>
    <t>42000 OTHER RESIDENT INCOME : 42900 RESIDENT FINANCE CHARGE</t>
  </si>
  <si>
    <t>42000 OTHER RESIDENT INCOME : 42000 OTHER RESIDENT LNCOME OTHER</t>
  </si>
  <si>
    <t>49000 REFUNDS : 49000 REFUNDS OTHER</t>
  </si>
  <si>
    <t>EXPENSES : 50000 RESIDENT CARE</t>
  </si>
  <si>
    <t>EXPENSES : 50046 W/C RESIDENT CARE</t>
  </si>
  <si>
    <t>EXPENSES : 50044 EMP BENES RES. CARE</t>
  </si>
  <si>
    <t>EXPENSES : 50042 PAYROLL TAX RES. CARE</t>
  </si>
  <si>
    <t>50010 RESIDENT CARE WAGES : 50011 RESIDENT CARE SUPERVISORS</t>
  </si>
  <si>
    <t>50010 RESIDENT CARE WAGES : 50012 RESIDENT CARE AIDES</t>
  </si>
  <si>
    <t>50020 RESIDENT CARE SUPPLIES : 50024 MEDICAL SUPPLIES</t>
  </si>
  <si>
    <t>50020 RESIDENT CARE SUPPLIES : 50020 RESIDENT CARE SUPPLIES OTHER</t>
  </si>
  <si>
    <t>50020 RESIDENT CARE SUPPLIES : 50030 CONSULTING</t>
  </si>
  <si>
    <t>50100 RESIDENT DIETARY EXPENSES : 50120 BULK FOOD PURCHASES</t>
  </si>
  <si>
    <t>50100 RESIDENT DIETARY EXPENSES : 50123 DAIRY</t>
  </si>
  <si>
    <t>50100 RESIDENT DIETARY EXPENSES : 50130 FOOD SUPPLEMENTS</t>
  </si>
  <si>
    <t>50100 RESIDENT DIETARY EXPENSES : 50140 GROCERY ITEMS</t>
  </si>
  <si>
    <t>50100 RESIDENT DIETARY EXPENSES : 50100 RESIDENT DIETARY EXPENSES OTHER</t>
  </si>
  <si>
    <t>50400 RESIDENT RECREATION EXPENSE : 50416 W/C ACTIVITIES</t>
  </si>
  <si>
    <t>50400 RESIDENT RECREATION EXPENSE : 50414 ERNP BENES ACTIVITIES</t>
  </si>
  <si>
    <t>50400 RESIDENT RECREATION EXPENSE : 50412 PAYROLL TAX ACTIVITIES</t>
  </si>
  <si>
    <t>50400 RESIDENT RECREATION EXPENSE : 50410 RECREATION SUPERVISOR SALARY</t>
  </si>
  <si>
    <t>50400 RESIDENT RECREATION EXPENSE : 50420 ENTERTAINMENT</t>
  </si>
  <si>
    <t>50400 RESIDENT RECREATION EXPENSE : 50430 HOLIDAY EVENTS</t>
  </si>
  <si>
    <t>50400 RESIDENT RECREATION EXPENSE : 50460 OFFSITE ACTIVITIES</t>
  </si>
  <si>
    <t>50400 RESIDENT RECREATION EXPENSE : 50480 RECREATION SUPPLIES</t>
  </si>
  <si>
    <t>50400 RESIDENT RECREATION EXPENSE : 50800 BEAUTICIAN</t>
  </si>
  <si>
    <t>50800 RESIDENT HOUSEKEEPING &amp; LAUNDRY : 50616 W/C HSKPG &amp; LAUNDRY</t>
  </si>
  <si>
    <t>50800 RESIDENT HOUSEKEEPING &amp; LAUNDRY : 50614 EMP BENES HSKPG LAURND</t>
  </si>
  <si>
    <t>50800 RESIDENT HOUSEKEEPING &amp; LAUNDRY : 50612 PAYROLL TAX HSKPG LAUND</t>
  </si>
  <si>
    <t>50800 RESIDENT HOUSEKEEPING &amp; LAUNDRY : 50610 HOUSEKEEPING/LAUNDRY SALARY</t>
  </si>
  <si>
    <t>50800 RESIDENT HOUSEKEEPING &amp; LAUNDRY : 50680 HOUSEKEEPING SUPPLIES</t>
  </si>
  <si>
    <t>52000 INSURANCE : 52100 LIABILITY</t>
  </si>
  <si>
    <t>52000 INSURANCE : 52300 PROPERTY LNSURANCE</t>
  </si>
  <si>
    <t>55000 FACILITY MAINTENANCE : 55016 W/C PLANT</t>
  </si>
  <si>
    <t>55000 FACILITY MAINTENANCE : 55014 EMP BENES PLANT</t>
  </si>
  <si>
    <t>55000 FACILITY MAINTENANCE : 55012 PAYROLL TAX PLANT</t>
  </si>
  <si>
    <t>55000 FACILITY MAINTENANCE : 55010 MAINTENANCE SALARIES</t>
  </si>
  <si>
    <t>55000 FACILITY MAINTENANCE : 55040 INSPECTION &amp; CERTIFICATIONS</t>
  </si>
  <si>
    <t>55000 FACILITY MAINTENANCE : 55200 MAINTENANCE SUPPLIES</t>
  </si>
  <si>
    <t>55000 FACILITY MAINTENANCE : 55300 REPAIRS AND SERVICE</t>
  </si>
  <si>
    <t>55000 FACILITY MAINTENANCE : 55600 TRASH REMOVAL</t>
  </si>
  <si>
    <t>55000 FACILITY MAINTENANCE : 54000 RENT</t>
  </si>
  <si>
    <t>55000 FACILITY MAINTENANCE : 55000 FACILITY MAINTENANCE OTHER</t>
  </si>
  <si>
    <t>55050 MAINTENANCE CONTRACTS : 55056 PEST CONTROL</t>
  </si>
  <si>
    <t>55050 MAINTENANCE CONTRACTS : 56055 LANDSCAPING</t>
  </si>
  <si>
    <t>55050 MAINTENANCE CONTRACTS : 55050 MAINTENANCE CONTRACTS OTHER</t>
  </si>
  <si>
    <t>56000 UTILITIES : 56100 GAS &amp; ELECTRIC</t>
  </si>
  <si>
    <t>56000 UTILITIES : 56200 CABLE</t>
  </si>
  <si>
    <t>56000 UTILITIES : 56300 PHONE</t>
  </si>
  <si>
    <t>56000 UTILITIES : 56700 WATER</t>
  </si>
  <si>
    <t>58000 LICENSES &amp; FEES OTHER : 58100 PERSONAL PROPERTY TAX</t>
  </si>
  <si>
    <t>58000 LICENSES &amp; FEES OTHER : 58000 LICENSES &amp; FEES OTHER</t>
  </si>
  <si>
    <t>60000 MARKETING EXPENSE : 60060 REFERRAL FEES</t>
  </si>
  <si>
    <t>60000 MARKETING EXPENSE : 60010 MARKETING SALARY</t>
  </si>
  <si>
    <t>60000 MARKETING EXPENSE : 60030 MEDIA</t>
  </si>
  <si>
    <t>60000 MARKETING EXPENSE : 60040 MARKETING SUPPLIES</t>
  </si>
  <si>
    <t>60000 MARKETING EXPENSE : 60050 EVENTS</t>
  </si>
  <si>
    <t>60000 MARKETING EXPENSE : 60000 MARKETING EXPENSE OTHER</t>
  </si>
  <si>
    <t>62000 EMPLOYEE BENEFITS : 62100 HEALTH INSURANCE</t>
  </si>
  <si>
    <t>62000 EMPLOYEE BENEFITS : 62300 LIFE &amp; DISABILITY INSURANCE</t>
  </si>
  <si>
    <t>70000 OFFICE &amp; ADMINISTRATIVE : 70016 W/C ADMIN</t>
  </si>
  <si>
    <t>70000 OFFICE &amp; ADMINISTRATIVE : 70014 EMP BENES ADMIN</t>
  </si>
  <si>
    <t>70000 OFFICE &amp; ADMINISTRATIVE : 70012 PAYROLL TAX ADMIN</t>
  </si>
  <si>
    <t>70000 OFFICE &amp; ADMINISTRATIVE : 70010 OFFICE &amp; ADMIN SALARIES</t>
  </si>
  <si>
    <t>70000 OFFICE &amp; ADMINISTRATIVE : 70300 DUES &amp; SUBSCRIPTIONS</t>
  </si>
  <si>
    <t>70000 OFFICE &amp; ADMINISTRATIVE : 70400 COMPUTER EXPENSES</t>
  </si>
  <si>
    <t>70500 PROFESSIONAL FEES : 70525 LEGAL FEES</t>
  </si>
  <si>
    <t>70500 PROFESSIONAL FEES : 70515 BROKERS FEE</t>
  </si>
  <si>
    <t>70500 PROFESSIONAL FEES : 70510 ACCOUNTING</t>
  </si>
  <si>
    <t>70500 PROFESSIONAL FEES : 70550 PAYROLL ADMINISTRATION</t>
  </si>
  <si>
    <t>70500 PROFESSIONAL FEES : 70520 EE BACKGROUND CHECK</t>
  </si>
  <si>
    <t>70500 PROFESSIONAL FEES : 70500 PROFESSIONAL FEES OTHER</t>
  </si>
  <si>
    <t>70600 OFFICE EQUIPMENT : 70620 OFFICE EQUIPMENT LEASE</t>
  </si>
  <si>
    <t>70600 OFFICE EQUIPMENT : 70610 OFFICE EQUIPMENT REPAIRS</t>
  </si>
  <si>
    <t>70600 OFFICE EQUIPMENT : 70600 OFFICE EQUIPMENT OTHER</t>
  </si>
  <si>
    <t>70600 OFFICE EQUIPMENT : 70710 POSTAGE &amp; SHIPPING</t>
  </si>
  <si>
    <t>70600 OFFICE EQUIPMENT : 70800 MEALS &amp; ENTERTAINMENT</t>
  </si>
  <si>
    <t>70600 OFFICE EQUIPMENT : 70700 OFFICE SUPPLIES</t>
  </si>
  <si>
    <t>70600 OFFICE EQUIPMENT : 70900 TRAINING &amp; TRAVEL</t>
  </si>
  <si>
    <t>70600 OFFICE EQUIPMENT : 71000 QREC MANAGEMENT FEE</t>
  </si>
  <si>
    <t>70600 OFFICE EQUIPMENT : 72000 CELLULAR PHONE</t>
  </si>
  <si>
    <t>70600 OFFICE EQUIPMENT : 78000 BANK FEES</t>
  </si>
  <si>
    <t>70600 OFFICE EQUIPMENT : 79000 MISCELLANEOUS</t>
  </si>
  <si>
    <t>73000 VEHICLE EXPENSES : 73790 MILEAGE REIMBURSEMENT</t>
  </si>
  <si>
    <t>73000 VEHICLE EXPENSES : 73200 PARKING &amp; TOLLS</t>
  </si>
  <si>
    <t>73000 VEHICLE EXPENSES : 73100 GAS</t>
  </si>
  <si>
    <t>73000 VEHICLE EXPENSES : 73400 INSURANCE</t>
  </si>
  <si>
    <t>73000 VEHICLE EXPENSES : 73600 REGISTRATION &amp; FEES</t>
  </si>
  <si>
    <t>73000 VEHICLE EXPENSES : 73800 REPAIRS &amp; MAINTENANCE</t>
  </si>
  <si>
    <t>73000 VEHICLE EXPENSES : 73000 VEHICLE EXPENSES OTHER</t>
  </si>
  <si>
    <t>82000 INTEREST EXPENSE : 82100 CREDIT CARD FINANCE CHARGES</t>
  </si>
  <si>
    <t>82000 INTEREST EXPENSE : 82200 INTEREST NBRS WORKING CAPITAL</t>
  </si>
  <si>
    <t>82000 INTEREST EXPENSE : 82400 INTEREST FFCU</t>
  </si>
  <si>
    <t>OTHER EXPENSE : 85000 DEPRECIATION &amp; AMORTIZATION</t>
  </si>
  <si>
    <t>EXPENSES : 50046 WIC RESIDENT CARE</t>
  </si>
  <si>
    <t>EXPENSES : 50044 EMP BENES RES CARE</t>
  </si>
  <si>
    <t>50010 RESIDENT CARE WAGES : 50010 RESIDENT CARE WAGES OTHER</t>
  </si>
  <si>
    <t>50020 RESIDENT CARE SUPPLIES : 50022 PHARMACY ITEMS</t>
  </si>
  <si>
    <t>50020 RESIDENT CARE SUPPLIES : 50000 RESIDENT CARE OTHER</t>
  </si>
  <si>
    <t>50100 RESIDENT DIETARY EXPENSES : 50170 BULK FOOD PURCHASES</t>
  </si>
  <si>
    <t>50100 RESIDENT DIETARY EXPENSES : 50122 COFFEE</t>
  </si>
  <si>
    <t>50100 RESIDENT DIETARY EXPENSES : 50102 DAIRY</t>
  </si>
  <si>
    <t>50400 RESIDENT RECREATION EXPENSE : 50415 W/C ACTIVITIES</t>
  </si>
  <si>
    <t>50400 RESIDENT RECREATION EXPENSE : 50414 EMP BENES ACTIVITIES</t>
  </si>
  <si>
    <t>50400 RESIDENT RECREATION EXPENSE : 50410 RECREATION SUPERISOR SALARY</t>
  </si>
  <si>
    <t>50400 RESIDENT RECREATION EXPENSE : 50435 HOLIDAY EVENTS</t>
  </si>
  <si>
    <t>50400 RESIDENT RECREATION EXPENSE : 5040 OFFSITE ACTIVITIES</t>
  </si>
  <si>
    <t>50600 RESIDENT HOUSEKEEPING &amp; LAUNDRY : 50611 W/C HSKPG &amp; LAUNDRY</t>
  </si>
  <si>
    <t>50600 RESIDENT HOUSEKEEPING &amp; LAUNDRY : 50614 EMP BENES HSKPG LAURND</t>
  </si>
  <si>
    <t>50600 RESIDENT HOUSEKEEPING &amp; LAUNDRY : 50612 PAYROLL TAX HSKPG LAURND</t>
  </si>
  <si>
    <t>50600 RESIDENT HOUSEKEEPING &amp; LAUNDRY : 50610 HOUSEKEEPING LAUNDRY SALARY</t>
  </si>
  <si>
    <t>50600 RESIDENT HOUSEKEEPING &amp; LAUNDRY : 50680 HOUSEKEEPING SUPPLIES</t>
  </si>
  <si>
    <t>52000 INSURANCE : 52300 PROPERTY INSURANCE</t>
  </si>
  <si>
    <t>55000 FACILITY MAINTENANCE : 55040 INSPECTIONS &amp; CERTIFICATIONS</t>
  </si>
  <si>
    <t>55050 MAINTENANCE CONTRACTS : 55057 SECURITY</t>
  </si>
  <si>
    <t>55050 MAINTENANCE CONTRACTS : 55058 PEST CONTROL</t>
  </si>
  <si>
    <t>55050 MAINTENANCE CONTRACTS : 54085 LANDSCAPING</t>
  </si>
  <si>
    <t>55200 MAINTENANCE SUPPLIES : 55300 REPAIRS AND SERVICE</t>
  </si>
  <si>
    <t>55200 MAINTENANCE SUPPLIES : 55600 TRASH REMOVAL</t>
  </si>
  <si>
    <t>58000 LICENSES &amp; FEES : 58100 PERSONAL PROPERTY TAX</t>
  </si>
  <si>
    <t>58000 LICENSES &amp; FEES : 58000 LICENSES &amp; FEES OTHER</t>
  </si>
  <si>
    <t>80000 MARKETING EXPENSE : 80060 REFERRAL FEES</t>
  </si>
  <si>
    <t>80000 MARKETING EXPENSE : 60010 MARKETING SALARY</t>
  </si>
  <si>
    <t>80000 MARKETING EXPENSE : 80030 MEDIA</t>
  </si>
  <si>
    <t>80000 MARKETING EXPENSE : 80040 MARKETING SUPPLIES</t>
  </si>
  <si>
    <t>80000 MARKETING EXPENSE : 60050 EVENTS</t>
  </si>
  <si>
    <t>80000 MARKETING EXPENSE : 60000 MARKETING EXPENSE OTHER</t>
  </si>
  <si>
    <t>62000 EMPLOYES BENEFITS : 62100 HEALTH INSURANCE</t>
  </si>
  <si>
    <t>62000 EMPLOYES BENEFITS : 62300 LIFE &amp; DISABILITY INSURANCE</t>
  </si>
  <si>
    <t>62000 EMPLOYES BENEFITS : 62900 EMPLOYEE APPRECIATION</t>
  </si>
  <si>
    <t>70800 OFFICE EQUIPMENT : 70620 OFFICE EQUIPMENT LEASE</t>
  </si>
  <si>
    <t>70800 OFFICE EQUIPMENT : 70810 OFFICE EQUIPMENT REPAIRS</t>
  </si>
  <si>
    <t>70710 POSTAGE &amp; SHIPPING : 70700 OFFICE SUPPLIES</t>
  </si>
  <si>
    <t>70710 POSTAGE &amp; SHIPPING : 70900 TRAINING &amp; TRAVEL</t>
  </si>
  <si>
    <t>70710 POSTAGE &amp; SHIPPING : 71000 QREC MANAGEMENT FEE</t>
  </si>
  <si>
    <t>70710 POSTAGE &amp; SHIPPING : 72000 CELLULAR PHONE</t>
  </si>
  <si>
    <t>70710 POSTAGE &amp; SHIPPING : 76000 CONTRIBUTIONS</t>
  </si>
  <si>
    <t>70710 POSTAGE &amp; SHIPPING : 78000 BANK FEES</t>
  </si>
  <si>
    <t>70710 POSTAGE &amp; SHIPPING : 79000 MISCELLANEOUS</t>
  </si>
  <si>
    <t>73000 VEHICLE EXPENSES : 73700 MILEAGE REIMBURSEMENT</t>
  </si>
  <si>
    <t>73000 VEHICLE EXPENSES : 73800 REGISTRATION &amp; FEES</t>
  </si>
  <si>
    <t>OTHER INCOME/EXPENSE : OTHER EXPANSE</t>
  </si>
  <si>
    <t>OTHER INCOME/EXPENSE : 85000 DEPRECIATION &amp; AMORTIZATION</t>
  </si>
  <si>
    <t>EXPENSE : 50000 RESIDENT CARE</t>
  </si>
  <si>
    <t>EXPENSE : 50042 PAYROLL TAX RES. CARE</t>
  </si>
  <si>
    <t>EXPENSE : 50011 RESIDENT CARE SUPERVISORS</t>
  </si>
  <si>
    <t>EXPENSE : 50012 RESIDENT CARE AIDES</t>
  </si>
  <si>
    <t>EXPENSE : 50022 PHARMACY ITEMS</t>
  </si>
  <si>
    <t>EXPENSE : 50024 MEDICAL SUPPLIES</t>
  </si>
  <si>
    <t>EXPENSE : 50030 CONSULTING</t>
  </si>
  <si>
    <t>50100 RESIDENT DIETARY EXPENSE : 50120 BULK FOOD PURCHASES</t>
  </si>
  <si>
    <t>50100 RESIDENT DIETARY EXPENSE : 50123 DAIRY</t>
  </si>
  <si>
    <t>50100 RESIDENT DIETARY EXPENSE : 50130 FOOD SUPPLEMENTS</t>
  </si>
  <si>
    <t>50100 RESIDENT DIETARY EXPENSE : 50140 GROCERY ITEMS</t>
  </si>
  <si>
    <t>50600 RESIDENT HOUSEKEEPING LAUNDRY : 50614 EMP BENES HSKPG LAURND</t>
  </si>
  <si>
    <t>50600 RESIDENT HOUSEKEEPING LAUNDRY : 50612 PAYROLL TAX HSKPG LAURND</t>
  </si>
  <si>
    <t>50600 RESIDENT HOUSEKEEPING LAUNDRY : 50610 HOUSEKEEPING LAUNDRY SALARY</t>
  </si>
  <si>
    <t>50600 RESIDENT HOUSEKEEPING LAUNDRY : 50680 HOUSEKEEPING SUPPLIES</t>
  </si>
  <si>
    <t>55000 FACILITY MAINTENANCE : 55040 INSPECTIONS &amp; CERTIFIC</t>
  </si>
  <si>
    <t>55050 MAINTENANCE CONTRACTS : 55055 LANDSCAPING</t>
  </si>
  <si>
    <t>55050 MAINTENANCE CONTRACTS : 55050 MAINTENANCE CONT</t>
  </si>
  <si>
    <t>70000 OFFICE &amp; ADMINISTRATIVE : 70515 BROKERS FEE</t>
  </si>
  <si>
    <t>70000 OFFICE &amp; ADMINISTRATIVE : 70510 ACCOUNTING</t>
  </si>
  <si>
    <t>70000 OFFICE &amp; ADMINISTRATIVE : 70550 PAYROLL ADMINISTRATION</t>
  </si>
  <si>
    <t>70000 OFFICE &amp; ADMINISTRATIVE : 70520 EE BACKGROUND CHECK</t>
  </si>
  <si>
    <t>70000 OFFICE &amp; ADMINISTRATIVE : 70500 PROFESSIONAL FEES OTHER</t>
  </si>
  <si>
    <t>70000 OFFICE &amp; ADMINISTRATIVE : 70620 OFFICE EQUIPMENT LEASE</t>
  </si>
  <si>
    <t>70000 OFFICE &amp; ADMINISTRATIVE : 70610 OFFICE EQUIPMENT REPAIRS</t>
  </si>
  <si>
    <t>70000 OFFICE &amp; ADMINISTRATIVE : 70710 POSTAGE &amp; SHIPPING</t>
  </si>
  <si>
    <t>70000 OFFICE &amp; ADMINISTRATIVE : 70700 OFFICE SUPPLIES</t>
  </si>
  <si>
    <t>70000 OFFICE &amp; ADMINISTRATIVE : 70910 SEMINARS</t>
  </si>
  <si>
    <t>70000 OFFICE &amp; ADMINISTRATIVE : 70900 TRAINING &amp; TRAVEL</t>
  </si>
  <si>
    <t>70000 OFFICE &amp; ADMINISTRATIVE : 71000 QREC MANAGEMENT FEE</t>
  </si>
  <si>
    <t>70000 OFFICE &amp; ADMINISTRATIVE : 72000 CELLULAR PHONE</t>
  </si>
  <si>
    <t>70000 OFFICE &amp; ADMINISTRATIVE : 76000 CONTRIBUTIONS</t>
  </si>
  <si>
    <t>70000 OFFICE &amp; ADMINISTRATIVE : 78000 BANK FEES</t>
  </si>
  <si>
    <t>70000 OFFICE &amp; ADMINISTRATIVE : 79000 MISCELLANEOUS</t>
  </si>
  <si>
    <t>Community Fees</t>
  </si>
  <si>
    <t>$H$2:$H$590</t>
  </si>
  <si>
    <t>$B$2:$B$590</t>
  </si>
  <si>
    <t>$I$2:$I$590</t>
  </si>
  <si>
    <t>$J$2:$J$590</t>
  </si>
  <si>
    <t>TOTAL INCOME</t>
  </si>
  <si>
    <t>TOTAL EXPENSE</t>
  </si>
  <si>
    <t>NET INCOME</t>
  </si>
  <si>
    <t>ASSISTED LIVING UNITS</t>
  </si>
  <si>
    <t>MEMORY CARE UNITS</t>
  </si>
  <si>
    <t>Patient Days</t>
  </si>
  <si>
    <t>Res Per Day</t>
  </si>
  <si>
    <t>Days in Period</t>
  </si>
  <si>
    <t>(1/1/2016 - 6/30/2016)</t>
  </si>
  <si>
    <t>7/10/16 Snapshot by Building</t>
  </si>
  <si>
    <t>Room  Number</t>
  </si>
  <si>
    <t>Non-Vacant/Vacant</t>
  </si>
  <si>
    <t>Level  of  Care  Cost</t>
  </si>
  <si>
    <t>Building  9900</t>
  </si>
  <si>
    <t>Non-Vacant</t>
  </si>
  <si>
    <t>VACANT</t>
  </si>
  <si>
    <t>State  Pays  Room  #309  -  $998.35</t>
  </si>
  <si>
    <t>Building  9902</t>
  </si>
  <si>
    <t>Building  9904</t>
  </si>
  <si>
    <t>Building  9906  (Dimentia)</t>
  </si>
  <si>
    <t>Overall Census Average</t>
  </si>
  <si>
    <t>Ending Head Count</t>
  </si>
  <si>
    <t>Memory Care</t>
  </si>
  <si>
    <t>AL</t>
  </si>
  <si>
    <t xml:space="preserve">TOTAL </t>
  </si>
  <si>
    <t>2016 Census Breakdown</t>
  </si>
  <si>
    <t>Assisted Livng</t>
  </si>
  <si>
    <t>Assisted Living</t>
  </si>
  <si>
    <t>Respite Care</t>
  </si>
  <si>
    <t>RESIDENT OCCUPANCY</t>
  </si>
  <si>
    <t>2015 Census Breakdown</t>
  </si>
  <si>
    <t xml:space="preserve">  Non-Vacant</t>
  </si>
  <si>
    <t xml:space="preserve"> Non-Vacant</t>
  </si>
  <si>
    <t>307*</t>
  </si>
  <si>
    <t>309**</t>
  </si>
  <si>
    <t>:  Non-Vacant</t>
  </si>
  <si>
    <t>Vacant</t>
  </si>
  <si>
    <t>.  Non-Vacant</t>
  </si>
  <si>
    <t>Building  9906  (Dementia)</t>
  </si>
  <si>
    <t>400</t>
  </si>
  <si>
    <t>402</t>
  </si>
  <si>
    <t>406</t>
  </si>
  <si>
    <t>*State  (Medicaid-wavier)  Pays  Room  #307  -  $1,723.65</t>
  </si>
  <si>
    <t>**State  (Medicaid-waiver)  Pays  Room  #309  -  $998.35</t>
  </si>
  <si>
    <t>Total</t>
  </si>
  <si>
    <t>Total  Resident</t>
  </si>
  <si>
    <t>05/07/2015 Snapshot by Building</t>
  </si>
  <si>
    <t>MC</t>
  </si>
  <si>
    <t>Historical 2015 Benchmark</t>
  </si>
  <si>
    <t>1565</t>
  </si>
  <si>
    <t>2014 Averages</t>
  </si>
  <si>
    <t xml:space="preserve">Memory Care occupancy for 2016 &amp; 2015 taken from snapshot of occupancy </t>
  </si>
  <si>
    <t>2014 Memory care occupancy is taken from average of 2015 and 2016</t>
  </si>
  <si>
    <t>Assisted Living occupancy is total occupancy minus memory care plug</t>
  </si>
  <si>
    <t>Plug RE Tax for profit buyer (RQ reports $59,267.14 for 2015 assessed year)</t>
  </si>
  <si>
    <t>** Off from RE TAXES</t>
  </si>
  <si>
    <t>Pro Forma</t>
  </si>
  <si>
    <t>Rates from historical trend</t>
  </si>
  <si>
    <t>2015 PPD</t>
  </si>
  <si>
    <t>2015 Historical</t>
  </si>
  <si>
    <t>2015 Historical + 10k aggressive campaign?</t>
  </si>
  <si>
    <t>2015 Historical - %-age change?</t>
  </si>
  <si>
    <t xml:space="preserve">Increased Marketing </t>
  </si>
  <si>
    <t>HISTORICAL % OF LABOR ANALYSIS - SALEM</t>
  </si>
  <si>
    <t>2016A</t>
  </si>
  <si>
    <t>% of Labor</t>
  </si>
  <si>
    <t>Labor Costs</t>
  </si>
  <si>
    <t>Valuation Metrics</t>
  </si>
  <si>
    <t>Price Per Unit</t>
  </si>
  <si>
    <t>Transaction Costs</t>
  </si>
  <si>
    <t>Escrow Fees</t>
  </si>
  <si>
    <t>ESTIMATED PROCEEDS</t>
  </si>
  <si>
    <t>Baseline</t>
  </si>
  <si>
    <t>Target</t>
  </si>
  <si>
    <t>Cap Rate</t>
  </si>
  <si>
    <t>EGIM</t>
  </si>
  <si>
    <t>Operating Margin</t>
  </si>
  <si>
    <t>Total Units</t>
  </si>
  <si>
    <t>Debt Retirement</t>
  </si>
  <si>
    <t>LOCATION INFORMATION</t>
  </si>
  <si>
    <t>COMMUNITY INFORMATION</t>
  </si>
  <si>
    <t>SALE INFORMATION</t>
  </si>
  <si>
    <t>Community
Name</t>
  </si>
  <si>
    <t>City</t>
  </si>
  <si>
    <t>State</t>
  </si>
  <si>
    <t>Care
Type(s)</t>
  </si>
  <si>
    <t>Number
of Units</t>
  </si>
  <si>
    <t>Year 
Built</t>
  </si>
  <si>
    <t>Bldg Size (SF)</t>
  </si>
  <si>
    <t>Sale
Date</t>
  </si>
  <si>
    <t>Sale
Price</t>
  </si>
  <si>
    <t>Price
Per Unit</t>
  </si>
  <si>
    <t>Source</t>
  </si>
  <si>
    <t>Notes</t>
  </si>
  <si>
    <t>Rock Spring Village</t>
  </si>
  <si>
    <t>Forest Hills</t>
  </si>
  <si>
    <t>MD</t>
  </si>
  <si>
    <t>CoStar</t>
  </si>
  <si>
    <t>The pro forma NOI at stabilization is expected to be around $1.8 million, providing tremendous upside. The trailing EBITDA was not attractive, due to occupancy being about 70%, resulting in a low operating margin.
Buyer paid in all cash and will finance the transaction following acquisition. They plan to take advantage of excellent demographics by making substantial capital improvements to the property.</t>
  </si>
  <si>
    <t>The Residence of Greenbelt</t>
  </si>
  <si>
    <t>Lanham</t>
  </si>
  <si>
    <t>AL | MC</t>
  </si>
  <si>
    <t>National Investment Center 
for Seniors Housing &amp; Care (NIC)</t>
  </si>
  <si>
    <t xml:space="preserve">The Residence of Greenbelt, an 89 unit assisted living and memory care facility, was sold on January 30, 2015 for $18 million. The property manager confirmed that of the 89 units, 21 are memory care units. They also confirmed as of March 20, 2015 there were 79 occupied units, the occupancy was about 89%. The property has been renamed Arbor Terrace Senior Living. The seller acquired the distressed property in 2007, the broker reported that the seller recently invested $2 million in capital upgrades and raised the occupancy to 88% at the time of sale. </t>
  </si>
  <si>
    <t>Spring Village of Wildewood</t>
  </si>
  <si>
    <t>California</t>
  </si>
  <si>
    <t>-</t>
  </si>
  <si>
    <t>Irving Levin Associates, Ltd. (The Senior Care 
Acquisition Report, Twenteenth Edition, 2015)</t>
  </si>
  <si>
    <t>Spring Village is an assisted living community with a combination of assisted living and memory care units. It opened in May 2014 and is located within a larger planned unit development known as Wildewood</t>
  </si>
  <si>
    <t>Tudor Heights</t>
  </si>
  <si>
    <t>Pikesville</t>
  </si>
  <si>
    <t>Blueprint Healthcare Real Estate Advisors</t>
  </si>
  <si>
    <t>Tudor Heights is a 3-story assisted living-memory care facility that totals 39,579 square feet and was constructed in 1997. This 64-bed facility sits on roughly 1.16 acres of land that is currently R050.Peregrine Senior Living of Pikesville LLC entered into a NNN lease that has an initial term of 15 years with two 5-year renewal options. As stated within the buyers' press release, "the lease structure provides for annual rent escalators after year four equal to the greater of CPI and 3.0%, resulting in minimum annual lease revenues of $600,000." Sabra Health Care REIT, Inc. acquired the fully leased investment triple net asset from Walton Street Capital LLC.</t>
  </si>
  <si>
    <t>Abbey Manor Assisted Living</t>
  </si>
  <si>
    <t>Elkton</t>
  </si>
  <si>
    <t>The Woodlands</t>
  </si>
  <si>
    <t>Baltimore</t>
  </si>
  <si>
    <t>This transaction represents the sale of The Woodlands on Windlass Dr in Baltimore, MD. This 63 unit senior care property sold for $9,000,000 on October 31, 2013. The buyer was able to confirm the sale price and other details of the transaction. The property was previously owned and occupied by Quail Run Elder Care Communities, doing business as and operating this property as The Woodlands. The seller executed a leaseback of the property for a seven year term with unspecified renewal options. The lease rate in the first year will be eight percent and escalates annually on a fixed basis.</t>
  </si>
  <si>
    <t>Catered Living of Cockeysville</t>
  </si>
  <si>
    <t>Cockeysville</t>
  </si>
  <si>
    <t>Autumn Assisted Living at Bel Air</t>
  </si>
  <si>
    <t xml:space="preserve">Bel Air </t>
  </si>
  <si>
    <t>The property was about 95 percent occupied at the time of sale and traded at a 9.75 percent cap rate. The buyer reported the total sale price to be $8,100,000 for the real property, personal property and business value and the $5,142,500 price reflects the value of the real estate only.</t>
  </si>
  <si>
    <t>Tranquility at Fredericktowne</t>
  </si>
  <si>
    <t>Frederick</t>
  </si>
  <si>
    <t>This transaction represents the sale of Tranquility at Fredericktowne, a 74-unit assisted living facility in Frederick, MD. Capital Health Group purchased the property from a private investment group on June 28, 2012 for $12.7 million, or approximately $171,622 per unit. The property was approximately 95% occupied at the time of the sale, according to one of our sources. Additionally, that source reported that Tranquility at Fredericktowne traded at approximately an 8.8% cap rate. The sellers, who had developed the property, were motivated to sell by the attractive pricing brought to them, as well as an ongoing desire to eventually exit the asset, one of our sources reported.</t>
  </si>
  <si>
    <t>Average PPU</t>
  </si>
  <si>
    <t>Inflation</t>
  </si>
  <si>
    <t>Dietary Plug Per Res.</t>
  </si>
  <si>
    <t>Toggles</t>
  </si>
  <si>
    <t>AL Rate</t>
  </si>
  <si>
    <t>MC Rate</t>
  </si>
  <si>
    <t>AL Residents</t>
  </si>
  <si>
    <t>MC Residents</t>
  </si>
  <si>
    <t>Inflation Multiplier</t>
  </si>
  <si>
    <t>2015 PPD w/ inflation</t>
  </si>
  <si>
    <t>2015 Historical w/ inflation</t>
  </si>
  <si>
    <t>Historical - %-age of Labor</t>
  </si>
  <si>
    <t>Estimated Valuation Range*</t>
  </si>
  <si>
    <t>* Estimated Valuation Range rounded</t>
  </si>
  <si>
    <t>TOTAL COSTS**</t>
  </si>
  <si>
    <t>**Escrow and Title fees identified above are estimates and subject to change. Total Costs does not contemplate debt retirement and costs associated therewith, legal costs, other transaction costs, and advisor fees.</t>
  </si>
  <si>
    <t>Transfer Tax (2.0%)</t>
  </si>
  <si>
    <r>
      <t>T6A</t>
    </r>
    <r>
      <rPr>
        <b/>
        <vertAlign val="superscript"/>
        <sz val="14"/>
        <color theme="0"/>
        <rFont val="Open Sans"/>
      </rPr>
      <t>1</t>
    </r>
  </si>
  <si>
    <r>
      <t>AMC</t>
    </r>
    <r>
      <rPr>
        <b/>
        <vertAlign val="superscript"/>
        <sz val="14"/>
        <color theme="1"/>
        <rFont val="Open Sans"/>
      </rPr>
      <t>2</t>
    </r>
  </si>
  <si>
    <r>
      <t>Per Res.</t>
    </r>
    <r>
      <rPr>
        <b/>
        <vertAlign val="superscript"/>
        <sz val="14"/>
        <color theme="1"/>
        <rFont val="Open Sans"/>
      </rPr>
      <t>3</t>
    </r>
  </si>
  <si>
    <r>
      <t>Management Fee</t>
    </r>
    <r>
      <rPr>
        <vertAlign val="superscript"/>
        <sz val="14"/>
        <rFont val="Open Sans"/>
      </rPr>
      <t>4</t>
    </r>
  </si>
  <si>
    <t>4k</t>
  </si>
  <si>
    <t>$200 plug</t>
  </si>
  <si>
    <t>Advisor Fee</t>
  </si>
  <si>
    <t>ADVISOR FEE TOGGLE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</si>
</sst>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5" formatCode="&quot;$&quot;#,##0_);\(&quot;$&quot;#,##0\)"/>
    <numFmt numFmtId="6" formatCode="&quot;$&quot;#,##0_);[Red]\(&quot;$&quot;#,##0\)"/>
    <numFmt numFmtId="44" formatCode="_(&quot;$&quot;* #,##0.00_);_(&quot;$&quot;* \(#,##0.00\);_(&quot;$&quot;* &quot;-&quot;??_);_(@_)"/>
    <numFmt numFmtId="43" formatCode="_(* #,##0.00_);_(* \(#,##0.00\);_(* &quot;-&quot;??_);_(@_)"/>
    <numFmt numFmtId="164" formatCode="#,###,##0.00;\(#,###,##0.00\)"/>
    <numFmt numFmtId="165" formatCode="0.0"/>
    <numFmt numFmtId="166" formatCode="&quot;$&quot;#,##0"/>
    <numFmt numFmtId="167" formatCode="0.0%"/>
    <numFmt numFmtId="168" formatCode="0.000"/>
    <numFmt numFmtId="169" formatCode="&quot;$&quot;#,##0.00"/>
    <numFmt numFmtId="170" formatCode="[$$-809]#,##0.00"/>
    <numFmt numFmtId="171" formatCode="[$$-809]0.00"/>
    <numFmt numFmtId="172" formatCode="&quot;$&quot;#,##0.000"/>
  </numFmts>
  <fonts count="60">
    <font>
      <sz val="10"/>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Open Sans"/>
      <family val="2"/>
    </font>
    <font>
      <sz val="10"/>
      <color indexed="0"/>
      <name val="Arial"/>
      <family val="2"/>
    </font>
    <font>
      <sz val="14"/>
      <color theme="1"/>
      <name val="Open Sans"/>
      <family val="2"/>
    </font>
    <font>
      <b/>
      <sz val="14"/>
      <color theme="0"/>
      <name val="Open Sans"/>
      <family val="2"/>
    </font>
    <font>
      <b/>
      <sz val="14"/>
      <name val="Open Sans"/>
      <family val="2"/>
    </font>
    <font>
      <sz val="10"/>
      <color theme="1"/>
      <name val="Calibri"/>
      <family val="2"/>
      <scheme val="minor"/>
    </font>
    <font>
      <sz val="14"/>
      <name val="Open Sans"/>
      <family val="2"/>
    </font>
    <font>
      <b/>
      <sz val="14"/>
      <color theme="1"/>
      <name val="Open Sans"/>
      <family val="2"/>
    </font>
    <font>
      <b/>
      <sz val="14"/>
      <color rgb="FF000000"/>
      <name val="Open Sans"/>
      <family val="2"/>
    </font>
    <font>
      <sz val="11"/>
      <color theme="1"/>
      <name val="Calibri"/>
      <family val="2"/>
      <scheme val="minor"/>
    </font>
    <font>
      <sz val="10"/>
      <name val="Arial"/>
      <family val="2"/>
    </font>
    <font>
      <sz val="14"/>
      <color theme="0"/>
      <name val="Open Sans"/>
      <family val="2"/>
    </font>
    <font>
      <i/>
      <sz val="14"/>
      <color theme="1"/>
      <name val="Open Sans"/>
      <family val="2"/>
    </font>
    <font>
      <i/>
      <sz val="14"/>
      <name val="Open Sans"/>
      <family val="2"/>
    </font>
    <font>
      <b/>
      <i/>
      <sz val="14"/>
      <name val="Open Sans"/>
      <family val="2"/>
    </font>
    <font>
      <b/>
      <i/>
      <sz val="14"/>
      <color theme="0"/>
      <name val="Open Sans"/>
      <family val="2"/>
    </font>
    <font>
      <i/>
      <sz val="10"/>
      <color theme="1"/>
      <name val="Calibri"/>
      <family val="2"/>
      <scheme val="minor"/>
    </font>
    <font>
      <i/>
      <sz val="14"/>
      <color rgb="FFFF0000"/>
      <name val="Open Sans"/>
      <family val="2"/>
    </font>
    <font>
      <b/>
      <u/>
      <sz val="14"/>
      <color theme="1"/>
      <name val="Open Sans"/>
      <family val="2"/>
    </font>
    <font>
      <sz val="11"/>
      <color rgb="FF000000"/>
      <name val="Calibri"/>
      <family val="2"/>
    </font>
    <font>
      <b/>
      <sz val="8"/>
      <color rgb="FF000000"/>
      <name val="Open Sans"/>
    </font>
    <font>
      <sz val="8"/>
      <color rgb="FF000000"/>
      <name val="Open Sans"/>
    </font>
    <font>
      <b/>
      <sz val="8"/>
      <color theme="0"/>
      <name val="Open Sans"/>
    </font>
    <font>
      <sz val="8"/>
      <color theme="1"/>
      <name val="Open Sans"/>
    </font>
    <font>
      <sz val="11"/>
      <color theme="1"/>
      <name val="Calibri"/>
      <family val="2"/>
    </font>
    <font>
      <u/>
      <sz val="11"/>
      <color rgb="FF000000"/>
      <name val="Calibri"/>
      <family val="2"/>
    </font>
    <font>
      <sz val="11"/>
      <color rgb="FF000000"/>
      <name val="Times New Roman"/>
      <family val="1"/>
    </font>
    <font>
      <b/>
      <sz val="10"/>
      <color theme="0"/>
      <name val="Arial"/>
      <family val="2"/>
    </font>
    <font>
      <sz val="12"/>
      <name val="Arial"/>
      <family val="2"/>
    </font>
    <font>
      <b/>
      <sz val="11"/>
      <color theme="1"/>
      <name val="Calibri"/>
      <family val="2"/>
      <scheme val="minor"/>
    </font>
    <font>
      <sz val="10"/>
      <color indexed="8"/>
      <name val="Arial"/>
      <family val="2"/>
    </font>
    <font>
      <sz val="11"/>
      <color indexed="8"/>
      <name val="Open Sans"/>
      <family val="2"/>
    </font>
    <font>
      <b/>
      <sz val="11"/>
      <color theme="0"/>
      <name val="Open Sans"/>
      <family val="2"/>
    </font>
    <font>
      <b/>
      <sz val="11"/>
      <color theme="1"/>
      <name val="Open Sans"/>
      <family val="2"/>
    </font>
    <font>
      <sz val="11"/>
      <color theme="0" tint="-0.499984740745262"/>
      <name val="Open Sans"/>
      <family val="2"/>
    </font>
    <font>
      <sz val="11"/>
      <color theme="2" tint="-0.499984740745262"/>
      <name val="Open Sans"/>
      <family val="2"/>
    </font>
    <font>
      <sz val="11"/>
      <color theme="1"/>
      <name val="Open Sans"/>
      <family val="2"/>
    </font>
    <font>
      <b/>
      <sz val="11"/>
      <name val="Open Sans"/>
      <family val="2"/>
    </font>
    <font>
      <sz val="8"/>
      <color indexed="8"/>
      <name val="Open Sans"/>
      <family val="2"/>
    </font>
    <font>
      <sz val="11"/>
      <name val="Open Sans"/>
      <family val="2"/>
    </font>
    <font>
      <b/>
      <sz val="10"/>
      <color theme="1"/>
      <name val="Times New Roman"/>
      <family val="1"/>
    </font>
    <font>
      <b/>
      <sz val="10"/>
      <color theme="0"/>
      <name val="Times New Roman"/>
      <family val="1"/>
    </font>
    <font>
      <sz val="10"/>
      <color rgb="FF000000"/>
      <name val="Times New Roman"/>
      <family val="1"/>
    </font>
    <font>
      <sz val="10"/>
      <color theme="1"/>
      <name val="Times New Roman"/>
      <family val="1"/>
    </font>
    <font>
      <sz val="11"/>
      <color theme="1"/>
      <name val="Times New Roman"/>
      <family val="1"/>
    </font>
    <font>
      <b/>
      <sz val="14"/>
      <color theme="1"/>
      <name val="Open Sans"/>
    </font>
    <font>
      <sz val="14"/>
      <color theme="1"/>
      <name val="Open Sans"/>
    </font>
    <font>
      <sz val="14"/>
      <color rgb="FF000000"/>
      <name val="Times New Roman"/>
      <family val="1"/>
    </font>
    <font>
      <sz val="14"/>
      <color theme="1"/>
      <name val="Times New Roman"/>
      <family val="1"/>
    </font>
    <font>
      <b/>
      <sz val="14"/>
      <color theme="0"/>
      <name val="Times New Roman"/>
      <family val="1"/>
    </font>
    <font>
      <b/>
      <sz val="11"/>
      <name val="Open Sans"/>
    </font>
    <font>
      <b/>
      <vertAlign val="superscript"/>
      <sz val="14"/>
      <color theme="0"/>
      <name val="Open Sans"/>
    </font>
    <font>
      <b/>
      <vertAlign val="superscript"/>
      <sz val="14"/>
      <color theme="1"/>
      <name val="Open Sans"/>
    </font>
    <font>
      <vertAlign val="superscript"/>
      <sz val="14"/>
      <name val="Open Sans"/>
    </font>
    <font>
      <b/>
      <sz val="9"/>
      <color theme="0"/>
      <name val="Open Sans"/>
      <family val="2"/>
    </font>
  </fonts>
  <fills count="18">
    <fill>
      <patternFill patternType="none"/>
    </fill>
    <fill>
      <patternFill patternType="gray125"/>
    </fill>
    <fill>
      <patternFill patternType="solid">
        <fgColor theme="1"/>
        <bgColor indexed="64"/>
      </patternFill>
    </fill>
    <fill>
      <patternFill patternType="solid">
        <fgColor theme="0" tint="-0.249977111117893"/>
        <bgColor indexed="64"/>
      </patternFill>
    </fill>
    <fill>
      <patternFill patternType="solid">
        <fgColor theme="1"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rgb="FF314880"/>
        <bgColor indexed="64"/>
      </patternFill>
    </fill>
    <fill>
      <patternFill patternType="solid">
        <fgColor rgb="FF00B0F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30487F"/>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s>
  <cellStyleXfs count="25">
    <xf numFmtId="0" fontId="0" fillId="0" borderId="0"/>
    <xf numFmtId="164" fontId="6" fillId="0" borderId="0"/>
    <xf numFmtId="9" fontId="10" fillId="0" borderId="0" applyFont="0" applyFill="0" applyBorder="0" applyAlignment="0" applyProtection="0"/>
    <xf numFmtId="0" fontId="14" fillId="0" borderId="0"/>
    <xf numFmtId="0" fontId="15" fillId="0" borderId="0"/>
    <xf numFmtId="0" fontId="15" fillId="0" borderId="0"/>
    <xf numFmtId="9" fontId="15" fillId="0" borderId="0" applyFont="0" applyFill="0" applyBorder="0" applyAlignment="0" applyProtection="0"/>
    <xf numFmtId="0" fontId="14" fillId="0" borderId="0"/>
    <xf numFmtId="0" fontId="6" fillId="0" borderId="0"/>
    <xf numFmtId="0" fontId="5" fillId="0" borderId="0"/>
    <xf numFmtId="0" fontId="4" fillId="0" borderId="0"/>
    <xf numFmtId="0" fontId="10" fillId="0" borderId="0"/>
    <xf numFmtId="0" fontId="4" fillId="0" borderId="0"/>
    <xf numFmtId="9" fontId="10" fillId="0" borderId="0" applyFont="0" applyFill="0" applyBorder="0" applyAlignment="0" applyProtection="0"/>
    <xf numFmtId="0" fontId="4" fillId="0" borderId="0"/>
    <xf numFmtId="44" fontId="10" fillId="0" borderId="0" applyFont="0" applyFill="0" applyBorder="0" applyAlignment="0" applyProtection="0"/>
    <xf numFmtId="0" fontId="4" fillId="0" borderId="0"/>
    <xf numFmtId="43" fontId="15" fillId="0" borderId="0" applyFont="0" applyFill="0" applyBorder="0" applyAlignment="0" applyProtection="0"/>
    <xf numFmtId="44" fontId="10" fillId="0" borderId="0" applyFont="0" applyFill="0" applyBorder="0" applyAlignment="0" applyProtection="0"/>
    <xf numFmtId="0" fontId="3" fillId="0" borderId="0"/>
    <xf numFmtId="0" fontId="2" fillId="0" borderId="0"/>
    <xf numFmtId="0" fontId="35" fillId="0" borderId="0">
      <alignment vertical="top"/>
    </xf>
    <xf numFmtId="0" fontId="15" fillId="0" borderId="0"/>
    <xf numFmtId="0" fontId="1" fillId="0" borderId="0"/>
    <xf numFmtId="44" fontId="1" fillId="0" borderId="0" applyFont="0" applyFill="0" applyBorder="0" applyAlignment="0" applyProtection="0"/>
  </cellStyleXfs>
  <cellXfs count="445">
    <xf numFmtId="0" fontId="0" fillId="0" borderId="0" xfId="0"/>
    <xf numFmtId="0" fontId="7" fillId="0" borderId="0" xfId="0" applyFont="1"/>
    <xf numFmtId="0" fontId="11" fillId="0" borderId="0" xfId="0" applyFont="1" applyAlignment="1">
      <alignment vertical="center"/>
    </xf>
    <xf numFmtId="0" fontId="8" fillId="4" borderId="1" xfId="0" applyFont="1" applyFill="1" applyBorder="1" applyAlignment="1">
      <alignment horizontal="center" vertical="center"/>
    </xf>
    <xf numFmtId="0" fontId="11" fillId="0" borderId="1" xfId="0" applyFont="1" applyFill="1" applyBorder="1" applyAlignment="1">
      <alignment vertical="center"/>
    </xf>
    <xf numFmtId="0" fontId="13" fillId="0" borderId="1" xfId="0" applyFont="1" applyFill="1" applyBorder="1" applyAlignment="1">
      <alignment horizontal="center" vertical="center"/>
    </xf>
    <xf numFmtId="0" fontId="7" fillId="10" borderId="0" xfId="3" applyFont="1" applyFill="1" applyAlignment="1" applyProtection="1">
      <alignment vertical="center"/>
      <protection locked="0"/>
    </xf>
    <xf numFmtId="0" fontId="7" fillId="0" borderId="0" xfId="0" applyFont="1" applyProtection="1">
      <protection locked="0"/>
    </xf>
    <xf numFmtId="0" fontId="16" fillId="10" borderId="0" xfId="4" applyFont="1" applyFill="1" applyAlignment="1" applyProtection="1">
      <alignment vertical="center"/>
      <protection locked="0"/>
    </xf>
    <xf numFmtId="14" fontId="11" fillId="11" borderId="0" xfId="4" quotePrefix="1" applyNumberFormat="1" applyFont="1" applyFill="1" applyBorder="1" applyAlignment="1" applyProtection="1">
      <alignment horizontal="right" vertical="center"/>
      <protection locked="0"/>
    </xf>
    <xf numFmtId="0" fontId="11" fillId="11" borderId="0" xfId="4" quotePrefix="1" applyFont="1" applyFill="1" applyBorder="1" applyAlignment="1" applyProtection="1">
      <alignment horizontal="right" vertical="center"/>
      <protection locked="0"/>
    </xf>
    <xf numFmtId="0" fontId="8" fillId="2" borderId="1" xfId="0" applyFont="1" applyFill="1" applyBorder="1" applyAlignment="1" applyProtection="1">
      <alignment horizontal="center"/>
      <protection locked="0"/>
    </xf>
    <xf numFmtId="6" fontId="8" fillId="12" borderId="2" xfId="4" applyNumberFormat="1" applyFont="1" applyFill="1" applyBorder="1" applyAlignment="1" applyProtection="1">
      <alignment horizontal="left" vertical="center"/>
      <protection locked="0"/>
    </xf>
    <xf numFmtId="0" fontId="12" fillId="3" borderId="1" xfId="0" applyFont="1" applyFill="1" applyBorder="1" applyAlignment="1" applyProtection="1">
      <alignment horizontal="center"/>
      <protection locked="0"/>
    </xf>
    <xf numFmtId="0" fontId="11" fillId="10" borderId="9" xfId="4" applyFont="1" applyFill="1" applyBorder="1" applyAlignment="1" applyProtection="1">
      <alignment vertical="center"/>
      <protection locked="0"/>
    </xf>
    <xf numFmtId="0" fontId="11" fillId="10" borderId="10" xfId="4" applyFont="1" applyFill="1" applyBorder="1" applyAlignment="1" applyProtection="1">
      <alignment vertical="center"/>
      <protection locked="0"/>
    </xf>
    <xf numFmtId="0" fontId="11" fillId="10" borderId="11" xfId="4" applyFont="1" applyFill="1" applyBorder="1" applyAlignment="1" applyProtection="1">
      <alignment vertical="center"/>
      <protection locked="0"/>
    </xf>
    <xf numFmtId="0" fontId="12" fillId="5" borderId="0" xfId="3" applyFont="1" applyFill="1" applyAlignment="1" applyProtection="1">
      <alignment horizontal="center" vertical="center"/>
      <protection locked="0"/>
    </xf>
    <xf numFmtId="0" fontId="12" fillId="10" borderId="1" xfId="4" applyFont="1" applyFill="1" applyBorder="1" applyAlignment="1" applyProtection="1">
      <alignment vertical="center"/>
      <protection locked="0"/>
    </xf>
    <xf numFmtId="0" fontId="12" fillId="10" borderId="9" xfId="4" applyFont="1" applyFill="1" applyBorder="1" applyAlignment="1" applyProtection="1">
      <alignment vertical="center"/>
      <protection locked="0"/>
    </xf>
    <xf numFmtId="0" fontId="12" fillId="10" borderId="12" xfId="4" applyFont="1" applyFill="1" applyBorder="1" applyAlignment="1">
      <alignment horizontal="right"/>
    </xf>
    <xf numFmtId="0" fontId="12" fillId="10" borderId="14" xfId="4" applyFont="1" applyFill="1" applyBorder="1" applyAlignment="1">
      <alignment horizontal="right"/>
    </xf>
    <xf numFmtId="0" fontId="7" fillId="10" borderId="9" xfId="4" applyFont="1" applyFill="1" applyBorder="1" applyAlignment="1" applyProtection="1">
      <alignment horizontal="left" vertical="center" indent="1"/>
      <protection locked="0"/>
    </xf>
    <xf numFmtId="165" fontId="7" fillId="10" borderId="10" xfId="4" applyNumberFormat="1" applyFont="1" applyFill="1" applyBorder="1" applyAlignment="1" applyProtection="1">
      <alignment horizontal="right" vertical="center"/>
      <protection locked="0"/>
    </xf>
    <xf numFmtId="166" fontId="7" fillId="10" borderId="0" xfId="4" applyNumberFormat="1" applyFont="1" applyFill="1" applyBorder="1" applyAlignment="1" applyProtection="1">
      <alignment horizontal="right" vertical="center"/>
      <protection locked="0"/>
    </xf>
    <xf numFmtId="167" fontId="7" fillId="10" borderId="11" xfId="4" applyNumberFormat="1" applyFont="1" applyFill="1" applyBorder="1" applyAlignment="1" applyProtection="1">
      <alignment horizontal="right" vertical="center"/>
      <protection locked="0"/>
    </xf>
    <xf numFmtId="0" fontId="9" fillId="10" borderId="2" xfId="5" applyFont="1" applyFill="1" applyBorder="1" applyAlignment="1" applyProtection="1">
      <alignment horizontal="left" vertical="center"/>
      <protection locked="0"/>
    </xf>
    <xf numFmtId="165" fontId="12" fillId="10" borderId="3" xfId="4" applyNumberFormat="1" applyFont="1" applyFill="1" applyBorder="1" applyAlignment="1" applyProtection="1">
      <alignment horizontal="right" vertical="center"/>
      <protection locked="0"/>
    </xf>
    <xf numFmtId="166" fontId="12" fillId="10" borderId="4" xfId="4" applyNumberFormat="1" applyFont="1" applyFill="1" applyBorder="1" applyAlignment="1" applyProtection="1">
      <alignment horizontal="right" vertical="center"/>
      <protection locked="0"/>
    </xf>
    <xf numFmtId="167" fontId="12" fillId="10" borderId="5" xfId="4" applyNumberFormat="1" applyFont="1" applyFill="1" applyBorder="1" applyAlignment="1" applyProtection="1">
      <alignment horizontal="right" vertical="center"/>
      <protection locked="0"/>
    </xf>
    <xf numFmtId="0" fontId="9" fillId="10" borderId="9" xfId="5" applyFont="1" applyFill="1" applyBorder="1" applyAlignment="1" applyProtection="1">
      <alignment horizontal="left" vertical="center"/>
      <protection locked="0"/>
    </xf>
    <xf numFmtId="167" fontId="12" fillId="10" borderId="10" xfId="6" applyNumberFormat="1" applyFont="1" applyFill="1" applyBorder="1" applyAlignment="1" applyProtection="1">
      <alignment horizontal="right" vertical="center"/>
      <protection locked="0"/>
    </xf>
    <xf numFmtId="0" fontId="7" fillId="0" borderId="0" xfId="7" applyFont="1" applyBorder="1" applyAlignment="1" applyProtection="1">
      <alignment vertical="center"/>
      <protection locked="0"/>
    </xf>
    <xf numFmtId="167" fontId="12" fillId="10" borderId="11" xfId="4" applyNumberFormat="1" applyFont="1" applyFill="1" applyBorder="1" applyAlignment="1" applyProtection="1">
      <alignment horizontal="right" vertical="center"/>
      <protection locked="0"/>
    </xf>
    <xf numFmtId="0" fontId="7" fillId="0" borderId="0" xfId="0" applyFont="1" applyBorder="1" applyProtection="1">
      <protection locked="0"/>
    </xf>
    <xf numFmtId="0" fontId="11" fillId="10" borderId="10" xfId="4" applyFont="1" applyFill="1" applyBorder="1" applyAlignment="1" applyProtection="1">
      <alignment horizontal="right" vertical="center"/>
      <protection locked="0"/>
    </xf>
    <xf numFmtId="0" fontId="11" fillId="10" borderId="0" xfId="4" applyFont="1" applyFill="1" applyBorder="1" applyAlignment="1" applyProtection="1">
      <alignment horizontal="right" vertical="center"/>
      <protection locked="0"/>
    </xf>
    <xf numFmtId="0" fontId="11" fillId="10" borderId="11" xfId="4" applyFont="1" applyFill="1" applyBorder="1" applyAlignment="1" applyProtection="1">
      <alignment horizontal="right" vertical="center"/>
      <protection locked="0"/>
    </xf>
    <xf numFmtId="0" fontId="9" fillId="10" borderId="1" xfId="5" applyFont="1" applyFill="1" applyBorder="1" applyAlignment="1" applyProtection="1">
      <alignment vertical="center"/>
      <protection locked="0"/>
    </xf>
    <xf numFmtId="0" fontId="12" fillId="0" borderId="10" xfId="4" applyFont="1" applyFill="1" applyBorder="1" applyAlignment="1" applyProtection="1">
      <alignment horizontal="right" vertical="center"/>
      <protection locked="0"/>
    </xf>
    <xf numFmtId="0" fontId="12" fillId="10" borderId="0" xfId="4" applyFont="1" applyFill="1" applyBorder="1" applyAlignment="1" applyProtection="1">
      <alignment horizontal="right" vertical="center"/>
      <protection locked="0"/>
    </xf>
    <xf numFmtId="0" fontId="12" fillId="10" borderId="11" xfId="4" applyFont="1" applyFill="1" applyBorder="1" applyAlignment="1" applyProtection="1">
      <alignment horizontal="right" vertical="center"/>
      <protection locked="0"/>
    </xf>
    <xf numFmtId="0" fontId="12" fillId="6" borderId="0" xfId="3" applyFont="1" applyFill="1" applyAlignment="1" applyProtection="1">
      <alignment horizontal="center" vertical="center"/>
      <protection locked="0"/>
    </xf>
    <xf numFmtId="166" fontId="7" fillId="10" borderId="10" xfId="4" applyNumberFormat="1" applyFont="1" applyFill="1" applyBorder="1" applyAlignment="1" applyProtection="1">
      <alignment horizontal="right" vertical="center"/>
      <protection locked="0"/>
    </xf>
    <xf numFmtId="0" fontId="11" fillId="10" borderId="0" xfId="0" applyFont="1" applyFill="1" applyAlignment="1" applyProtection="1">
      <alignment vertical="center"/>
      <protection locked="0"/>
    </xf>
    <xf numFmtId="0" fontId="18" fillId="10" borderId="1" xfId="5" applyFont="1" applyFill="1" applyBorder="1" applyAlignment="1" applyProtection="1">
      <alignment horizontal="left" vertical="center"/>
      <protection locked="0"/>
    </xf>
    <xf numFmtId="166" fontId="17" fillId="10" borderId="12" xfId="4" applyNumberFormat="1" applyFont="1" applyFill="1" applyBorder="1" applyAlignment="1" applyProtection="1">
      <alignment horizontal="right" vertical="center"/>
      <protection locked="0"/>
    </xf>
    <xf numFmtId="166" fontId="17" fillId="10" borderId="13" xfId="4" applyNumberFormat="1" applyFont="1" applyFill="1" applyBorder="1" applyAlignment="1" applyProtection="1">
      <alignment horizontal="right" vertical="center"/>
      <protection locked="0"/>
    </xf>
    <xf numFmtId="167" fontId="17" fillId="10" borderId="14" xfId="4" applyNumberFormat="1" applyFont="1" applyFill="1" applyBorder="1" applyAlignment="1" applyProtection="1">
      <alignment horizontal="right" vertical="center"/>
      <protection locked="0"/>
    </xf>
    <xf numFmtId="0" fontId="11" fillId="10" borderId="9" xfId="5" applyFont="1" applyFill="1" applyBorder="1" applyAlignment="1" applyProtection="1">
      <alignment horizontal="left" vertical="center" indent="1"/>
      <protection locked="0"/>
    </xf>
    <xf numFmtId="6" fontId="8" fillId="12" borderId="1" xfId="4" applyNumberFormat="1" applyFont="1" applyFill="1" applyBorder="1" applyAlignment="1" applyProtection="1">
      <alignment horizontal="left" vertical="center"/>
      <protection locked="0"/>
    </xf>
    <xf numFmtId="166" fontId="8" fillId="12" borderId="12" xfId="4" applyNumberFormat="1" applyFont="1" applyFill="1" applyBorder="1" applyAlignment="1" applyProtection="1">
      <alignment horizontal="right" vertical="center"/>
      <protection locked="0"/>
    </xf>
    <xf numFmtId="166" fontId="8" fillId="12" borderId="13" xfId="4" applyNumberFormat="1" applyFont="1" applyFill="1" applyBorder="1" applyAlignment="1" applyProtection="1">
      <alignment horizontal="right" vertical="center"/>
      <protection locked="0"/>
    </xf>
    <xf numFmtId="167" fontId="8" fillId="12" borderId="14" xfId="4" applyNumberFormat="1" applyFont="1" applyFill="1" applyBorder="1" applyAlignment="1" applyProtection="1">
      <alignment horizontal="right" vertical="center"/>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12" fillId="13" borderId="0" xfId="3" applyFont="1" applyFill="1" applyAlignment="1" applyProtection="1">
      <alignment horizontal="center" vertical="center"/>
      <protection locked="0"/>
    </xf>
    <xf numFmtId="0" fontId="19" fillId="11" borderId="9" xfId="7" applyFont="1" applyFill="1" applyBorder="1" applyAlignment="1" applyProtection="1">
      <alignment horizontal="left" vertical="center"/>
      <protection locked="0"/>
    </xf>
    <xf numFmtId="166" fontId="7" fillId="11" borderId="10" xfId="4" applyNumberFormat="1" applyFont="1" applyFill="1" applyBorder="1" applyAlignment="1" applyProtection="1">
      <alignment horizontal="right" vertical="center"/>
      <protection locked="0"/>
    </xf>
    <xf numFmtId="166" fontId="7" fillId="11" borderId="0" xfId="4" applyNumberFormat="1" applyFont="1" applyFill="1" applyBorder="1" applyAlignment="1" applyProtection="1">
      <alignment horizontal="right" vertical="center"/>
      <protection locked="0"/>
    </xf>
    <xf numFmtId="167" fontId="7" fillId="11" borderId="11" xfId="4" applyNumberFormat="1" applyFont="1" applyFill="1" applyBorder="1" applyAlignment="1" applyProtection="1">
      <alignment horizontal="right" vertical="center"/>
      <protection locked="0"/>
    </xf>
    <xf numFmtId="6" fontId="8" fillId="9" borderId="1" xfId="4" applyNumberFormat="1" applyFont="1" applyFill="1" applyBorder="1" applyAlignment="1" applyProtection="1">
      <alignment horizontal="left" vertical="center"/>
      <protection locked="0"/>
    </xf>
    <xf numFmtId="166" fontId="8" fillId="9" borderId="12" xfId="4" applyNumberFormat="1" applyFont="1" applyFill="1" applyBorder="1" applyAlignment="1" applyProtection="1">
      <alignment horizontal="right" vertical="center"/>
      <protection locked="0"/>
    </xf>
    <xf numFmtId="166" fontId="8" fillId="9" borderId="13" xfId="4" applyNumberFormat="1" applyFont="1" applyFill="1" applyBorder="1" applyAlignment="1" applyProtection="1">
      <alignment horizontal="right" vertical="center"/>
      <protection locked="0"/>
    </xf>
    <xf numFmtId="167" fontId="8" fillId="9" borderId="14" xfId="4" applyNumberFormat="1" applyFont="1" applyFill="1" applyBorder="1" applyAlignment="1" applyProtection="1">
      <alignment horizontal="right" vertical="center"/>
      <protection locked="0"/>
    </xf>
    <xf numFmtId="0" fontId="11" fillId="10" borderId="9" xfId="5" applyFont="1" applyFill="1" applyBorder="1" applyAlignment="1" applyProtection="1">
      <alignment vertical="center"/>
      <protection locked="0"/>
    </xf>
    <xf numFmtId="6" fontId="11" fillId="10" borderId="10" xfId="4" applyNumberFormat="1" applyFont="1" applyFill="1" applyBorder="1" applyAlignment="1" applyProtection="1">
      <alignment horizontal="right" vertical="center"/>
      <protection locked="0"/>
    </xf>
    <xf numFmtId="5" fontId="11" fillId="10" borderId="0" xfId="4" applyNumberFormat="1" applyFont="1" applyFill="1" applyBorder="1" applyAlignment="1" applyProtection="1">
      <alignment horizontal="right" vertical="center"/>
      <protection locked="0"/>
    </xf>
    <xf numFmtId="6" fontId="11" fillId="10" borderId="11" xfId="4" applyNumberFormat="1" applyFont="1" applyFill="1" applyBorder="1" applyAlignment="1" applyProtection="1">
      <alignment horizontal="right" vertical="center"/>
      <protection locked="0"/>
    </xf>
    <xf numFmtId="0" fontId="12" fillId="7" borderId="0" xfId="3" applyFont="1" applyFill="1" applyAlignment="1" applyProtection="1">
      <alignment horizontal="center" vertical="center"/>
      <protection locked="0"/>
    </xf>
    <xf numFmtId="0" fontId="7" fillId="0" borderId="0" xfId="0" applyFont="1" applyAlignment="1" applyProtection="1">
      <alignment vertical="center"/>
      <protection locked="0"/>
    </xf>
    <xf numFmtId="166" fontId="7" fillId="0" borderId="0" xfId="0" applyNumberFormat="1" applyFont="1" applyAlignment="1" applyProtection="1">
      <alignment vertical="center"/>
      <protection locked="0"/>
    </xf>
    <xf numFmtId="0" fontId="8" fillId="2" borderId="1" xfId="5" applyFont="1" applyFill="1" applyBorder="1" applyAlignment="1" applyProtection="1">
      <alignment vertical="center"/>
      <protection locked="0"/>
    </xf>
    <xf numFmtId="168" fontId="8" fillId="2" borderId="1" xfId="5" applyNumberFormat="1" applyFont="1" applyFill="1" applyBorder="1" applyAlignment="1" applyProtection="1">
      <alignment vertical="center"/>
      <protection locked="0"/>
    </xf>
    <xf numFmtId="0" fontId="8" fillId="8" borderId="0" xfId="0" applyFont="1" applyFill="1" applyAlignment="1">
      <alignment horizontal="center" vertical="center"/>
    </xf>
    <xf numFmtId="0" fontId="7" fillId="0" borderId="0" xfId="0" applyFont="1" applyAlignment="1">
      <alignment vertical="center"/>
    </xf>
    <xf numFmtId="0" fontId="20" fillId="8" borderId="9" xfId="7" applyFont="1" applyFill="1" applyBorder="1" applyAlignment="1" applyProtection="1">
      <alignment horizontal="left" vertical="center"/>
      <protection locked="0"/>
    </xf>
    <xf numFmtId="166" fontId="16" fillId="8" borderId="10" xfId="4" applyNumberFormat="1" applyFont="1" applyFill="1" applyBorder="1" applyAlignment="1" applyProtection="1">
      <alignment horizontal="right" vertical="center"/>
      <protection locked="0"/>
    </xf>
    <xf numFmtId="167" fontId="16" fillId="8" borderId="11" xfId="4" applyNumberFormat="1" applyFont="1" applyFill="1" applyBorder="1" applyAlignment="1" applyProtection="1">
      <alignment horizontal="right" vertical="center"/>
      <protection locked="0"/>
    </xf>
    <xf numFmtId="0" fontId="11" fillId="0" borderId="0" xfId="0" applyFont="1"/>
    <xf numFmtId="166" fontId="16" fillId="8" borderId="0" xfId="4" applyNumberFormat="1" applyFont="1" applyFill="1" applyBorder="1" applyAlignment="1" applyProtection="1">
      <alignment horizontal="right" vertical="center"/>
      <protection locked="0"/>
    </xf>
    <xf numFmtId="0" fontId="12" fillId="0" borderId="0" xfId="0" applyFont="1" applyAlignment="1">
      <alignment horizontal="center"/>
    </xf>
    <xf numFmtId="0" fontId="8" fillId="2" borderId="1" xfId="0" applyFont="1" applyFill="1" applyBorder="1" applyAlignment="1">
      <alignment horizontal="center" vertical="center"/>
    </xf>
    <xf numFmtId="0" fontId="12" fillId="0" borderId="1" xfId="0" applyNumberFormat="1" applyFont="1" applyFill="1" applyBorder="1" applyAlignment="1">
      <alignment horizontal="center" vertical="center"/>
    </xf>
    <xf numFmtId="9" fontId="12" fillId="0" borderId="1" xfId="0" applyNumberFormat="1" applyFont="1" applyFill="1" applyBorder="1" applyAlignment="1">
      <alignment horizontal="center" vertical="center"/>
    </xf>
    <xf numFmtId="0" fontId="13" fillId="11" borderId="1" xfId="0" applyFont="1" applyFill="1" applyBorder="1" applyAlignment="1">
      <alignment horizontal="center" vertical="center"/>
    </xf>
    <xf numFmtId="0" fontId="13" fillId="14" borderId="1" xfId="0" applyFont="1" applyFill="1" applyBorder="1" applyAlignment="1">
      <alignment horizontal="center" vertical="center"/>
    </xf>
    <xf numFmtId="0" fontId="9" fillId="10" borderId="9" xfId="4" applyFont="1" applyFill="1" applyBorder="1" applyAlignment="1" applyProtection="1">
      <alignment vertical="center"/>
      <protection locked="0"/>
    </xf>
    <xf numFmtId="0" fontId="9" fillId="10" borderId="0" xfId="4" applyFont="1" applyFill="1" applyBorder="1" applyAlignment="1" applyProtection="1">
      <alignment horizontal="center" vertical="center"/>
      <protection locked="0"/>
    </xf>
    <xf numFmtId="0" fontId="11" fillId="10" borderId="1" xfId="4" applyFont="1" applyFill="1" applyBorder="1" applyAlignment="1" applyProtection="1">
      <alignment vertical="center"/>
      <protection locked="0"/>
    </xf>
    <xf numFmtId="0" fontId="11" fillId="10" borderId="12" xfId="4" applyFont="1" applyFill="1" applyBorder="1" applyAlignment="1" applyProtection="1">
      <alignment vertical="center"/>
      <protection locked="0"/>
    </xf>
    <xf numFmtId="0" fontId="11" fillId="10" borderId="13" xfId="4" applyFont="1" applyFill="1" applyBorder="1" applyAlignment="1" applyProtection="1">
      <alignment vertical="center"/>
      <protection locked="0"/>
    </xf>
    <xf numFmtId="0" fontId="11" fillId="10" borderId="14" xfId="4" applyFont="1" applyFill="1" applyBorder="1" applyAlignment="1" applyProtection="1">
      <alignment vertical="center"/>
      <protection locked="0"/>
    </xf>
    <xf numFmtId="6" fontId="8" fillId="12" borderId="9" xfId="4" applyNumberFormat="1" applyFont="1" applyFill="1" applyBorder="1" applyAlignment="1" applyProtection="1">
      <alignment horizontal="left" vertical="center"/>
      <protection locked="0"/>
    </xf>
    <xf numFmtId="0" fontId="12" fillId="10" borderId="12" xfId="4" quotePrefix="1" applyFont="1" applyFill="1" applyBorder="1" applyAlignment="1">
      <alignment horizontal="right"/>
    </xf>
    <xf numFmtId="0" fontId="12" fillId="10" borderId="13" xfId="4" quotePrefix="1" applyFont="1" applyFill="1" applyBorder="1" applyAlignment="1">
      <alignment horizontal="right"/>
    </xf>
    <xf numFmtId="0" fontId="11" fillId="10" borderId="9" xfId="5" quotePrefix="1" applyFont="1" applyFill="1" applyBorder="1" applyAlignment="1" applyProtection="1">
      <alignment horizontal="left" indent="1"/>
      <protection locked="0"/>
    </xf>
    <xf numFmtId="0" fontId="11" fillId="10" borderId="9" xfId="7" quotePrefix="1" applyFont="1" applyFill="1" applyBorder="1" applyAlignment="1" applyProtection="1">
      <alignment horizontal="left" indent="1"/>
      <protection locked="0"/>
    </xf>
    <xf numFmtId="0" fontId="7" fillId="0" borderId="9" xfId="0" applyFont="1" applyBorder="1" applyAlignment="1" applyProtection="1">
      <alignment horizontal="left" indent="1"/>
      <protection locked="0"/>
    </xf>
    <xf numFmtId="0" fontId="20" fillId="8" borderId="9" xfId="7" applyFont="1" applyFill="1" applyBorder="1" applyAlignment="1" applyProtection="1">
      <alignment horizontal="left" indent="1"/>
      <protection locked="0"/>
    </xf>
    <xf numFmtId="0" fontId="19" fillId="11" borderId="9" xfId="7" applyFont="1" applyFill="1" applyBorder="1" applyAlignment="1" applyProtection="1">
      <alignment horizontal="left" indent="1"/>
      <protection locked="0"/>
    </xf>
    <xf numFmtId="6" fontId="8" fillId="9" borderId="1" xfId="4" applyNumberFormat="1" applyFont="1" applyFill="1" applyBorder="1" applyAlignment="1" applyProtection="1">
      <alignment horizontal="left" indent="1"/>
      <protection locked="0"/>
    </xf>
    <xf numFmtId="6" fontId="8" fillId="12" borderId="1" xfId="4" quotePrefix="1" applyNumberFormat="1" applyFont="1" applyFill="1" applyBorder="1" applyAlignment="1" applyProtection="1">
      <alignment horizontal="left"/>
      <protection locked="0"/>
    </xf>
    <xf numFmtId="0" fontId="8" fillId="12" borderId="4" xfId="4" quotePrefix="1" applyFont="1" applyFill="1" applyBorder="1" applyAlignment="1" applyProtection="1">
      <alignment horizontal="center" vertical="center"/>
      <protection locked="0"/>
    </xf>
    <xf numFmtId="0" fontId="8" fillId="12" borderId="7" xfId="4" quotePrefix="1" applyFont="1" applyFill="1" applyBorder="1" applyAlignment="1" applyProtection="1">
      <alignment horizontal="center" vertical="center"/>
      <protection locked="0"/>
    </xf>
    <xf numFmtId="0" fontId="8" fillId="12" borderId="3" xfId="4" quotePrefix="1" applyFont="1" applyFill="1" applyBorder="1" applyAlignment="1" applyProtection="1">
      <alignment vertical="center"/>
      <protection locked="0"/>
    </xf>
    <xf numFmtId="0" fontId="8" fillId="12" borderId="5" xfId="4" quotePrefix="1" applyFont="1" applyFill="1" applyBorder="1" applyAlignment="1" applyProtection="1">
      <alignment vertical="center"/>
      <protection locked="0"/>
    </xf>
    <xf numFmtId="0" fontId="8" fillId="12" borderId="6" xfId="4" quotePrefix="1" applyFont="1" applyFill="1" applyBorder="1" applyAlignment="1" applyProtection="1">
      <alignment vertical="center"/>
      <protection locked="0"/>
    </xf>
    <xf numFmtId="0" fontId="8" fillId="12" borderId="8" xfId="4" quotePrefix="1" applyFont="1" applyFill="1" applyBorder="1" applyAlignment="1" applyProtection="1">
      <alignment vertical="center"/>
      <protection locked="0"/>
    </xf>
    <xf numFmtId="1" fontId="12" fillId="10" borderId="10" xfId="4" applyNumberFormat="1" applyFont="1" applyFill="1" applyBorder="1" applyAlignment="1" applyProtection="1">
      <alignment vertical="center"/>
      <protection locked="0"/>
    </xf>
    <xf numFmtId="1" fontId="12" fillId="10" borderId="0" xfId="4" applyNumberFormat="1" applyFont="1" applyFill="1" applyBorder="1" applyAlignment="1" applyProtection="1">
      <alignment horizontal="center" vertical="center"/>
      <protection locked="0"/>
    </xf>
    <xf numFmtId="1" fontId="12" fillId="10" borderId="11" xfId="4" applyNumberFormat="1" applyFont="1" applyFill="1" applyBorder="1" applyAlignment="1" applyProtection="1">
      <alignment vertical="center"/>
      <protection locked="0"/>
    </xf>
    <xf numFmtId="0" fontId="12" fillId="10" borderId="12" xfId="4" applyFont="1" applyFill="1" applyBorder="1" applyAlignment="1" applyProtection="1">
      <alignment vertical="center"/>
      <protection locked="0"/>
    </xf>
    <xf numFmtId="0" fontId="12" fillId="10" borderId="13" xfId="4" applyFont="1" applyFill="1" applyBorder="1" applyAlignment="1" applyProtection="1">
      <alignment vertical="center"/>
      <protection locked="0"/>
    </xf>
    <xf numFmtId="0" fontId="12" fillId="10" borderId="14" xfId="4" applyFont="1" applyFill="1" applyBorder="1" applyAlignment="1" applyProtection="1">
      <alignment vertical="center"/>
      <protection locked="0"/>
    </xf>
    <xf numFmtId="0" fontId="7" fillId="0" borderId="0" xfId="0" applyNumberFormat="1" applyFont="1"/>
    <xf numFmtId="0" fontId="7" fillId="0" borderId="0" xfId="0" applyNumberFormat="1" applyFont="1" applyProtection="1">
      <protection locked="0"/>
    </xf>
    <xf numFmtId="0" fontId="11" fillId="0" borderId="0" xfId="0" applyNumberFormat="1" applyFont="1"/>
    <xf numFmtId="0" fontId="17" fillId="0" borderId="0" xfId="0" applyNumberFormat="1" applyFont="1" applyAlignment="1" applyProtection="1">
      <alignment horizontal="left"/>
      <protection locked="0"/>
    </xf>
    <xf numFmtId="0" fontId="17" fillId="0" borderId="0" xfId="0" applyNumberFormat="1" applyFont="1" applyAlignment="1">
      <alignment horizontal="left"/>
    </xf>
    <xf numFmtId="0" fontId="17" fillId="0" borderId="0" xfId="2" applyNumberFormat="1" applyFont="1" applyAlignment="1" applyProtection="1">
      <alignment horizontal="left"/>
      <protection locked="0"/>
    </xf>
    <xf numFmtId="0" fontId="21" fillId="0" borderId="0" xfId="0" applyNumberFormat="1" applyFont="1" applyAlignment="1">
      <alignment horizontal="left"/>
    </xf>
    <xf numFmtId="0" fontId="17" fillId="0" borderId="0" xfId="0" applyNumberFormat="1" applyFont="1" applyAlignment="1">
      <alignment horizontal="left" vertical="center"/>
    </xf>
    <xf numFmtId="0" fontId="18" fillId="0" borderId="0" xfId="0" applyNumberFormat="1" applyFont="1" applyAlignment="1">
      <alignment horizontal="left"/>
    </xf>
    <xf numFmtId="0" fontId="22" fillId="0" borderId="0" xfId="0" applyNumberFormat="1" applyFont="1" applyAlignment="1" applyProtection="1">
      <alignment horizontal="left"/>
      <protection locked="0"/>
    </xf>
    <xf numFmtId="0" fontId="22" fillId="0" borderId="0" xfId="2" applyNumberFormat="1" applyFont="1" applyAlignment="1" applyProtection="1">
      <alignment horizontal="left"/>
      <protection locked="0"/>
    </xf>
    <xf numFmtId="0" fontId="22" fillId="0" borderId="0" xfId="0" applyNumberFormat="1" applyFont="1" applyAlignment="1">
      <alignment horizontal="left" vertical="center"/>
    </xf>
    <xf numFmtId="0" fontId="22" fillId="0" borderId="0" xfId="0" applyNumberFormat="1" applyFont="1" applyAlignment="1">
      <alignment horizontal="left"/>
    </xf>
    <xf numFmtId="0" fontId="8" fillId="2" borderId="1" xfId="0" applyFont="1" applyFill="1" applyBorder="1" applyAlignment="1">
      <alignment horizontal="center" vertical="center"/>
    </xf>
    <xf numFmtId="0" fontId="8" fillId="12" borderId="4" xfId="4" quotePrefix="1" applyFont="1" applyFill="1" applyBorder="1" applyAlignment="1" applyProtection="1">
      <alignment horizontal="center" vertical="center"/>
      <protection locked="0"/>
    </xf>
    <xf numFmtId="0" fontId="23" fillId="0" borderId="0" xfId="0" applyFont="1"/>
    <xf numFmtId="167" fontId="7" fillId="10" borderId="11" xfId="4" applyNumberFormat="1" applyFont="1" applyFill="1" applyBorder="1" applyAlignment="1" applyProtection="1">
      <alignment horizontal="right" vertical="center"/>
      <protection locked="0"/>
    </xf>
    <xf numFmtId="166" fontId="7" fillId="10" borderId="10" xfId="4" applyNumberFormat="1" applyFont="1" applyFill="1" applyBorder="1" applyAlignment="1" applyProtection="1">
      <alignment horizontal="right" vertical="center"/>
      <protection locked="0"/>
    </xf>
    <xf numFmtId="167" fontId="7" fillId="11" borderId="11" xfId="4" applyNumberFormat="1" applyFont="1" applyFill="1" applyBorder="1" applyAlignment="1" applyProtection="1">
      <alignment horizontal="right" vertical="center"/>
      <protection locked="0"/>
    </xf>
    <xf numFmtId="166" fontId="7" fillId="11" borderId="10" xfId="4" applyNumberFormat="1" applyFont="1" applyFill="1" applyBorder="1" applyAlignment="1" applyProtection="1">
      <alignment horizontal="right" vertical="center"/>
      <protection locked="0"/>
    </xf>
    <xf numFmtId="0" fontId="11" fillId="10" borderId="9" xfId="5" quotePrefix="1" applyFont="1" applyFill="1" applyBorder="1" applyAlignment="1" applyProtection="1">
      <alignment horizontal="left" indent="1"/>
      <protection locked="0"/>
    </xf>
    <xf numFmtId="166" fontId="7" fillId="10" borderId="0" xfId="4" applyNumberFormat="1" applyFont="1" applyFill="1" applyBorder="1" applyAlignment="1" applyProtection="1">
      <alignment horizontal="right" vertical="center"/>
      <protection locked="0"/>
    </xf>
    <xf numFmtId="0" fontId="12" fillId="10" borderId="13" xfId="4" quotePrefix="1" applyFont="1" applyFill="1" applyBorder="1" applyAlignment="1">
      <alignment horizontal="right"/>
    </xf>
    <xf numFmtId="0" fontId="8" fillId="12" borderId="7" xfId="4" quotePrefix="1" applyFont="1" applyFill="1" applyBorder="1" applyAlignment="1" applyProtection="1">
      <alignment horizontal="center" vertical="center"/>
      <protection locked="0"/>
    </xf>
    <xf numFmtId="0" fontId="8" fillId="4" borderId="12" xfId="0" applyFont="1" applyFill="1" applyBorder="1" applyAlignment="1">
      <alignment horizontal="center" vertical="center"/>
    </xf>
    <xf numFmtId="0" fontId="7" fillId="0" borderId="0" xfId="0" applyFont="1" applyFill="1" applyBorder="1"/>
    <xf numFmtId="0" fontId="8" fillId="0" borderId="0" xfId="0" applyFont="1" applyFill="1" applyBorder="1" applyAlignment="1">
      <alignment horizontal="center" vertical="center"/>
    </xf>
    <xf numFmtId="0" fontId="12" fillId="0" borderId="0" xfId="0" applyNumberFormat="1" applyFont="1" applyFill="1" applyBorder="1" applyAlignment="1">
      <alignment horizontal="center" vertical="center"/>
    </xf>
    <xf numFmtId="0" fontId="7" fillId="15" borderId="3" xfId="0" applyFont="1" applyFill="1" applyBorder="1" applyAlignment="1" applyProtection="1">
      <alignment horizontal="right"/>
      <protection locked="0"/>
    </xf>
    <xf numFmtId="0" fontId="7" fillId="15" borderId="4" xfId="0" applyFont="1" applyFill="1" applyBorder="1" applyAlignment="1" applyProtection="1">
      <alignment horizontal="right"/>
      <protection locked="0"/>
    </xf>
    <xf numFmtId="0" fontId="7" fillId="15" borderId="4" xfId="0" applyFont="1" applyFill="1" applyBorder="1"/>
    <xf numFmtId="166" fontId="7" fillId="15" borderId="4" xfId="0" applyNumberFormat="1" applyFont="1" applyFill="1" applyBorder="1"/>
    <xf numFmtId="0" fontId="7" fillId="15" borderId="4" xfId="0" applyFont="1" applyFill="1" applyBorder="1" applyAlignment="1" applyProtection="1">
      <alignment vertical="center"/>
      <protection locked="0"/>
    </xf>
    <xf numFmtId="0" fontId="7" fillId="15" borderId="4" xfId="0" applyFont="1" applyFill="1" applyBorder="1" applyProtection="1">
      <protection locked="0"/>
    </xf>
    <xf numFmtId="166" fontId="7" fillId="15" borderId="4" xfId="18" applyNumberFormat="1" applyFont="1" applyFill="1" applyBorder="1" applyProtection="1">
      <protection locked="0"/>
    </xf>
    <xf numFmtId="166" fontId="7" fillId="15" borderId="5" xfId="0" applyNumberFormat="1" applyFont="1" applyFill="1" applyBorder="1" applyProtection="1">
      <protection locked="0"/>
    </xf>
    <xf numFmtId="0" fontId="7" fillId="0" borderId="10" xfId="0" applyFont="1" applyBorder="1" applyAlignment="1" applyProtection="1">
      <alignment horizontal="right"/>
      <protection locked="0"/>
    </xf>
    <xf numFmtId="0" fontId="7" fillId="0" borderId="0" xfId="0" applyFont="1" applyBorder="1" applyAlignment="1" applyProtection="1">
      <alignment horizontal="right"/>
      <protection locked="0"/>
    </xf>
    <xf numFmtId="0" fontId="7" fillId="0" borderId="0" xfId="0" applyFont="1" applyBorder="1"/>
    <xf numFmtId="166" fontId="7" fillId="0" borderId="0" xfId="0" applyNumberFormat="1" applyFont="1" applyBorder="1"/>
    <xf numFmtId="39" fontId="7" fillId="0" borderId="0" xfId="0" applyNumberFormat="1" applyFont="1" applyBorder="1" applyAlignment="1" applyProtection="1">
      <alignment vertical="center"/>
      <protection locked="0"/>
    </xf>
    <xf numFmtId="166" fontId="7" fillId="0" borderId="0" xfId="0" applyNumberFormat="1" applyFont="1" applyBorder="1" applyProtection="1">
      <protection locked="0"/>
    </xf>
    <xf numFmtId="0" fontId="7" fillId="0" borderId="0" xfId="0" applyFont="1" applyBorder="1" applyAlignment="1" applyProtection="1">
      <alignment vertical="center"/>
      <protection locked="0"/>
    </xf>
    <xf numFmtId="166" fontId="7" fillId="0" borderId="11" xfId="0" applyNumberFormat="1" applyFont="1" applyBorder="1" applyProtection="1">
      <protection locked="0"/>
    </xf>
    <xf numFmtId="0" fontId="7" fillId="15" borderId="10" xfId="0" applyFont="1" applyFill="1" applyBorder="1" applyAlignment="1" applyProtection="1">
      <alignment horizontal="right"/>
      <protection locked="0"/>
    </xf>
    <xf numFmtId="0" fontId="7" fillId="15" borderId="0" xfId="0" applyFont="1" applyFill="1" applyBorder="1" applyAlignment="1" applyProtection="1">
      <alignment horizontal="right"/>
      <protection locked="0"/>
    </xf>
    <xf numFmtId="0" fontId="7" fillId="15" borderId="0" xfId="0" applyFont="1" applyFill="1" applyBorder="1"/>
    <xf numFmtId="166" fontId="7" fillId="15" borderId="0" xfId="0" applyNumberFormat="1" applyFont="1" applyFill="1" applyBorder="1"/>
    <xf numFmtId="0" fontId="7" fillId="15" borderId="0" xfId="0" applyFont="1" applyFill="1" applyBorder="1" applyAlignment="1" applyProtection="1">
      <alignment vertical="center"/>
      <protection locked="0"/>
    </xf>
    <xf numFmtId="0" fontId="7" fillId="15" borderId="0" xfId="0" applyFont="1" applyFill="1" applyBorder="1" applyProtection="1">
      <protection locked="0"/>
    </xf>
    <xf numFmtId="166" fontId="7" fillId="15" borderId="0" xfId="0" applyNumberFormat="1" applyFont="1" applyFill="1" applyBorder="1" applyProtection="1">
      <protection locked="0"/>
    </xf>
    <xf numFmtId="166" fontId="7" fillId="15" borderId="11" xfId="0" applyNumberFormat="1" applyFont="1" applyFill="1" applyBorder="1" applyProtection="1">
      <protection locked="0"/>
    </xf>
    <xf numFmtId="0" fontId="7" fillId="0" borderId="6" xfId="0" applyFont="1" applyBorder="1" applyAlignment="1" applyProtection="1">
      <alignment vertical="center"/>
      <protection locked="0"/>
    </xf>
    <xf numFmtId="0" fontId="7" fillId="0" borderId="7" xfId="0" applyFont="1" applyBorder="1" applyProtection="1">
      <protection locked="0"/>
    </xf>
    <xf numFmtId="0" fontId="7" fillId="0" borderId="7" xfId="0" applyFont="1" applyBorder="1" applyAlignment="1" applyProtection="1">
      <alignment horizontal="right"/>
      <protection locked="0"/>
    </xf>
    <xf numFmtId="166" fontId="7" fillId="0" borderId="7" xfId="0" applyNumberFormat="1" applyFont="1" applyBorder="1" applyProtection="1">
      <protection locked="0"/>
    </xf>
    <xf numFmtId="0" fontId="7" fillId="0" borderId="7" xfId="0" applyFont="1" applyBorder="1" applyAlignment="1" applyProtection="1">
      <alignment vertical="center"/>
      <protection locked="0"/>
    </xf>
    <xf numFmtId="166" fontId="7" fillId="0" borderId="8" xfId="0" applyNumberFormat="1" applyFont="1" applyBorder="1" applyProtection="1">
      <protection locked="0"/>
    </xf>
    <xf numFmtId="14" fontId="0" fillId="0" borderId="7" xfId="0" applyNumberFormat="1" applyBorder="1"/>
    <xf numFmtId="1" fontId="24" fillId="0" borderId="0" xfId="0" applyNumberFormat="1" applyFont="1"/>
    <xf numFmtId="165" fontId="0" fillId="0" borderId="0" xfId="0" applyNumberFormat="1"/>
    <xf numFmtId="0" fontId="7" fillId="0" borderId="4" xfId="0" applyFont="1" applyFill="1" applyBorder="1" applyAlignment="1" applyProtection="1">
      <alignment horizontal="right"/>
      <protection locked="0"/>
    </xf>
    <xf numFmtId="0" fontId="7" fillId="0" borderId="0" xfId="0" applyFont="1" applyFill="1" applyBorder="1" applyAlignment="1" applyProtection="1">
      <alignment horizontal="right"/>
      <protection locked="0"/>
    </xf>
    <xf numFmtId="0" fontId="7" fillId="0" borderId="7" xfId="0" applyFont="1" applyFill="1" applyBorder="1" applyProtection="1">
      <protection locked="0"/>
    </xf>
    <xf numFmtId="0" fontId="7" fillId="0" borderId="0" xfId="0" applyFont="1" applyFill="1" applyBorder="1" applyProtection="1">
      <protection locked="0"/>
    </xf>
    <xf numFmtId="49" fontId="25" fillId="13" borderId="0" xfId="12" applyNumberFormat="1" applyFont="1" applyFill="1" applyAlignment="1">
      <alignment horizontal="center"/>
    </xf>
    <xf numFmtId="49" fontId="25" fillId="0" borderId="0" xfId="12" applyNumberFormat="1" applyFont="1" applyAlignment="1">
      <alignment horizontal="center"/>
    </xf>
    <xf numFmtId="169" fontId="25" fillId="0" borderId="0" xfId="12" applyNumberFormat="1" applyFont="1" applyBorder="1" applyAlignment="1">
      <alignment horizontal="center"/>
    </xf>
    <xf numFmtId="49" fontId="25" fillId="0" borderId="0" xfId="12" applyNumberFormat="1" applyFont="1" applyBorder="1" applyAlignment="1">
      <alignment horizontal="center"/>
    </xf>
    <xf numFmtId="0" fontId="25" fillId="0" borderId="0" xfId="12" applyNumberFormat="1" applyFont="1"/>
    <xf numFmtId="0" fontId="25" fillId="0" borderId="0" xfId="12" applyNumberFormat="1" applyFont="1" applyAlignment="1">
      <alignment horizontal="center"/>
    </xf>
    <xf numFmtId="49" fontId="25" fillId="13" borderId="0" xfId="12" applyNumberFormat="1" applyFont="1" applyFill="1"/>
    <xf numFmtId="49" fontId="25" fillId="0" borderId="0" xfId="12" applyNumberFormat="1" applyFont="1"/>
    <xf numFmtId="169" fontId="26" fillId="0" borderId="0" xfId="12" applyNumberFormat="1" applyFont="1" applyBorder="1"/>
    <xf numFmtId="39" fontId="26" fillId="0" borderId="0" xfId="12" applyNumberFormat="1" applyFont="1" applyBorder="1"/>
    <xf numFmtId="49" fontId="26" fillId="0" borderId="0" xfId="0" applyNumberFormat="1" applyFont="1"/>
    <xf numFmtId="169" fontId="26" fillId="0" borderId="0" xfId="0" applyNumberFormat="1" applyFont="1" applyAlignment="1">
      <alignment horizontal="center"/>
    </xf>
    <xf numFmtId="0" fontId="25" fillId="5" borderId="0" xfId="12" applyNumberFormat="1" applyFont="1" applyFill="1"/>
    <xf numFmtId="0" fontId="25" fillId="5" borderId="0" xfId="12" applyNumberFormat="1" applyFont="1" applyFill="1" applyAlignment="1">
      <alignment horizontal="center"/>
    </xf>
    <xf numFmtId="39" fontId="25" fillId="0" borderId="0" xfId="12" applyNumberFormat="1" applyFont="1" applyBorder="1"/>
    <xf numFmtId="0" fontId="25" fillId="2" borderId="0" xfId="12" applyNumberFormat="1" applyFont="1" applyFill="1" applyAlignment="1">
      <alignment horizontal="center"/>
    </xf>
    <xf numFmtId="0" fontId="25" fillId="2" borderId="0" xfId="12" applyNumberFormat="1" applyFont="1" applyFill="1"/>
    <xf numFmtId="0" fontId="27" fillId="2" borderId="0" xfId="4" quotePrefix="1" applyNumberFormat="1" applyFont="1" applyFill="1" applyAlignment="1">
      <alignment horizontal="center"/>
    </xf>
    <xf numFmtId="0" fontId="28" fillId="0" borderId="0" xfId="12" applyFont="1"/>
    <xf numFmtId="0" fontId="28" fillId="13" borderId="0" xfId="12" applyFont="1" applyFill="1"/>
    <xf numFmtId="169" fontId="28" fillId="0" borderId="0" xfId="0" applyNumberFormat="1" applyFont="1" applyAlignment="1">
      <alignment horizontal="center"/>
    </xf>
    <xf numFmtId="0" fontId="28" fillId="0" borderId="0" xfId="12" applyNumberFormat="1" applyFont="1" applyBorder="1"/>
    <xf numFmtId="169" fontId="28" fillId="0" borderId="0" xfId="12" applyNumberFormat="1" applyFont="1" applyBorder="1"/>
    <xf numFmtId="0" fontId="28" fillId="0" borderId="0" xfId="12" applyFont="1" applyBorder="1"/>
    <xf numFmtId="0" fontId="28" fillId="0" borderId="0" xfId="0" applyFont="1"/>
    <xf numFmtId="169" fontId="28" fillId="0" borderId="0" xfId="0" applyNumberFormat="1" applyFont="1"/>
    <xf numFmtId="0" fontId="28" fillId="0" borderId="0" xfId="12" applyNumberFormat="1" applyFont="1"/>
    <xf numFmtId="0" fontId="28" fillId="2" borderId="0" xfId="12" applyNumberFormat="1" applyFont="1" applyFill="1"/>
    <xf numFmtId="0" fontId="28" fillId="2" borderId="0" xfId="12" applyFont="1" applyFill="1"/>
    <xf numFmtId="169" fontId="28" fillId="2" borderId="0" xfId="12" applyNumberFormat="1" applyFont="1" applyFill="1" applyBorder="1"/>
    <xf numFmtId="169" fontId="28" fillId="0" borderId="0" xfId="12" applyNumberFormat="1" applyFont="1"/>
    <xf numFmtId="0" fontId="28" fillId="2" borderId="0" xfId="12" applyFont="1" applyFill="1" applyBorder="1"/>
    <xf numFmtId="169" fontId="28" fillId="0" borderId="0" xfId="0" applyNumberFormat="1" applyFont="1" applyFill="1" applyAlignment="1">
      <alignment horizontal="center"/>
    </xf>
    <xf numFmtId="166" fontId="28" fillId="0" borderId="0" xfId="12" applyNumberFormat="1" applyFont="1" applyBorder="1"/>
    <xf numFmtId="0" fontId="28" fillId="0" borderId="0" xfId="12" applyNumberFormat="1" applyFont="1" applyAlignment="1">
      <alignment horizontal="center"/>
    </xf>
    <xf numFmtId="166" fontId="7" fillId="10" borderId="6" xfId="4" applyNumberFormat="1" applyFont="1" applyFill="1" applyBorder="1" applyAlignment="1" applyProtection="1">
      <alignment horizontal="right" vertical="center"/>
      <protection locked="0"/>
    </xf>
    <xf numFmtId="0" fontId="0" fillId="0" borderId="15" xfId="0" applyBorder="1"/>
    <xf numFmtId="0" fontId="0" fillId="0" borderId="17" xfId="0" applyBorder="1"/>
    <xf numFmtId="0" fontId="0" fillId="0" borderId="18" xfId="0" applyBorder="1"/>
    <xf numFmtId="0" fontId="0" fillId="0" borderId="0" xfId="0" applyBorder="1"/>
    <xf numFmtId="0" fontId="0" fillId="0" borderId="20" xfId="0" applyBorder="1"/>
    <xf numFmtId="165" fontId="0" fillId="0" borderId="16" xfId="0" applyNumberFormat="1" applyBorder="1"/>
    <xf numFmtId="165" fontId="0" fillId="0" borderId="21" xfId="0" applyNumberFormat="1" applyBorder="1"/>
    <xf numFmtId="165" fontId="7" fillId="0" borderId="10" xfId="4" applyNumberFormat="1" applyFont="1" applyFill="1" applyBorder="1" applyAlignment="1" applyProtection="1">
      <alignment horizontal="right" vertical="center"/>
      <protection locked="0"/>
    </xf>
    <xf numFmtId="166" fontId="7" fillId="0" borderId="0" xfId="4" applyNumberFormat="1" applyFont="1" applyFill="1" applyBorder="1" applyAlignment="1" applyProtection="1">
      <alignment horizontal="right" vertical="center"/>
      <protection locked="0"/>
    </xf>
    <xf numFmtId="167" fontId="7" fillId="0" borderId="11" xfId="4" applyNumberFormat="1" applyFont="1" applyFill="1" applyBorder="1" applyAlignment="1" applyProtection="1">
      <alignment horizontal="right" vertical="center"/>
      <protection locked="0"/>
    </xf>
    <xf numFmtId="0" fontId="22" fillId="0" borderId="0" xfId="2" quotePrefix="1" applyNumberFormat="1" applyFont="1" applyAlignment="1" applyProtection="1">
      <alignment horizontal="left"/>
      <protection locked="0"/>
    </xf>
    <xf numFmtId="169" fontId="7" fillId="0" borderId="0" xfId="0" applyNumberFormat="1" applyFont="1" applyAlignment="1" applyProtection="1">
      <alignment vertical="center"/>
      <protection locked="0"/>
    </xf>
    <xf numFmtId="0" fontId="0" fillId="0" borderId="10" xfId="0" applyBorder="1"/>
    <xf numFmtId="49" fontId="24" fillId="0" borderId="0" xfId="0" applyNumberFormat="1" applyFont="1" applyBorder="1"/>
    <xf numFmtId="49" fontId="24" fillId="0" borderId="0" xfId="0" applyNumberFormat="1" applyFont="1" applyBorder="1" applyAlignment="1">
      <alignment horizontal="center"/>
    </xf>
    <xf numFmtId="170" fontId="24" fillId="0" borderId="0" xfId="0" applyNumberFormat="1" applyFont="1" applyBorder="1"/>
    <xf numFmtId="49" fontId="24" fillId="0" borderId="0" xfId="0" quotePrefix="1" applyNumberFormat="1" applyFont="1" applyBorder="1" applyAlignment="1">
      <alignment horizontal="center"/>
    </xf>
    <xf numFmtId="171" fontId="24" fillId="0" borderId="0" xfId="0" applyNumberFormat="1" applyFont="1" applyBorder="1"/>
    <xf numFmtId="0" fontId="29" fillId="0" borderId="0" xfId="0" applyFont="1" applyBorder="1" applyAlignment="1">
      <alignment horizontal="center"/>
    </xf>
    <xf numFmtId="0" fontId="29" fillId="0" borderId="0" xfId="0" applyFont="1" applyBorder="1"/>
    <xf numFmtId="169" fontId="24" fillId="0" borderId="0" xfId="0" applyNumberFormat="1" applyFont="1" applyBorder="1"/>
    <xf numFmtId="169" fontId="24" fillId="0" borderId="0" xfId="0" applyNumberFormat="1" applyFont="1" applyBorder="1" applyAlignment="1">
      <alignment horizontal="right"/>
    </xf>
    <xf numFmtId="49" fontId="24" fillId="0" borderId="0" xfId="20" applyNumberFormat="1" applyFont="1"/>
    <xf numFmtId="0" fontId="29" fillId="0" borderId="0" xfId="20" applyFont="1" applyAlignment="1"/>
    <xf numFmtId="0" fontId="29" fillId="0" borderId="0" xfId="20" applyFont="1"/>
    <xf numFmtId="49" fontId="24" fillId="0" borderId="0" xfId="20" applyNumberFormat="1" applyFont="1" applyAlignment="1"/>
    <xf numFmtId="0" fontId="24" fillId="0" borderId="0" xfId="20" applyFont="1"/>
    <xf numFmtId="1" fontId="24" fillId="0" borderId="0" xfId="20" applyNumberFormat="1" applyFont="1"/>
    <xf numFmtId="49" fontId="24" fillId="0" borderId="0" xfId="20" applyNumberFormat="1" applyFont="1" applyAlignment="1">
      <alignment horizontal="center"/>
    </xf>
    <xf numFmtId="170" fontId="24" fillId="0" borderId="0" xfId="20" applyNumberFormat="1" applyFont="1"/>
    <xf numFmtId="49" fontId="24" fillId="0" borderId="0" xfId="20" quotePrefix="1" applyNumberFormat="1" applyFont="1" applyAlignment="1">
      <alignment horizontal="center"/>
    </xf>
    <xf numFmtId="171" fontId="24" fillId="0" borderId="0" xfId="20" applyNumberFormat="1" applyFont="1"/>
    <xf numFmtId="0" fontId="29" fillId="0" borderId="0" xfId="20" applyFont="1" applyAlignment="1">
      <alignment horizontal="center"/>
    </xf>
    <xf numFmtId="170" fontId="30" fillId="0" borderId="0" xfId="20" applyNumberFormat="1" applyFont="1"/>
    <xf numFmtId="171" fontId="30" fillId="0" borderId="0" xfId="20" applyNumberFormat="1" applyFont="1"/>
    <xf numFmtId="1" fontId="24" fillId="0" borderId="0" xfId="0" applyNumberFormat="1" applyFont="1" applyBorder="1"/>
    <xf numFmtId="49" fontId="24" fillId="0" borderId="10" xfId="20" applyNumberFormat="1" applyFont="1" applyBorder="1"/>
    <xf numFmtId="1" fontId="24" fillId="0" borderId="10" xfId="20" applyNumberFormat="1" applyFont="1" applyBorder="1"/>
    <xf numFmtId="49" fontId="24" fillId="0" borderId="10" xfId="20" applyNumberFormat="1" applyFont="1" applyBorder="1" applyAlignment="1">
      <alignment horizontal="right"/>
    </xf>
    <xf numFmtId="0" fontId="29" fillId="0" borderId="10" xfId="20" applyFont="1" applyBorder="1" applyAlignment="1"/>
    <xf numFmtId="49" fontId="24" fillId="0" borderId="10" xfId="20" applyNumberFormat="1" applyFont="1" applyBorder="1" applyAlignment="1"/>
    <xf numFmtId="1" fontId="24" fillId="0" borderId="10" xfId="20" applyNumberFormat="1" applyFont="1" applyBorder="1" applyAlignment="1"/>
    <xf numFmtId="3" fontId="24" fillId="0" borderId="10" xfId="20" applyNumberFormat="1" applyFont="1" applyBorder="1" applyAlignment="1"/>
    <xf numFmtId="1" fontId="24" fillId="0" borderId="10" xfId="20" applyNumberFormat="1" applyFont="1" applyBorder="1" applyAlignment="1">
      <alignment horizontal="right"/>
    </xf>
    <xf numFmtId="0" fontId="24" fillId="0" borderId="10" xfId="20" applyFont="1" applyBorder="1" applyAlignment="1">
      <alignment horizontal="right"/>
    </xf>
    <xf numFmtId="165" fontId="0" fillId="0" borderId="18" xfId="0" applyNumberFormat="1" applyBorder="1"/>
    <xf numFmtId="1" fontId="31" fillId="0" borderId="0" xfId="0" applyNumberFormat="1" applyFont="1" applyAlignment="1">
      <alignment horizontal="center"/>
    </xf>
    <xf numFmtId="165" fontId="0" fillId="0" borderId="0" xfId="0" applyNumberFormat="1" applyAlignment="1">
      <alignment horizontal="center"/>
    </xf>
    <xf numFmtId="0" fontId="31" fillId="0" borderId="0" xfId="0" applyNumberFormat="1" applyFont="1" applyAlignment="1">
      <alignment horizontal="center"/>
    </xf>
    <xf numFmtId="2" fontId="31" fillId="0" borderId="0" xfId="0" applyNumberFormat="1" applyFont="1" applyAlignment="1">
      <alignment horizontal="center"/>
    </xf>
    <xf numFmtId="172" fontId="17" fillId="0" borderId="0" xfId="2" applyNumberFormat="1" applyFont="1" applyAlignment="1" applyProtection="1">
      <alignment horizontal="left"/>
      <protection locked="0"/>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12" borderId="4" xfId="4" quotePrefix="1" applyFont="1" applyFill="1" applyBorder="1" applyAlignment="1" applyProtection="1">
      <alignment horizontal="center" vertical="center"/>
      <protection locked="0"/>
    </xf>
    <xf numFmtId="166" fontId="12" fillId="0" borderId="1" xfId="0" applyNumberFormat="1" applyFont="1" applyFill="1" applyBorder="1" applyAlignment="1">
      <alignment horizontal="center" vertical="center"/>
    </xf>
    <xf numFmtId="0" fontId="15" fillId="0" borderId="23" xfId="4" applyBorder="1"/>
    <xf numFmtId="0" fontId="15" fillId="0" borderId="0" xfId="4" applyBorder="1" applyAlignment="1">
      <alignment horizontal="center"/>
    </xf>
    <xf numFmtId="0" fontId="15" fillId="0" borderId="24" xfId="4" applyBorder="1"/>
    <xf numFmtId="0" fontId="33" fillId="0" borderId="23" xfId="4" applyFont="1" applyBorder="1"/>
    <xf numFmtId="166" fontId="33" fillId="0" borderId="0" xfId="4" applyNumberFormat="1" applyFont="1" applyBorder="1" applyAlignment="1">
      <alignment horizontal="center"/>
    </xf>
    <xf numFmtId="0" fontId="33" fillId="0" borderId="24" xfId="4" applyFont="1" applyBorder="1"/>
    <xf numFmtId="0" fontId="33" fillId="0" borderId="0" xfId="4" applyFont="1" applyBorder="1"/>
    <xf numFmtId="10" fontId="33" fillId="0" borderId="24" xfId="2" applyNumberFormat="1" applyFont="1" applyBorder="1"/>
    <xf numFmtId="0" fontId="33" fillId="0" borderId="17" xfId="4" applyFont="1" applyBorder="1"/>
    <xf numFmtId="166" fontId="33" fillId="0" borderId="19" xfId="4" applyNumberFormat="1" applyFont="1" applyBorder="1" applyAlignment="1">
      <alignment horizontal="center"/>
    </xf>
    <xf numFmtId="10" fontId="33" fillId="0" borderId="18" xfId="2" applyNumberFormat="1" applyFont="1" applyBorder="1"/>
    <xf numFmtId="0" fontId="36" fillId="10" borderId="0" xfId="21" applyFont="1" applyFill="1">
      <alignment vertical="top"/>
    </xf>
    <xf numFmtId="0" fontId="0" fillId="10" borderId="0" xfId="0" applyFill="1"/>
    <xf numFmtId="0" fontId="37" fillId="10" borderId="0" xfId="22" applyFont="1" applyFill="1"/>
    <xf numFmtId="0" fontId="37" fillId="12" borderId="12" xfId="22" applyFont="1" applyFill="1" applyBorder="1"/>
    <xf numFmtId="0" fontId="37" fillId="12" borderId="13" xfId="22" applyFont="1" applyFill="1" applyBorder="1"/>
    <xf numFmtId="0" fontId="37" fillId="12" borderId="13" xfId="22" applyFont="1" applyFill="1" applyBorder="1" applyAlignment="1">
      <alignment horizontal="right"/>
    </xf>
    <xf numFmtId="0" fontId="37" fillId="10" borderId="0" xfId="22" applyFont="1" applyFill="1" applyBorder="1"/>
    <xf numFmtId="0" fontId="37" fillId="10" borderId="0" xfId="22" applyFont="1" applyFill="1" applyBorder="1" applyAlignment="1">
      <alignment horizontal="right"/>
    </xf>
    <xf numFmtId="0" fontId="37" fillId="10" borderId="0" xfId="22" applyFont="1" applyFill="1" applyBorder="1" applyAlignment="1">
      <alignment horizontal="center"/>
    </xf>
    <xf numFmtId="0" fontId="37" fillId="10" borderId="11" xfId="22" applyFont="1" applyFill="1" applyBorder="1" applyAlignment="1">
      <alignment horizontal="center"/>
    </xf>
    <xf numFmtId="0" fontId="38" fillId="10" borderId="10" xfId="22" applyFont="1" applyFill="1" applyBorder="1" applyAlignment="1"/>
    <xf numFmtId="10" fontId="40" fillId="10" borderId="0" xfId="22" applyNumberFormat="1" applyFont="1" applyFill="1" applyBorder="1" applyAlignment="1">
      <alignment horizontal="right"/>
    </xf>
    <xf numFmtId="10" fontId="40" fillId="10" borderId="0" xfId="22" applyNumberFormat="1" applyFont="1" applyFill="1" applyBorder="1" applyAlignment="1">
      <alignment horizontal="center"/>
    </xf>
    <xf numFmtId="166" fontId="40" fillId="10" borderId="0" xfId="22" applyNumberFormat="1" applyFont="1" applyFill="1" applyBorder="1" applyAlignment="1">
      <alignment horizontal="right"/>
    </xf>
    <xf numFmtId="0" fontId="40" fillId="10" borderId="0" xfId="22" applyFont="1" applyFill="1" applyBorder="1" applyAlignment="1">
      <alignment horizontal="center"/>
    </xf>
    <xf numFmtId="0" fontId="36" fillId="10" borderId="10" xfId="21" applyFont="1" applyFill="1" applyBorder="1" applyAlignment="1">
      <alignment horizontal="left" vertical="top" indent="1"/>
    </xf>
    <xf numFmtId="0" fontId="36" fillId="10" borderId="0" xfId="21" applyFont="1" applyFill="1" applyBorder="1">
      <alignment vertical="top"/>
    </xf>
    <xf numFmtId="166" fontId="41" fillId="10" borderId="0" xfId="21" applyNumberFormat="1" applyFont="1" applyFill="1" applyBorder="1" applyAlignment="1">
      <alignment vertical="top"/>
    </xf>
    <xf numFmtId="6" fontId="41" fillId="10" borderId="0" xfId="21" applyNumberFormat="1" applyFont="1" applyFill="1" applyBorder="1">
      <alignment vertical="top"/>
    </xf>
    <xf numFmtId="0" fontId="38" fillId="10" borderId="10" xfId="22" applyFont="1" applyFill="1" applyBorder="1"/>
    <xf numFmtId="0" fontId="40" fillId="10" borderId="0" xfId="21" applyFont="1" applyFill="1" applyBorder="1">
      <alignment vertical="top"/>
    </xf>
    <xf numFmtId="166" fontId="40" fillId="10" borderId="0" xfId="21" applyNumberFormat="1" applyFont="1" applyFill="1" applyBorder="1" applyAlignment="1">
      <alignment vertical="top"/>
    </xf>
    <xf numFmtId="6" fontId="40" fillId="10" borderId="0" xfId="21" applyNumberFormat="1" applyFont="1" applyFill="1" applyBorder="1">
      <alignment vertical="top"/>
    </xf>
    <xf numFmtId="0" fontId="42" fillId="10" borderId="10" xfId="22" applyFont="1" applyFill="1" applyBorder="1" applyAlignment="1">
      <alignment vertical="top"/>
    </xf>
    <xf numFmtId="0" fontId="42" fillId="10" borderId="0" xfId="22" applyFont="1" applyFill="1" applyBorder="1" applyAlignment="1">
      <alignment vertical="top"/>
    </xf>
    <xf numFmtId="166" fontId="42" fillId="10" borderId="0" xfId="22" applyNumberFormat="1" applyFont="1" applyFill="1" applyBorder="1" applyAlignment="1">
      <alignment vertical="top"/>
    </xf>
    <xf numFmtId="6" fontId="42" fillId="10" borderId="0" xfId="22" applyNumberFormat="1" applyFont="1" applyFill="1" applyBorder="1" applyAlignment="1">
      <alignment horizontal="right" vertical="top"/>
    </xf>
    <xf numFmtId="0" fontId="37" fillId="12" borderId="6" xfId="22" applyFont="1" applyFill="1" applyBorder="1" applyAlignment="1">
      <alignment vertical="top"/>
    </xf>
    <xf numFmtId="0" fontId="37" fillId="12" borderId="7" xfId="22" applyFont="1" applyFill="1" applyBorder="1" applyAlignment="1">
      <alignment vertical="top"/>
    </xf>
    <xf numFmtId="166" fontId="37" fillId="12" borderId="7" xfId="22" applyNumberFormat="1" applyFont="1" applyFill="1" applyBorder="1" applyAlignment="1">
      <alignment vertical="top"/>
    </xf>
    <xf numFmtId="6" fontId="37" fillId="12" borderId="7" xfId="22" applyNumberFormat="1" applyFont="1" applyFill="1" applyBorder="1" applyAlignment="1">
      <alignment horizontal="right" vertical="top"/>
    </xf>
    <xf numFmtId="169" fontId="36" fillId="10" borderId="0" xfId="21" applyNumberFormat="1" applyFont="1" applyFill="1">
      <alignment vertical="top"/>
    </xf>
    <xf numFmtId="166" fontId="36" fillId="10" borderId="0" xfId="21" applyNumberFormat="1" applyFont="1" applyFill="1">
      <alignment vertical="top"/>
    </xf>
    <xf numFmtId="0" fontId="37" fillId="12" borderId="13" xfId="22" applyFont="1" applyFill="1" applyBorder="1" applyAlignment="1"/>
    <xf numFmtId="0" fontId="9" fillId="16" borderId="3" xfId="22" applyFont="1" applyFill="1" applyBorder="1"/>
    <xf numFmtId="0" fontId="8" fillId="16" borderId="4" xfId="22" applyFont="1" applyFill="1" applyBorder="1"/>
    <xf numFmtId="0" fontId="8" fillId="16" borderId="4" xfId="22" applyFont="1" applyFill="1" applyBorder="1" applyAlignment="1">
      <alignment horizontal="right"/>
    </xf>
    <xf numFmtId="166" fontId="12" fillId="16" borderId="4" xfId="22" applyNumberFormat="1" applyFont="1" applyFill="1" applyBorder="1" applyAlignment="1"/>
    <xf numFmtId="6" fontId="12" fillId="16" borderId="4" xfId="22" applyNumberFormat="1" applyFont="1" applyFill="1" applyBorder="1"/>
    <xf numFmtId="0" fontId="39" fillId="10" borderId="10" xfId="21" applyFont="1" applyFill="1" applyBorder="1" applyAlignment="1">
      <alignment horizontal="left" vertical="center" indent="2"/>
    </xf>
    <xf numFmtId="0" fontId="44" fillId="10" borderId="10" xfId="21" applyFont="1" applyFill="1" applyBorder="1" applyAlignment="1">
      <alignment horizontal="left" vertical="center" indent="1"/>
    </xf>
    <xf numFmtId="0" fontId="40" fillId="10" borderId="10" xfId="21" applyFont="1" applyFill="1" applyBorder="1" applyAlignment="1">
      <alignment horizontal="left" vertical="top" indent="2"/>
    </xf>
    <xf numFmtId="0" fontId="37" fillId="12" borderId="14" xfId="22" applyFont="1" applyFill="1" applyBorder="1" applyAlignment="1">
      <alignment horizontal="center"/>
    </xf>
    <xf numFmtId="166" fontId="12" fillId="16" borderId="5" xfId="22" applyNumberFormat="1" applyFont="1" applyFill="1" applyBorder="1" applyAlignment="1">
      <alignment horizontal="center"/>
    </xf>
    <xf numFmtId="10" fontId="40" fillId="10" borderId="11" xfId="22" applyNumberFormat="1" applyFont="1" applyFill="1" applyBorder="1" applyAlignment="1">
      <alignment horizontal="center"/>
    </xf>
    <xf numFmtId="166" fontId="40" fillId="10" borderId="11" xfId="22" applyNumberFormat="1" applyFont="1" applyFill="1" applyBorder="1" applyAlignment="1">
      <alignment horizontal="center"/>
    </xf>
    <xf numFmtId="166" fontId="41" fillId="10" borderId="11" xfId="21" applyNumberFormat="1" applyFont="1" applyFill="1" applyBorder="1" applyAlignment="1">
      <alignment horizontal="center" vertical="top"/>
    </xf>
    <xf numFmtId="0" fontId="36" fillId="10" borderId="11" xfId="21" applyFont="1" applyFill="1" applyBorder="1" applyAlignment="1">
      <alignment horizontal="center" vertical="top"/>
    </xf>
    <xf numFmtId="166" fontId="40" fillId="10" borderId="11" xfId="21" applyNumberFormat="1" applyFont="1" applyFill="1" applyBorder="1" applyAlignment="1">
      <alignment horizontal="center" vertical="top"/>
    </xf>
    <xf numFmtId="166" fontId="42" fillId="10" borderId="11" xfId="22" applyNumberFormat="1" applyFont="1" applyFill="1" applyBorder="1" applyAlignment="1">
      <alignment horizontal="center" vertical="top"/>
    </xf>
    <xf numFmtId="166" fontId="37" fillId="12" borderId="8" xfId="22" applyNumberFormat="1" applyFont="1" applyFill="1" applyBorder="1" applyAlignment="1">
      <alignment horizontal="center" vertical="top"/>
    </xf>
    <xf numFmtId="0" fontId="1" fillId="0" borderId="0" xfId="23"/>
    <xf numFmtId="0" fontId="45" fillId="10" borderId="1" xfId="23" applyFont="1" applyFill="1" applyBorder="1" applyAlignment="1"/>
    <xf numFmtId="0" fontId="1" fillId="0" borderId="0" xfId="23" applyAlignment="1">
      <alignment horizontal="right"/>
    </xf>
    <xf numFmtId="0" fontId="46" fillId="17" borderId="1" xfId="23" applyFont="1" applyFill="1" applyBorder="1" applyAlignment="1">
      <alignment vertical="center" wrapText="1"/>
    </xf>
    <xf numFmtId="0" fontId="46" fillId="17" borderId="1" xfId="23" applyFont="1" applyFill="1" applyBorder="1" applyAlignment="1">
      <alignment vertical="center"/>
    </xf>
    <xf numFmtId="0" fontId="46" fillId="17" borderId="1" xfId="23" applyFont="1" applyFill="1" applyBorder="1" applyAlignment="1">
      <alignment horizontal="center" vertical="center"/>
    </xf>
    <xf numFmtId="0" fontId="46" fillId="17" borderId="1" xfId="23" applyFont="1" applyFill="1" applyBorder="1" applyAlignment="1">
      <alignment horizontal="center" vertical="center" wrapText="1"/>
    </xf>
    <xf numFmtId="0" fontId="34" fillId="0" borderId="0" xfId="23" applyFont="1" applyBorder="1" applyAlignment="1">
      <alignment horizontal="right" vertical="center"/>
    </xf>
    <xf numFmtId="49" fontId="47" fillId="3" borderId="1" xfId="23" applyNumberFormat="1" applyFont="1" applyFill="1" applyBorder="1" applyAlignment="1">
      <alignment horizontal="left" vertical="center" wrapText="1"/>
    </xf>
    <xf numFmtId="49" fontId="47" fillId="3" borderId="1" xfId="23" applyNumberFormat="1" applyFont="1" applyFill="1" applyBorder="1" applyAlignment="1">
      <alignment horizontal="center" vertical="center" wrapText="1"/>
    </xf>
    <xf numFmtId="0" fontId="48" fillId="3" borderId="1" xfId="23" applyFont="1" applyFill="1" applyBorder="1" applyAlignment="1">
      <alignment horizontal="center" vertical="center"/>
    </xf>
    <xf numFmtId="3" fontId="47" fillId="3" borderId="1" xfId="23" applyNumberFormat="1" applyFont="1" applyFill="1" applyBorder="1" applyAlignment="1">
      <alignment horizontal="center" vertical="center" wrapText="1"/>
    </xf>
    <xf numFmtId="0" fontId="47" fillId="3" borderId="1" xfId="23" applyNumberFormat="1" applyFont="1" applyFill="1" applyBorder="1" applyAlignment="1">
      <alignment horizontal="center" vertical="center" wrapText="1"/>
    </xf>
    <xf numFmtId="14" fontId="47" fillId="3" borderId="1" xfId="23" applyNumberFormat="1" applyFont="1" applyFill="1" applyBorder="1" applyAlignment="1">
      <alignment horizontal="center" vertical="center" wrapText="1"/>
    </xf>
    <xf numFmtId="5" fontId="47" fillId="3" borderId="1" xfId="23" applyNumberFormat="1" applyFont="1" applyFill="1" applyBorder="1" applyAlignment="1">
      <alignment horizontal="center" vertical="center" wrapText="1"/>
    </xf>
    <xf numFmtId="6" fontId="48" fillId="3" borderId="1" xfId="23" applyNumberFormat="1" applyFont="1" applyFill="1" applyBorder="1" applyAlignment="1">
      <alignment horizontal="center" vertical="center"/>
    </xf>
    <xf numFmtId="0" fontId="48" fillId="3" borderId="1" xfId="23" applyFont="1" applyFill="1" applyBorder="1" applyAlignment="1">
      <alignment horizontal="center" vertical="center" wrapText="1"/>
    </xf>
    <xf numFmtId="49" fontId="47" fillId="10" borderId="1" xfId="23" applyNumberFormat="1" applyFont="1" applyFill="1" applyBorder="1" applyAlignment="1">
      <alignment horizontal="left" vertical="center" wrapText="1"/>
    </xf>
    <xf numFmtId="49" fontId="47" fillId="10" borderId="1" xfId="23" applyNumberFormat="1" applyFont="1" applyFill="1" applyBorder="1" applyAlignment="1">
      <alignment horizontal="center" vertical="center" wrapText="1"/>
    </xf>
    <xf numFmtId="0" fontId="48" fillId="10" borderId="1" xfId="23" applyFont="1" applyFill="1" applyBorder="1" applyAlignment="1">
      <alignment horizontal="center" vertical="center"/>
    </xf>
    <xf numFmtId="3" fontId="47" fillId="10" borderId="1" xfId="23" applyNumberFormat="1" applyFont="1" applyFill="1" applyBorder="1" applyAlignment="1">
      <alignment horizontal="center" vertical="center" wrapText="1"/>
    </xf>
    <xf numFmtId="0" fontId="47" fillId="10" borderId="1" xfId="23" applyNumberFormat="1" applyFont="1" applyFill="1" applyBorder="1" applyAlignment="1">
      <alignment horizontal="center" vertical="center" wrapText="1"/>
    </xf>
    <xf numFmtId="14" fontId="47" fillId="10" borderId="1" xfId="23" applyNumberFormat="1" applyFont="1" applyFill="1" applyBorder="1" applyAlignment="1">
      <alignment horizontal="center" vertical="center" wrapText="1"/>
    </xf>
    <xf numFmtId="5" fontId="47" fillId="10" borderId="1" xfId="23" applyNumberFormat="1" applyFont="1" applyFill="1" applyBorder="1" applyAlignment="1">
      <alignment horizontal="center" vertical="center" wrapText="1"/>
    </xf>
    <xf numFmtId="6" fontId="48" fillId="10" borderId="1" xfId="23" applyNumberFormat="1" applyFont="1" applyFill="1" applyBorder="1" applyAlignment="1">
      <alignment horizontal="center" vertical="center"/>
    </xf>
    <xf numFmtId="0" fontId="48" fillId="10" borderId="1" xfId="23" applyFont="1" applyFill="1" applyBorder="1" applyAlignment="1">
      <alignment horizontal="center" vertical="center" wrapText="1"/>
    </xf>
    <xf numFmtId="0" fontId="46" fillId="17" borderId="1" xfId="23" applyFont="1" applyFill="1" applyBorder="1" applyAlignment="1">
      <alignment horizontal="left" vertical="center" wrapText="1"/>
    </xf>
    <xf numFmtId="3" fontId="46" fillId="17" borderId="1" xfId="23" applyNumberFormat="1" applyFont="1" applyFill="1" applyBorder="1" applyAlignment="1">
      <alignment horizontal="center" vertical="center" wrapText="1"/>
    </xf>
    <xf numFmtId="6" fontId="46" fillId="17" borderId="1" xfId="24" applyNumberFormat="1" applyFont="1" applyFill="1" applyBorder="1" applyAlignment="1">
      <alignment horizontal="center" vertical="center" wrapText="1"/>
    </xf>
    <xf numFmtId="6" fontId="46" fillId="17" borderId="1" xfId="23" applyNumberFormat="1" applyFont="1" applyFill="1" applyBorder="1" applyAlignment="1">
      <alignment horizontal="center" vertical="center" wrapText="1"/>
    </xf>
    <xf numFmtId="0" fontId="49" fillId="3" borderId="1" xfId="23" applyFont="1" applyFill="1" applyBorder="1" applyAlignment="1">
      <alignment horizontal="center" vertical="center" wrapText="1"/>
    </xf>
    <xf numFmtId="0" fontId="49" fillId="10" borderId="1" xfId="23" applyFont="1" applyFill="1" applyBorder="1" applyAlignment="1">
      <alignment horizontal="center" vertical="center" wrapText="1"/>
    </xf>
    <xf numFmtId="2" fontId="12" fillId="0" borderId="1" xfId="0" applyNumberFormat="1" applyFont="1" applyFill="1" applyBorder="1" applyAlignment="1">
      <alignment horizontal="center" vertical="center"/>
    </xf>
    <xf numFmtId="0" fontId="7" fillId="0" borderId="23" xfId="0" applyNumberFormat="1" applyFont="1" applyBorder="1" applyProtection="1">
      <protection locked="0"/>
    </xf>
    <xf numFmtId="0" fontId="7" fillId="0" borderId="24" xfId="0" applyFont="1" applyBorder="1"/>
    <xf numFmtId="0" fontId="7" fillId="0" borderId="17" xfId="0" applyNumberFormat="1" applyFont="1" applyBorder="1"/>
    <xf numFmtId="0" fontId="7" fillId="0" borderId="18" xfId="0" applyFont="1" applyBorder="1"/>
    <xf numFmtId="0" fontId="50" fillId="0" borderId="16" xfId="0" applyNumberFormat="1" applyFont="1" applyBorder="1" applyAlignment="1"/>
    <xf numFmtId="0" fontId="7" fillId="0" borderId="19" xfId="0" applyFont="1" applyBorder="1"/>
    <xf numFmtId="0" fontId="7" fillId="0" borderId="22" xfId="0" applyFont="1" applyBorder="1"/>
    <xf numFmtId="14" fontId="17" fillId="0" borderId="0" xfId="0" applyNumberFormat="1" applyFont="1" applyAlignment="1">
      <alignment horizontal="left"/>
    </xf>
    <xf numFmtId="14" fontId="7" fillId="0" borderId="0" xfId="0" applyNumberFormat="1" applyFont="1"/>
    <xf numFmtId="0" fontId="7" fillId="0" borderId="24" xfId="0" applyFont="1" applyFill="1" applyBorder="1"/>
    <xf numFmtId="0" fontId="7" fillId="0" borderId="22" xfId="0" applyNumberFormat="1" applyFont="1" applyBorder="1" applyProtection="1">
      <protection locked="0"/>
    </xf>
    <xf numFmtId="0" fontId="8" fillId="0" borderId="24" xfId="0" applyFont="1" applyFill="1" applyBorder="1" applyAlignment="1">
      <alignment horizontal="center" vertical="center"/>
    </xf>
    <xf numFmtId="2" fontId="12" fillId="0" borderId="24" xfId="0" applyNumberFormat="1" applyFont="1" applyFill="1" applyBorder="1" applyAlignment="1">
      <alignment horizontal="center" vertical="center"/>
    </xf>
    <xf numFmtId="0" fontId="50" fillId="0" borderId="25" xfId="0" applyFont="1" applyBorder="1" applyAlignment="1">
      <alignment horizontal="center"/>
    </xf>
    <xf numFmtId="166" fontId="50" fillId="0" borderId="25" xfId="0" applyNumberFormat="1" applyFont="1" applyBorder="1" applyAlignment="1">
      <alignment horizontal="center"/>
    </xf>
    <xf numFmtId="2" fontId="50" fillId="0" borderId="25" xfId="0" applyNumberFormat="1" applyFont="1" applyBorder="1" applyAlignment="1">
      <alignment horizontal="center"/>
    </xf>
    <xf numFmtId="0" fontId="50" fillId="0" borderId="0" xfId="0" applyFont="1" applyBorder="1"/>
    <xf numFmtId="0" fontId="50" fillId="0" borderId="23" xfId="0" applyNumberFormat="1" applyFont="1" applyBorder="1" applyProtection="1">
      <protection locked="0"/>
    </xf>
    <xf numFmtId="0" fontId="51" fillId="0" borderId="23" xfId="0" applyNumberFormat="1" applyFont="1" applyBorder="1" applyProtection="1">
      <protection locked="0"/>
    </xf>
    <xf numFmtId="0" fontId="51" fillId="0" borderId="23" xfId="0" applyNumberFormat="1" applyFont="1" applyBorder="1"/>
    <xf numFmtId="49" fontId="52" fillId="3" borderId="1" xfId="23" applyNumberFormat="1" applyFont="1" applyFill="1" applyBorder="1" applyAlignment="1">
      <alignment horizontal="left" vertical="center" wrapText="1"/>
    </xf>
    <xf numFmtId="49" fontId="52" fillId="3" borderId="1" xfId="23" applyNumberFormat="1" applyFont="1" applyFill="1" applyBorder="1" applyAlignment="1">
      <alignment horizontal="center" vertical="center" wrapText="1"/>
    </xf>
    <xf numFmtId="0" fontId="53" fillId="3" borderId="1" xfId="23" applyFont="1" applyFill="1" applyBorder="1" applyAlignment="1">
      <alignment horizontal="center" vertical="center"/>
    </xf>
    <xf numFmtId="3" fontId="52" fillId="3" borderId="1" xfId="23" applyNumberFormat="1" applyFont="1" applyFill="1" applyBorder="1" applyAlignment="1">
      <alignment horizontal="center" vertical="center" wrapText="1"/>
    </xf>
    <xf numFmtId="0" fontId="52" fillId="3" borderId="1" xfId="23" applyNumberFormat="1" applyFont="1" applyFill="1" applyBorder="1" applyAlignment="1">
      <alignment horizontal="center" vertical="center" wrapText="1"/>
    </xf>
    <xf numFmtId="14" fontId="52" fillId="3" borderId="1" xfId="23" applyNumberFormat="1" applyFont="1" applyFill="1" applyBorder="1" applyAlignment="1">
      <alignment horizontal="center" vertical="center" wrapText="1"/>
    </xf>
    <xf numFmtId="5" fontId="52" fillId="3" borderId="1" xfId="23" applyNumberFormat="1" applyFont="1" applyFill="1" applyBorder="1" applyAlignment="1">
      <alignment horizontal="center" vertical="center" wrapText="1"/>
    </xf>
    <xf numFmtId="6" fontId="53" fillId="3" borderId="1" xfId="23" applyNumberFormat="1" applyFont="1" applyFill="1" applyBorder="1" applyAlignment="1">
      <alignment horizontal="center" vertical="center"/>
    </xf>
    <xf numFmtId="0" fontId="53" fillId="3" borderId="1" xfId="23" applyFont="1" applyFill="1" applyBorder="1" applyAlignment="1">
      <alignment horizontal="center" vertical="center" wrapText="1"/>
    </xf>
    <xf numFmtId="49" fontId="52" fillId="10" borderId="1" xfId="23" applyNumberFormat="1" applyFont="1" applyFill="1" applyBorder="1" applyAlignment="1">
      <alignment horizontal="left" vertical="center" wrapText="1"/>
    </xf>
    <xf numFmtId="49" fontId="52" fillId="10" borderId="1" xfId="23" applyNumberFormat="1" applyFont="1" applyFill="1" applyBorder="1" applyAlignment="1">
      <alignment horizontal="center" vertical="center" wrapText="1"/>
    </xf>
    <xf numFmtId="0" fontId="53" fillId="10" borderId="1" xfId="23" applyFont="1" applyFill="1" applyBorder="1" applyAlignment="1">
      <alignment horizontal="center" vertical="center"/>
    </xf>
    <xf numFmtId="3" fontId="52" fillId="10" borderId="1" xfId="23" applyNumberFormat="1" applyFont="1" applyFill="1" applyBorder="1" applyAlignment="1">
      <alignment horizontal="center" vertical="center" wrapText="1"/>
    </xf>
    <xf numFmtId="0" fontId="52" fillId="10" borderId="1" xfId="23" applyNumberFormat="1" applyFont="1" applyFill="1" applyBorder="1" applyAlignment="1">
      <alignment horizontal="center" vertical="center" wrapText="1"/>
    </xf>
    <xf numFmtId="14" fontId="52" fillId="10" borderId="1" xfId="23" applyNumberFormat="1" applyFont="1" applyFill="1" applyBorder="1" applyAlignment="1">
      <alignment horizontal="center" vertical="center" wrapText="1"/>
    </xf>
    <xf numFmtId="5" fontId="52" fillId="10" borderId="1" xfId="23" applyNumberFormat="1" applyFont="1" applyFill="1" applyBorder="1" applyAlignment="1">
      <alignment horizontal="center" vertical="center" wrapText="1"/>
    </xf>
    <xf numFmtId="6" fontId="53" fillId="10" borderId="1" xfId="23" applyNumberFormat="1" applyFont="1" applyFill="1" applyBorder="1" applyAlignment="1">
      <alignment horizontal="center" vertical="center"/>
    </xf>
    <xf numFmtId="0" fontId="53" fillId="10" borderId="1" xfId="23" applyFont="1" applyFill="1" applyBorder="1" applyAlignment="1">
      <alignment horizontal="center" vertical="center" wrapText="1"/>
    </xf>
    <xf numFmtId="6" fontId="54" fillId="17" borderId="1" xfId="24" applyNumberFormat="1" applyFont="1" applyFill="1" applyBorder="1" applyAlignment="1">
      <alignment horizontal="center" vertical="center" wrapText="1"/>
    </xf>
    <xf numFmtId="6" fontId="54" fillId="17" borderId="1" xfId="23" applyNumberFormat="1" applyFont="1" applyFill="1" applyBorder="1" applyAlignment="1">
      <alignment horizontal="center" vertical="center" wrapText="1"/>
    </xf>
    <xf numFmtId="167" fontId="40" fillId="10" borderId="0" xfId="2" applyNumberFormat="1" applyFont="1" applyFill="1" applyBorder="1" applyAlignment="1">
      <alignment horizontal="right"/>
    </xf>
    <xf numFmtId="167" fontId="40" fillId="10" borderId="11" xfId="2" applyNumberFormat="1" applyFont="1" applyFill="1" applyBorder="1" applyAlignment="1">
      <alignment horizontal="center"/>
    </xf>
    <xf numFmtId="0" fontId="43" fillId="10" borderId="4" xfId="21" applyFont="1" applyFill="1" applyBorder="1" applyAlignment="1">
      <alignment vertical="top"/>
    </xf>
    <xf numFmtId="0" fontId="43" fillId="10" borderId="0" xfId="21" applyFont="1" applyFill="1" applyBorder="1" applyAlignment="1">
      <alignment vertical="top"/>
    </xf>
    <xf numFmtId="2" fontId="40" fillId="10" borderId="0" xfId="22" applyNumberFormat="1" applyFont="1" applyFill="1" applyBorder="1" applyAlignment="1">
      <alignment horizontal="right"/>
    </xf>
    <xf numFmtId="2" fontId="40" fillId="10" borderId="11" xfId="22" applyNumberFormat="1" applyFont="1" applyFill="1" applyBorder="1" applyAlignment="1">
      <alignment horizontal="center"/>
    </xf>
    <xf numFmtId="1" fontId="40" fillId="10" borderId="11" xfId="22" applyNumberFormat="1" applyFont="1" applyFill="1" applyBorder="1" applyAlignment="1">
      <alignment horizontal="center"/>
    </xf>
    <xf numFmtId="1" fontId="42" fillId="10" borderId="0" xfId="22" applyNumberFormat="1" applyFont="1" applyFill="1" applyBorder="1" applyAlignment="1">
      <alignment horizontal="right"/>
    </xf>
    <xf numFmtId="166" fontId="42" fillId="10" borderId="0" xfId="22" applyNumberFormat="1" applyFont="1" applyFill="1" applyBorder="1" applyAlignment="1">
      <alignment horizontal="right"/>
    </xf>
    <xf numFmtId="166" fontId="55" fillId="10" borderId="11" xfId="22" applyNumberFormat="1" applyFont="1" applyFill="1" applyBorder="1" applyAlignment="1">
      <alignment horizontal="center"/>
    </xf>
    <xf numFmtId="167" fontId="55" fillId="10" borderId="11" xfId="2" applyNumberFormat="1" applyFont="1" applyFill="1" applyBorder="1" applyAlignment="1">
      <alignment horizontal="center"/>
    </xf>
    <xf numFmtId="2" fontId="55" fillId="10" borderId="11" xfId="22" applyNumberFormat="1" applyFont="1" applyFill="1" applyBorder="1" applyAlignment="1">
      <alignment horizontal="center"/>
    </xf>
    <xf numFmtId="166" fontId="7" fillId="0" borderId="0" xfId="0" applyNumberFormat="1" applyFont="1" applyFill="1" applyBorder="1" applyProtection="1">
      <protection locked="0"/>
    </xf>
    <xf numFmtId="0" fontId="7" fillId="0" borderId="0" xfId="0" applyFont="1" applyFill="1" applyBorder="1" applyAlignment="1" applyProtection="1">
      <alignment vertical="center"/>
      <protection locked="0"/>
    </xf>
    <xf numFmtId="10" fontId="0" fillId="10" borderId="0" xfId="2" applyNumberFormat="1" applyFont="1" applyFill="1"/>
    <xf numFmtId="0" fontId="8" fillId="2" borderId="1"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32" fillId="2" borderId="15" xfId="4" applyFont="1" applyFill="1" applyBorder="1" applyAlignment="1">
      <alignment horizontal="center"/>
    </xf>
    <xf numFmtId="0" fontId="32" fillId="2" borderId="22" xfId="4" applyFont="1" applyFill="1" applyBorder="1" applyAlignment="1">
      <alignment horizontal="center"/>
    </xf>
    <xf numFmtId="0" fontId="32" fillId="2" borderId="16" xfId="4" applyFont="1" applyFill="1" applyBorder="1" applyAlignment="1">
      <alignment horizontal="center"/>
    </xf>
    <xf numFmtId="0" fontId="8" fillId="12" borderId="3" xfId="4" quotePrefix="1" applyFont="1" applyFill="1" applyBorder="1" applyAlignment="1" applyProtection="1">
      <alignment horizontal="center" vertical="center"/>
      <protection locked="0"/>
    </xf>
    <xf numFmtId="0" fontId="8" fillId="12" borderId="4" xfId="4" quotePrefix="1" applyFont="1" applyFill="1" applyBorder="1" applyAlignment="1" applyProtection="1">
      <alignment horizontal="center" vertical="center"/>
      <protection locked="0"/>
    </xf>
    <xf numFmtId="0" fontId="8" fillId="12" borderId="5" xfId="4" quotePrefix="1" applyFont="1" applyFill="1" applyBorder="1" applyAlignment="1" applyProtection="1">
      <alignment horizontal="center" vertical="center"/>
      <protection locked="0"/>
    </xf>
    <xf numFmtId="0" fontId="8" fillId="12" borderId="6" xfId="4" quotePrefix="1" applyFont="1" applyFill="1" applyBorder="1" applyAlignment="1" applyProtection="1">
      <alignment horizontal="center" vertical="center"/>
      <protection locked="0"/>
    </xf>
    <xf numFmtId="0" fontId="8" fillId="12" borderId="7" xfId="4" quotePrefix="1" applyFont="1" applyFill="1" applyBorder="1" applyAlignment="1" applyProtection="1">
      <alignment horizontal="center" vertical="center"/>
      <protection locked="0"/>
    </xf>
    <xf numFmtId="0" fontId="8" fillId="12" borderId="8" xfId="4" quotePrefix="1" applyFont="1" applyFill="1" applyBorder="1" applyAlignment="1" applyProtection="1">
      <alignment horizontal="center" vertical="center"/>
      <protection locked="0"/>
    </xf>
    <xf numFmtId="0" fontId="50" fillId="0" borderId="15" xfId="0" applyNumberFormat="1" applyFont="1" applyBorder="1" applyAlignment="1">
      <alignment horizontal="center"/>
    </xf>
    <xf numFmtId="0" fontId="50" fillId="0" borderId="22" xfId="0" applyNumberFormat="1" applyFont="1" applyBorder="1" applyAlignment="1">
      <alignment horizontal="center"/>
    </xf>
    <xf numFmtId="0" fontId="45" fillId="10" borderId="1" xfId="23" applyFont="1" applyFill="1" applyBorder="1" applyAlignment="1">
      <alignment horizontal="center"/>
    </xf>
    <xf numFmtId="0" fontId="45" fillId="10" borderId="12" xfId="23" applyFont="1" applyFill="1" applyBorder="1" applyAlignment="1">
      <alignment horizontal="center"/>
    </xf>
    <xf numFmtId="0" fontId="45" fillId="10" borderId="13" xfId="23" applyFont="1" applyFill="1" applyBorder="1" applyAlignment="1">
      <alignment horizontal="center"/>
    </xf>
    <xf numFmtId="0" fontId="0" fillId="0" borderId="19" xfId="0" applyBorder="1" applyAlignment="1">
      <alignment horizontal="center"/>
    </xf>
    <xf numFmtId="0" fontId="0" fillId="0" borderId="0" xfId="0" applyBorder="1" applyAlignment="1">
      <alignment horizontal="center"/>
    </xf>
    <xf numFmtId="0" fontId="9" fillId="0" borderId="24" xfId="0" applyFont="1" applyFill="1" applyBorder="1" applyAlignment="1">
      <alignment horizontal="center" vertical="center"/>
    </xf>
    <xf numFmtId="0" fontId="59" fillId="2" borderId="1" xfId="0" applyFont="1" applyFill="1" applyBorder="1" applyAlignment="1" applyProtection="1">
      <alignment horizontal="center"/>
      <protection locked="0"/>
    </xf>
    <xf numFmtId="10" fontId="12" fillId="3" borderId="1" xfId="2" applyNumberFormat="1" applyFont="1" applyFill="1" applyBorder="1" applyAlignment="1" applyProtection="1">
      <alignment horizontal="center"/>
      <protection locked="0"/>
    </xf>
  </cellXfs>
  <cellStyles count="25">
    <cellStyle name="Comma 2" xfId="17"/>
    <cellStyle name="Currency" xfId="18" builtinId="4"/>
    <cellStyle name="Currency 2" xfId="15"/>
    <cellStyle name="Currency 3" xfId="24"/>
    <cellStyle name="FRxAmtStyle" xfId="1"/>
    <cellStyle name="Normal" xfId="0" builtinId="0"/>
    <cellStyle name="Normal 2" xfId="8"/>
    <cellStyle name="Normal 2 2" xfId="4"/>
    <cellStyle name="Normal 2 3" xfId="12"/>
    <cellStyle name="Normal 3" xfId="9"/>
    <cellStyle name="Normal 3 10" xfId="22"/>
    <cellStyle name="Normal 3 2 2" xfId="5"/>
    <cellStyle name="Normal 3 3" xfId="7"/>
    <cellStyle name="Normal 3 3 2" xfId="16"/>
    <cellStyle name="Normal 4" xfId="3"/>
    <cellStyle name="Normal 4 2" xfId="14"/>
    <cellStyle name="Normal 4 3" xfId="21"/>
    <cellStyle name="Normal 5" xfId="10"/>
    <cellStyle name="Normal 6" xfId="19"/>
    <cellStyle name="Normal 7" xfId="20"/>
    <cellStyle name="Normal 8" xfId="23"/>
    <cellStyle name="Normal 9" xfId="11"/>
    <cellStyle name="Percent" xfId="2" builtinId="5"/>
    <cellStyle name="Percent 2" xfId="13"/>
    <cellStyle name="Percent 2 2 2" xfId="6"/>
  </cellStyles>
  <dxfs count="78">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
      <font>
        <b/>
        <i val="0"/>
        <color theme="0"/>
      </font>
      <fill>
        <patternFill>
          <bgColor theme="1" tint="0.499984740745262"/>
        </patternFill>
      </fill>
    </dxf>
    <dxf>
      <font>
        <b/>
        <i val="0"/>
        <color theme="0"/>
      </font>
      <fill>
        <patternFill>
          <bgColor rgb="FF7030A0"/>
        </patternFill>
      </fill>
    </dxf>
    <dxf>
      <font>
        <b/>
        <i val="0"/>
      </font>
      <fill>
        <patternFill>
          <bgColor rgb="FF00B0F0"/>
        </patternFill>
      </fill>
    </dxf>
    <dxf>
      <font>
        <b/>
        <i val="0"/>
      </font>
      <fill>
        <patternFill>
          <bgColor rgb="FF92D050"/>
        </patternFill>
      </fill>
    </dxf>
    <dxf>
      <font>
        <b/>
        <i val="0"/>
      </font>
      <fill>
        <patternFill>
          <bgColor rgb="FFFFC000"/>
        </patternFill>
      </fill>
    </dxf>
    <dxf>
      <font>
        <b/>
        <i val="0"/>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20Management/Deal%20Files/TEXAS%20IL%20Portfolio%20-%20Copy/Texas%20IL%20Portfolio%20UWv1.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imi/AppData/Local/Microsoft/Windows/Temporary%20Internet%20Files/Content.Outlook/JB2NZ7YF/HAMLIN.PROFORMA.131231.R3.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S"/>
      <sheetName val="Net Proceeds"/>
      <sheetName val="Sales Comps"/>
      <sheetName val="PORTFOLIO ROLLUP"/>
      <sheetName val="Waldenbrooke - UW"/>
      <sheetName val="Corinthians - UW"/>
      <sheetName val="Montclair - UW"/>
      <sheetName val="Waldenbrooke"/>
      <sheetName val="Corinthians"/>
      <sheetName val="Montclair"/>
      <sheetName val="Waldenbrooke Occ"/>
      <sheetName val="Corinthians Occ"/>
      <sheetName val="Montclair Occ"/>
      <sheetName val="Hidden Lake (2)"/>
      <sheetName val="Seminole (2)"/>
      <sheetName val="South Pointe (2)"/>
    </sheetNames>
    <sheetDataSet>
      <sheetData sheetId="0">
        <row r="4">
          <cell r="A4" t="b">
            <v>0</v>
          </cell>
        </row>
        <row r="7">
          <cell r="A7">
            <v>0.05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XY"/>
      <sheetName val="Sheet2"/>
      <sheetName val="Sheet3"/>
      <sheetName val="DETAIL"/>
      <sheetName val="HAMLIN.PLACE.HISTORY"/>
    </sheetNames>
    <sheetDataSet>
      <sheetData sheetId="0"/>
      <sheetData sheetId="1"/>
      <sheetData sheetId="2"/>
      <sheetData sheetId="3">
        <row r="1">
          <cell r="Q1">
            <v>1</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T189"/>
  <sheetViews>
    <sheetView topLeftCell="G1" zoomScale="70" zoomScaleNormal="70" workbookViewId="0">
      <selection activeCell="T7" sqref="T7"/>
    </sheetView>
  </sheetViews>
  <sheetFormatPr defaultRowHeight="17.399999999999999"/>
  <cols>
    <col min="1" max="1" width="31" style="1" customWidth="1"/>
    <col min="2" max="2" width="2.77734375" style="1" customWidth="1"/>
    <col min="3" max="3" width="81.109375" style="1" customWidth="1"/>
    <col min="4" max="4" width="8" style="1" bestFit="1" customWidth="1"/>
    <col min="5" max="5" width="2.77734375" style="1" customWidth="1"/>
    <col min="6" max="6" width="96.88671875" style="1" customWidth="1"/>
    <col min="7" max="7" width="8" style="1" bestFit="1" customWidth="1"/>
    <col min="8" max="8" width="2.77734375" style="1" customWidth="1"/>
    <col min="9" max="9" width="111.21875" style="1" customWidth="1"/>
    <col min="10" max="10" width="8" style="1" bestFit="1" customWidth="1"/>
    <col min="11" max="11" width="20.5546875" style="1" bestFit="1" customWidth="1"/>
    <col min="12" max="12" width="16.109375" style="1" bestFit="1" customWidth="1"/>
    <col min="13" max="13" width="28.21875" style="1" bestFit="1" customWidth="1"/>
    <col min="14" max="14" width="2.77734375" style="1" customWidth="1"/>
    <col min="15" max="15" width="27.44140625" style="1" customWidth="1"/>
    <col min="16" max="20" width="13.77734375" style="1" customWidth="1"/>
    <col min="21" max="16384" width="8.88671875" style="1"/>
  </cols>
  <sheetData>
    <row r="1" spans="1:20">
      <c r="A1" s="83" t="s">
        <v>38</v>
      </c>
      <c r="B1" s="2"/>
      <c r="C1" s="422" t="s">
        <v>0</v>
      </c>
      <c r="D1" s="422"/>
      <c r="E1" s="2"/>
      <c r="F1" s="422" t="s">
        <v>1</v>
      </c>
      <c r="G1" s="422"/>
      <c r="H1" s="2"/>
      <c r="I1" s="423" t="s">
        <v>2</v>
      </c>
      <c r="J1" s="424"/>
      <c r="K1" s="424"/>
      <c r="L1" s="425"/>
      <c r="O1" s="426" t="s">
        <v>587</v>
      </c>
      <c r="P1" s="427"/>
      <c r="Q1" s="427"/>
      <c r="R1" s="427"/>
      <c r="S1" s="427"/>
      <c r="T1" s="428"/>
    </row>
    <row r="2" spans="1:20">
      <c r="A2" s="85">
        <v>0.05</v>
      </c>
      <c r="B2" s="2"/>
      <c r="C2" s="3" t="s">
        <v>3</v>
      </c>
      <c r="D2" s="3" t="s">
        <v>4</v>
      </c>
      <c r="E2" s="2"/>
      <c r="F2" s="3" t="s">
        <v>3</v>
      </c>
      <c r="G2" s="3" t="s">
        <v>4</v>
      </c>
      <c r="H2" s="2"/>
      <c r="I2" s="3" t="s">
        <v>3</v>
      </c>
      <c r="J2" s="3" t="s">
        <v>4</v>
      </c>
      <c r="K2" s="3" t="s">
        <v>34</v>
      </c>
      <c r="L2" s="140" t="s">
        <v>35</v>
      </c>
      <c r="M2" s="141"/>
      <c r="O2" s="272"/>
      <c r="P2" s="273">
        <v>2014</v>
      </c>
      <c r="Q2" s="273">
        <v>2015</v>
      </c>
      <c r="R2" s="273" t="s">
        <v>588</v>
      </c>
      <c r="S2" s="273" t="s">
        <v>580</v>
      </c>
      <c r="T2" s="274" t="s">
        <v>589</v>
      </c>
    </row>
    <row r="3" spans="1:20">
      <c r="A3" s="2"/>
      <c r="B3" s="2"/>
      <c r="C3" s="4"/>
      <c r="D3" s="5"/>
      <c r="E3" s="2"/>
      <c r="F3" s="4" t="s">
        <v>313</v>
      </c>
      <c r="G3" s="5">
        <v>201</v>
      </c>
      <c r="H3" s="2"/>
      <c r="I3" s="4" t="s">
        <v>345</v>
      </c>
      <c r="J3" s="86">
        <f t="shared" ref="J3:J34" si="0">IF(USE_WAGE_CODING,L3,K3)</f>
        <v>301.3</v>
      </c>
      <c r="K3" s="5">
        <v>301.3</v>
      </c>
      <c r="L3" s="87">
        <f>IF(OR(K3&gt;400,(AND(LEN(K3)&gt;0,RIGHT(K3,2)=".1"))),K3,499)</f>
        <v>499</v>
      </c>
      <c r="M3" s="142"/>
      <c r="O3" s="275" t="s">
        <v>590</v>
      </c>
      <c r="P3" s="276">
        <f>'Quail Run - LABOR'!E55</f>
        <v>1233470.7999999998</v>
      </c>
      <c r="Q3" s="276">
        <f>'Quail Run - LABOR'!I55</f>
        <v>1231143.18</v>
      </c>
      <c r="R3" s="276">
        <f>'Quail Run - LABOR'!U55</f>
        <v>1227906.3431318682</v>
      </c>
      <c r="S3" s="276">
        <f>'Quail Run - LABOR'!Y55</f>
        <v>1334278.1592186054</v>
      </c>
      <c r="T3" s="277"/>
    </row>
    <row r="4" spans="1:20">
      <c r="A4" s="129" t="s">
        <v>33</v>
      </c>
      <c r="C4" s="4"/>
      <c r="D4" s="5"/>
      <c r="F4" s="4" t="s">
        <v>314</v>
      </c>
      <c r="G4" s="5">
        <v>201</v>
      </c>
      <c r="I4" s="4" t="s">
        <v>346</v>
      </c>
      <c r="J4" s="86">
        <f t="shared" si="0"/>
        <v>309</v>
      </c>
      <c r="K4" s="5">
        <v>309</v>
      </c>
      <c r="L4" s="87">
        <f t="shared" ref="L4:L67" si="1">IF(OR(K4&gt;400,(AND(LEN(K4)&gt;0,RIGHT(K4,2)=".1"))),K4,499)</f>
        <v>499</v>
      </c>
      <c r="M4" s="143"/>
      <c r="O4" s="275"/>
      <c r="P4" s="278"/>
      <c r="Q4" s="278"/>
      <c r="R4" s="278"/>
      <c r="S4" s="278"/>
      <c r="T4" s="277"/>
    </row>
    <row r="5" spans="1:20">
      <c r="A5" s="84" t="b">
        <v>0</v>
      </c>
      <c r="C5" s="4"/>
      <c r="D5" s="5"/>
      <c r="F5" s="4" t="s">
        <v>315</v>
      </c>
      <c r="G5" s="5">
        <v>201</v>
      </c>
      <c r="I5" s="4" t="s">
        <v>347</v>
      </c>
      <c r="J5" s="86">
        <f t="shared" si="0"/>
        <v>308</v>
      </c>
      <c r="K5" s="5">
        <v>308</v>
      </c>
      <c r="L5" s="87">
        <f t="shared" si="1"/>
        <v>499</v>
      </c>
      <c r="M5" s="141"/>
      <c r="O5" s="275" t="s">
        <v>44</v>
      </c>
      <c r="P5" s="276">
        <f ca="1">'Quail Run - UW'!E39</f>
        <v>95130.059999999983</v>
      </c>
      <c r="Q5" s="276">
        <f ca="1">'Quail Run - UW'!I39</f>
        <v>102842.97000000002</v>
      </c>
      <c r="R5" s="276">
        <f ca="1">'Quail Run - UW'!U39</f>
        <v>101650.09340659341</v>
      </c>
      <c r="S5" s="276">
        <f ca="1">S3*PR_TAX_PERC</f>
        <v>108267.67480569977</v>
      </c>
      <c r="T5" s="279">
        <f ca="1">SUM(P5:R5)/SUM($P$3:$R$3)</f>
        <v>8.1143256417465962E-2</v>
      </c>
    </row>
    <row r="6" spans="1:20">
      <c r="C6" s="4"/>
      <c r="D6" s="5"/>
      <c r="F6" s="4" t="s">
        <v>316</v>
      </c>
      <c r="G6" s="5">
        <v>201</v>
      </c>
      <c r="I6" s="4" t="s">
        <v>348</v>
      </c>
      <c r="J6" s="86">
        <f t="shared" si="0"/>
        <v>307</v>
      </c>
      <c r="K6" s="5">
        <v>307</v>
      </c>
      <c r="L6" s="87">
        <f t="shared" si="1"/>
        <v>499</v>
      </c>
      <c r="M6" s="141"/>
      <c r="O6" s="275" t="s">
        <v>45</v>
      </c>
      <c r="P6" s="276">
        <f ca="1">'Quail Run - UW'!E40</f>
        <v>45010.22</v>
      </c>
      <c r="Q6" s="276">
        <f ca="1">'Quail Run - UW'!I40</f>
        <v>17407.989999999998</v>
      </c>
      <c r="R6" s="276">
        <f ca="1">'Quail Run - UW'!U40</f>
        <v>20263.53653846154</v>
      </c>
      <c r="S6" s="276">
        <f ca="1">EB_PERC*S3</f>
        <v>29876.734294788599</v>
      </c>
      <c r="T6" s="279">
        <f t="shared" ref="T6:T7" ca="1" si="2">SUM(P6:R6)/SUM($P$3:$R$3)</f>
        <v>2.2391683539424299E-2</v>
      </c>
    </row>
    <row r="7" spans="1:20" ht="18" thickBot="1">
      <c r="A7" s="268" t="s">
        <v>586</v>
      </c>
      <c r="C7" s="4"/>
      <c r="D7" s="5"/>
      <c r="F7" s="4" t="s">
        <v>317</v>
      </c>
      <c r="G7" s="5">
        <v>202</v>
      </c>
      <c r="I7" s="4" t="s">
        <v>349</v>
      </c>
      <c r="J7" s="86">
        <f t="shared" si="0"/>
        <v>301.10000000000002</v>
      </c>
      <c r="K7" s="5">
        <v>301.10000000000002</v>
      </c>
      <c r="L7" s="87">
        <f t="shared" si="1"/>
        <v>301.10000000000002</v>
      </c>
      <c r="O7" s="280" t="s">
        <v>46</v>
      </c>
      <c r="P7" s="281">
        <f ca="1">'Quail Run - UW'!E41</f>
        <v>6393</v>
      </c>
      <c r="Q7" s="281">
        <f ca="1">'Quail Run - UW'!I41</f>
        <v>13784</v>
      </c>
      <c r="R7" s="281">
        <f ca="1">'Quail Run - UW'!U41</f>
        <v>13784</v>
      </c>
      <c r="S7" s="281">
        <f ca="1">T7*S3</f>
        <v>12271.67804097278</v>
      </c>
      <c r="T7" s="282">
        <f t="shared" ca="1" si="2"/>
        <v>9.1972411870696099E-3</v>
      </c>
    </row>
    <row r="8" spans="1:20">
      <c r="A8" s="271">
        <v>10000</v>
      </c>
      <c r="C8" s="4"/>
      <c r="D8" s="5"/>
      <c r="F8" s="4" t="s">
        <v>318</v>
      </c>
      <c r="G8" s="5">
        <v>205</v>
      </c>
      <c r="I8" s="4" t="s">
        <v>350</v>
      </c>
      <c r="J8" s="86">
        <f t="shared" si="0"/>
        <v>301.10000000000002</v>
      </c>
      <c r="K8" s="5">
        <v>301.10000000000002</v>
      </c>
      <c r="L8" s="87">
        <f t="shared" si="1"/>
        <v>301.10000000000002</v>
      </c>
    </row>
    <row r="9" spans="1:20">
      <c r="C9" s="4"/>
      <c r="D9" s="5"/>
      <c r="F9" s="4" t="s">
        <v>319</v>
      </c>
      <c r="G9" s="5">
        <v>201</v>
      </c>
      <c r="I9" s="4" t="s">
        <v>351</v>
      </c>
      <c r="J9" s="86">
        <f t="shared" si="0"/>
        <v>301.3</v>
      </c>
      <c r="K9" s="5">
        <v>301.3</v>
      </c>
      <c r="L9" s="87">
        <f t="shared" si="1"/>
        <v>499</v>
      </c>
    </row>
    <row r="10" spans="1:20">
      <c r="A10" s="269" t="s">
        <v>651</v>
      </c>
      <c r="C10" s="4"/>
      <c r="D10" s="5"/>
      <c r="F10" s="4" t="s">
        <v>320</v>
      </c>
      <c r="G10" s="5">
        <v>201</v>
      </c>
      <c r="I10" s="4" t="s">
        <v>352</v>
      </c>
      <c r="J10" s="86">
        <f t="shared" si="0"/>
        <v>301.3</v>
      </c>
      <c r="K10" s="5">
        <v>301.3</v>
      </c>
      <c r="L10" s="87">
        <f t="shared" si="1"/>
        <v>499</v>
      </c>
    </row>
    <row r="11" spans="1:20">
      <c r="A11" s="366">
        <v>1.02</v>
      </c>
      <c r="C11" s="4"/>
      <c r="D11" s="5"/>
      <c r="F11" s="4" t="s">
        <v>321</v>
      </c>
      <c r="G11" s="5">
        <v>203</v>
      </c>
      <c r="I11" s="4" t="s">
        <v>353</v>
      </c>
      <c r="J11" s="86">
        <f t="shared" si="0"/>
        <v>301.2</v>
      </c>
      <c r="K11" s="5">
        <v>301.2</v>
      </c>
      <c r="L11" s="87">
        <f t="shared" si="1"/>
        <v>499</v>
      </c>
    </row>
    <row r="12" spans="1:20">
      <c r="C12" s="4"/>
      <c r="D12" s="5"/>
      <c r="F12" s="4" t="s">
        <v>322</v>
      </c>
      <c r="G12" s="5">
        <v>203</v>
      </c>
      <c r="I12" s="4" t="s">
        <v>354</v>
      </c>
      <c r="J12" s="86">
        <f t="shared" si="0"/>
        <v>302.3</v>
      </c>
      <c r="K12" s="5">
        <v>302.3</v>
      </c>
      <c r="L12" s="87">
        <f t="shared" si="1"/>
        <v>499</v>
      </c>
    </row>
    <row r="13" spans="1:20">
      <c r="A13" s="269" t="s">
        <v>652</v>
      </c>
      <c r="F13" s="4" t="s">
        <v>323</v>
      </c>
      <c r="G13" s="5">
        <v>203</v>
      </c>
      <c r="I13" s="4" t="s">
        <v>355</v>
      </c>
      <c r="J13" s="86">
        <f t="shared" si="0"/>
        <v>302.3</v>
      </c>
      <c r="K13" s="5">
        <v>302.3</v>
      </c>
      <c r="L13" s="87">
        <f t="shared" si="1"/>
        <v>499</v>
      </c>
    </row>
    <row r="14" spans="1:20">
      <c r="A14" s="271">
        <v>350</v>
      </c>
      <c r="F14" s="4" t="s">
        <v>324</v>
      </c>
      <c r="G14" s="5">
        <v>204</v>
      </c>
      <c r="I14" s="4" t="s">
        <v>356</v>
      </c>
      <c r="J14" s="86">
        <f t="shared" si="0"/>
        <v>302.3</v>
      </c>
      <c r="K14" s="5">
        <v>302.3</v>
      </c>
      <c r="L14" s="87">
        <f t="shared" si="1"/>
        <v>499</v>
      </c>
    </row>
    <row r="15" spans="1:20">
      <c r="F15" s="4" t="s">
        <v>325</v>
      </c>
      <c r="G15" s="5">
        <v>204</v>
      </c>
      <c r="I15" s="4" t="s">
        <v>357</v>
      </c>
      <c r="J15" s="86">
        <f t="shared" si="0"/>
        <v>302.3</v>
      </c>
      <c r="K15" s="5">
        <v>302.3</v>
      </c>
      <c r="L15" s="87">
        <f t="shared" si="1"/>
        <v>499</v>
      </c>
    </row>
    <row r="16" spans="1:20">
      <c r="F16" s="4" t="s">
        <v>326</v>
      </c>
      <c r="G16" s="5">
        <v>204</v>
      </c>
      <c r="I16" s="4" t="s">
        <v>358</v>
      </c>
      <c r="J16" s="86">
        <f t="shared" si="0"/>
        <v>302.3</v>
      </c>
      <c r="K16" s="5">
        <v>302.3</v>
      </c>
      <c r="L16" s="87">
        <f t="shared" si="1"/>
        <v>499</v>
      </c>
    </row>
    <row r="17" spans="4:12">
      <c r="F17" s="4" t="s">
        <v>327</v>
      </c>
      <c r="G17" s="5">
        <v>204</v>
      </c>
      <c r="I17" s="4" t="s">
        <v>359</v>
      </c>
      <c r="J17" s="86">
        <f t="shared" si="0"/>
        <v>309</v>
      </c>
      <c r="K17" s="5">
        <v>309</v>
      </c>
      <c r="L17" s="87">
        <f t="shared" si="1"/>
        <v>499</v>
      </c>
    </row>
    <row r="18" spans="4:12">
      <c r="D18" s="82"/>
      <c r="F18" s="4" t="s">
        <v>328</v>
      </c>
      <c r="G18" s="5">
        <v>206</v>
      </c>
      <c r="I18" s="4" t="s">
        <v>360</v>
      </c>
      <c r="J18" s="86">
        <f t="shared" si="0"/>
        <v>308</v>
      </c>
      <c r="K18" s="5">
        <v>308</v>
      </c>
      <c r="L18" s="87">
        <f t="shared" si="1"/>
        <v>499</v>
      </c>
    </row>
    <row r="19" spans="4:12">
      <c r="D19" s="82"/>
      <c r="F19" s="4" t="s">
        <v>329</v>
      </c>
      <c r="G19" s="5">
        <v>206</v>
      </c>
      <c r="I19" s="4" t="s">
        <v>361</v>
      </c>
      <c r="J19" s="86">
        <f t="shared" si="0"/>
        <v>307</v>
      </c>
      <c r="K19" s="5">
        <v>307</v>
      </c>
      <c r="L19" s="87">
        <f t="shared" si="1"/>
        <v>499</v>
      </c>
    </row>
    <row r="20" spans="4:12">
      <c r="D20" s="82"/>
      <c r="F20" s="4" t="s">
        <v>330</v>
      </c>
      <c r="G20" s="5">
        <v>206</v>
      </c>
      <c r="I20" s="4" t="s">
        <v>362</v>
      </c>
      <c r="J20" s="86">
        <f t="shared" si="0"/>
        <v>303.10000000000002</v>
      </c>
      <c r="K20" s="5">
        <v>303.10000000000002</v>
      </c>
      <c r="L20" s="87">
        <f t="shared" si="1"/>
        <v>303.10000000000002</v>
      </c>
    </row>
    <row r="21" spans="4:12">
      <c r="D21" s="82"/>
      <c r="F21" s="4" t="s">
        <v>331</v>
      </c>
      <c r="G21" s="5">
        <v>205</v>
      </c>
      <c r="I21" s="4" t="s">
        <v>363</v>
      </c>
      <c r="J21" s="86">
        <f t="shared" si="0"/>
        <v>303.3</v>
      </c>
      <c r="K21" s="5">
        <v>303.3</v>
      </c>
      <c r="L21" s="87">
        <f t="shared" si="1"/>
        <v>499</v>
      </c>
    </row>
    <row r="22" spans="4:12">
      <c r="D22" s="82"/>
      <c r="F22" s="4" t="s">
        <v>332</v>
      </c>
      <c r="G22" s="5">
        <v>205</v>
      </c>
      <c r="I22" s="4" t="s">
        <v>364</v>
      </c>
      <c r="J22" s="86">
        <f t="shared" si="0"/>
        <v>303.3</v>
      </c>
      <c r="K22" s="5">
        <v>303.3</v>
      </c>
      <c r="L22" s="87">
        <f t="shared" si="1"/>
        <v>499</v>
      </c>
    </row>
    <row r="23" spans="4:12">
      <c r="D23" s="82"/>
      <c r="F23" s="4" t="s">
        <v>333</v>
      </c>
      <c r="G23" s="5">
        <v>205</v>
      </c>
      <c r="I23" s="4" t="s">
        <v>365</v>
      </c>
      <c r="J23" s="86">
        <f t="shared" si="0"/>
        <v>303.3</v>
      </c>
      <c r="K23" s="5">
        <v>303.3</v>
      </c>
      <c r="L23" s="87">
        <f t="shared" si="1"/>
        <v>499</v>
      </c>
    </row>
    <row r="24" spans="4:12">
      <c r="D24" s="82"/>
      <c r="F24" s="4" t="s">
        <v>334</v>
      </c>
      <c r="G24" s="5">
        <v>205</v>
      </c>
      <c r="I24" s="4" t="s">
        <v>366</v>
      </c>
      <c r="J24" s="86">
        <f t="shared" si="0"/>
        <v>303.3</v>
      </c>
      <c r="K24" s="5">
        <v>303.3</v>
      </c>
      <c r="L24" s="87">
        <f t="shared" si="1"/>
        <v>499</v>
      </c>
    </row>
    <row r="25" spans="4:12">
      <c r="F25" s="4" t="s">
        <v>335</v>
      </c>
      <c r="G25" s="5">
        <v>201</v>
      </c>
      <c r="I25" s="4" t="s">
        <v>367</v>
      </c>
      <c r="J25" s="86">
        <f t="shared" si="0"/>
        <v>301.2</v>
      </c>
      <c r="K25" s="5">
        <v>301.2</v>
      </c>
      <c r="L25" s="87">
        <f t="shared" si="1"/>
        <v>499</v>
      </c>
    </row>
    <row r="26" spans="4:12">
      <c r="F26" s="4" t="s">
        <v>336</v>
      </c>
      <c r="G26" s="5">
        <v>201</v>
      </c>
      <c r="I26" s="4" t="s">
        <v>368</v>
      </c>
      <c r="J26" s="86">
        <f t="shared" si="0"/>
        <v>309</v>
      </c>
      <c r="K26" s="5">
        <v>309</v>
      </c>
      <c r="L26" s="87">
        <f t="shared" si="1"/>
        <v>499</v>
      </c>
    </row>
    <row r="27" spans="4:12">
      <c r="F27" s="4" t="s">
        <v>337</v>
      </c>
      <c r="G27" s="5">
        <v>204</v>
      </c>
      <c r="I27" s="4" t="s">
        <v>369</v>
      </c>
      <c r="J27" s="86">
        <f t="shared" si="0"/>
        <v>308</v>
      </c>
      <c r="K27" s="5">
        <v>308</v>
      </c>
      <c r="L27" s="87">
        <f t="shared" si="1"/>
        <v>499</v>
      </c>
    </row>
    <row r="28" spans="4:12">
      <c r="F28" s="4" t="s">
        <v>338</v>
      </c>
      <c r="G28" s="5">
        <v>202</v>
      </c>
      <c r="I28" s="4" t="s">
        <v>370</v>
      </c>
      <c r="J28" s="86">
        <f t="shared" si="0"/>
        <v>307</v>
      </c>
      <c r="K28" s="5">
        <v>307</v>
      </c>
      <c r="L28" s="87">
        <f t="shared" si="1"/>
        <v>499</v>
      </c>
    </row>
    <row r="29" spans="4:12">
      <c r="F29" s="4" t="s">
        <v>339</v>
      </c>
      <c r="G29" s="5">
        <v>203</v>
      </c>
      <c r="I29" s="4" t="s">
        <v>371</v>
      </c>
      <c r="J29" s="86">
        <f t="shared" si="0"/>
        <v>304.10000000000002</v>
      </c>
      <c r="K29" s="5">
        <v>304.10000000000002</v>
      </c>
      <c r="L29" s="87">
        <f t="shared" si="1"/>
        <v>304.10000000000002</v>
      </c>
    </row>
    <row r="30" spans="4:12">
      <c r="F30" s="4" t="s">
        <v>340</v>
      </c>
      <c r="G30" s="5">
        <v>203</v>
      </c>
      <c r="I30" s="4" t="s">
        <v>372</v>
      </c>
      <c r="J30" s="86">
        <f t="shared" si="0"/>
        <v>304.3</v>
      </c>
      <c r="K30" s="5">
        <v>304.3</v>
      </c>
      <c r="L30" s="87">
        <f t="shared" si="1"/>
        <v>499</v>
      </c>
    </row>
    <row r="31" spans="4:12">
      <c r="F31" s="4" t="s">
        <v>341</v>
      </c>
      <c r="G31" s="5">
        <v>204</v>
      </c>
      <c r="I31" s="4" t="s">
        <v>373</v>
      </c>
      <c r="J31" s="86">
        <f t="shared" si="0"/>
        <v>310</v>
      </c>
      <c r="K31" s="5">
        <v>310</v>
      </c>
      <c r="L31" s="87">
        <f t="shared" si="1"/>
        <v>499</v>
      </c>
    </row>
    <row r="32" spans="4:12">
      <c r="F32" s="4" t="s">
        <v>342</v>
      </c>
      <c r="G32" s="5">
        <v>205</v>
      </c>
      <c r="I32" s="4" t="s">
        <v>374</v>
      </c>
      <c r="J32" s="86">
        <f t="shared" si="0"/>
        <v>310</v>
      </c>
      <c r="K32" s="5">
        <v>310</v>
      </c>
      <c r="L32" s="87">
        <f t="shared" si="1"/>
        <v>499</v>
      </c>
    </row>
    <row r="33" spans="6:12">
      <c r="F33" s="4" t="s">
        <v>343</v>
      </c>
      <c r="G33" s="5">
        <v>205</v>
      </c>
      <c r="I33" s="4" t="s">
        <v>375</v>
      </c>
      <c r="J33" s="86">
        <f t="shared" si="0"/>
        <v>309</v>
      </c>
      <c r="K33" s="5">
        <v>309</v>
      </c>
      <c r="L33" s="87">
        <f t="shared" si="1"/>
        <v>499</v>
      </c>
    </row>
    <row r="34" spans="6:12">
      <c r="F34" s="4" t="s">
        <v>344</v>
      </c>
      <c r="G34" s="5">
        <v>205</v>
      </c>
      <c r="I34" s="4" t="s">
        <v>376</v>
      </c>
      <c r="J34" s="86">
        <f t="shared" si="0"/>
        <v>308</v>
      </c>
      <c r="K34" s="5">
        <v>308</v>
      </c>
      <c r="L34" s="87">
        <f t="shared" si="1"/>
        <v>499</v>
      </c>
    </row>
    <row r="35" spans="6:12">
      <c r="F35" s="4" t="s">
        <v>524</v>
      </c>
      <c r="G35" s="5">
        <v>222</v>
      </c>
      <c r="I35" s="4" t="s">
        <v>377</v>
      </c>
      <c r="J35" s="86">
        <f t="shared" ref="J35:J66" si="3">IF(USE_WAGE_CODING,L35,K35)</f>
        <v>307</v>
      </c>
      <c r="K35" s="5">
        <v>307</v>
      </c>
      <c r="L35" s="87">
        <f t="shared" si="1"/>
        <v>499</v>
      </c>
    </row>
    <row r="36" spans="6:12">
      <c r="I36" s="4" t="s">
        <v>378</v>
      </c>
      <c r="J36" s="86">
        <f t="shared" si="3"/>
        <v>312.10000000000002</v>
      </c>
      <c r="K36" s="5">
        <v>312.10000000000002</v>
      </c>
      <c r="L36" s="87">
        <f t="shared" si="1"/>
        <v>312.10000000000002</v>
      </c>
    </row>
    <row r="37" spans="6:12">
      <c r="I37" s="4" t="s">
        <v>379</v>
      </c>
      <c r="J37" s="86">
        <f t="shared" si="3"/>
        <v>312.3</v>
      </c>
      <c r="K37" s="5">
        <v>312.3</v>
      </c>
      <c r="L37" s="87">
        <f t="shared" si="1"/>
        <v>499</v>
      </c>
    </row>
    <row r="38" spans="6:12">
      <c r="I38" s="4" t="s">
        <v>380</v>
      </c>
      <c r="J38" s="86">
        <f t="shared" si="3"/>
        <v>312.3</v>
      </c>
      <c r="K38" s="5">
        <v>312.3</v>
      </c>
      <c r="L38" s="87">
        <f t="shared" si="1"/>
        <v>499</v>
      </c>
    </row>
    <row r="39" spans="6:12">
      <c r="I39" s="4" t="s">
        <v>381</v>
      </c>
      <c r="J39" s="86">
        <f t="shared" si="3"/>
        <v>312.3</v>
      </c>
      <c r="K39" s="5">
        <v>312.3</v>
      </c>
      <c r="L39" s="87">
        <f t="shared" si="1"/>
        <v>499</v>
      </c>
    </row>
    <row r="40" spans="6:12">
      <c r="I40" s="4" t="s">
        <v>382</v>
      </c>
      <c r="J40" s="86">
        <f t="shared" si="3"/>
        <v>312.3</v>
      </c>
      <c r="K40" s="5">
        <v>312.3</v>
      </c>
      <c r="L40" s="87">
        <f t="shared" si="1"/>
        <v>499</v>
      </c>
    </row>
    <row r="41" spans="6:12">
      <c r="I41" s="4" t="s">
        <v>383</v>
      </c>
      <c r="J41" s="86">
        <f t="shared" si="3"/>
        <v>992</v>
      </c>
      <c r="K41" s="5">
        <v>992</v>
      </c>
      <c r="L41" s="87">
        <f t="shared" si="1"/>
        <v>992</v>
      </c>
    </row>
    <row r="42" spans="6:12">
      <c r="I42" s="4" t="s">
        <v>384</v>
      </c>
      <c r="J42" s="86">
        <f t="shared" si="3"/>
        <v>312.3</v>
      </c>
      <c r="K42" s="5">
        <v>312.3</v>
      </c>
      <c r="L42" s="87">
        <f t="shared" si="1"/>
        <v>499</v>
      </c>
    </row>
    <row r="43" spans="6:12">
      <c r="I43" s="4" t="s">
        <v>385</v>
      </c>
      <c r="J43" s="86">
        <f t="shared" si="3"/>
        <v>321.2</v>
      </c>
      <c r="K43" s="5">
        <v>321.2</v>
      </c>
      <c r="L43" s="87">
        <f t="shared" si="1"/>
        <v>499</v>
      </c>
    </row>
    <row r="44" spans="6:12">
      <c r="I44" s="4" t="s">
        <v>386</v>
      </c>
      <c r="J44" s="86">
        <f t="shared" si="3"/>
        <v>321.2</v>
      </c>
      <c r="K44" s="5">
        <v>321.2</v>
      </c>
      <c r="L44" s="87">
        <f t="shared" si="1"/>
        <v>499</v>
      </c>
    </row>
    <row r="45" spans="6:12">
      <c r="I45" s="4" t="s">
        <v>387</v>
      </c>
      <c r="J45" s="86">
        <f t="shared" si="3"/>
        <v>321.2</v>
      </c>
      <c r="K45" s="5">
        <v>321.2</v>
      </c>
      <c r="L45" s="87">
        <f t="shared" si="1"/>
        <v>499</v>
      </c>
    </row>
    <row r="46" spans="6:12">
      <c r="I46" s="4" t="s">
        <v>388</v>
      </c>
      <c r="J46" s="86">
        <f t="shared" si="3"/>
        <v>313</v>
      </c>
      <c r="K46" s="5">
        <v>313</v>
      </c>
      <c r="L46" s="87">
        <f t="shared" si="1"/>
        <v>499</v>
      </c>
    </row>
    <row r="47" spans="6:12">
      <c r="I47" s="4" t="s">
        <v>389</v>
      </c>
      <c r="J47" s="86">
        <f t="shared" si="3"/>
        <v>313</v>
      </c>
      <c r="K47" s="5">
        <v>313</v>
      </c>
      <c r="L47" s="87">
        <f t="shared" si="1"/>
        <v>499</v>
      </c>
    </row>
    <row r="48" spans="6:12">
      <c r="I48" s="4" t="s">
        <v>390</v>
      </c>
      <c r="J48" s="86">
        <f t="shared" si="3"/>
        <v>313</v>
      </c>
      <c r="K48" s="5">
        <v>313</v>
      </c>
      <c r="L48" s="87">
        <f t="shared" si="1"/>
        <v>499</v>
      </c>
    </row>
    <row r="49" spans="9:12">
      <c r="I49" s="4" t="s">
        <v>391</v>
      </c>
      <c r="J49" s="86">
        <f t="shared" si="3"/>
        <v>313</v>
      </c>
      <c r="K49" s="5">
        <v>313</v>
      </c>
      <c r="L49" s="87">
        <f t="shared" si="1"/>
        <v>499</v>
      </c>
    </row>
    <row r="50" spans="9:12">
      <c r="I50" s="4" t="s">
        <v>392</v>
      </c>
      <c r="J50" s="86">
        <f t="shared" si="3"/>
        <v>990</v>
      </c>
      <c r="K50" s="5">
        <v>990</v>
      </c>
      <c r="L50" s="87">
        <f t="shared" si="1"/>
        <v>990</v>
      </c>
    </row>
    <row r="51" spans="9:12">
      <c r="I51" s="4" t="s">
        <v>393</v>
      </c>
      <c r="J51" s="86">
        <f t="shared" si="3"/>
        <v>306.3</v>
      </c>
      <c r="K51" s="5">
        <v>306.3</v>
      </c>
      <c r="L51" s="87">
        <f t="shared" si="1"/>
        <v>499</v>
      </c>
    </row>
    <row r="52" spans="9:12">
      <c r="I52" s="4" t="s">
        <v>394</v>
      </c>
      <c r="J52" s="86">
        <f t="shared" si="3"/>
        <v>305.3</v>
      </c>
      <c r="K52" s="5">
        <v>305.3</v>
      </c>
      <c r="L52" s="87">
        <f t="shared" si="1"/>
        <v>499</v>
      </c>
    </row>
    <row r="53" spans="9:12">
      <c r="I53" s="4" t="s">
        <v>395</v>
      </c>
      <c r="J53" s="86">
        <f t="shared" si="3"/>
        <v>305.10000000000002</v>
      </c>
      <c r="K53" s="5">
        <v>305.10000000000002</v>
      </c>
      <c r="L53" s="87">
        <f t="shared" si="1"/>
        <v>305.10000000000002</v>
      </c>
    </row>
    <row r="54" spans="9:12">
      <c r="I54" s="4" t="s">
        <v>396</v>
      </c>
      <c r="J54" s="86">
        <f t="shared" si="3"/>
        <v>305.3</v>
      </c>
      <c r="K54" s="5">
        <v>305.3</v>
      </c>
      <c r="L54" s="87">
        <f t="shared" si="1"/>
        <v>499</v>
      </c>
    </row>
    <row r="55" spans="9:12">
      <c r="I55" s="4" t="s">
        <v>397</v>
      </c>
      <c r="J55" s="86">
        <f t="shared" si="3"/>
        <v>305.3</v>
      </c>
      <c r="K55" s="5">
        <v>305.3</v>
      </c>
      <c r="L55" s="87">
        <f t="shared" si="1"/>
        <v>499</v>
      </c>
    </row>
    <row r="56" spans="9:12">
      <c r="I56" s="4" t="s">
        <v>398</v>
      </c>
      <c r="J56" s="86">
        <f t="shared" si="3"/>
        <v>305.3</v>
      </c>
      <c r="K56" s="5">
        <v>305.3</v>
      </c>
      <c r="L56" s="87">
        <f t="shared" si="1"/>
        <v>499</v>
      </c>
    </row>
    <row r="57" spans="9:12">
      <c r="I57" s="4" t="s">
        <v>399</v>
      </c>
      <c r="J57" s="86">
        <f t="shared" si="3"/>
        <v>305.3</v>
      </c>
      <c r="K57" s="5">
        <v>305.3</v>
      </c>
      <c r="L57" s="87">
        <f t="shared" si="1"/>
        <v>499</v>
      </c>
    </row>
    <row r="58" spans="9:12">
      <c r="I58" s="4" t="s">
        <v>400</v>
      </c>
      <c r="J58" s="86">
        <f t="shared" si="3"/>
        <v>308</v>
      </c>
      <c r="K58" s="5">
        <v>308</v>
      </c>
      <c r="L58" s="87">
        <f t="shared" si="1"/>
        <v>499</v>
      </c>
    </row>
    <row r="59" spans="9:12">
      <c r="I59" s="4" t="s">
        <v>401</v>
      </c>
      <c r="J59" s="86">
        <f t="shared" si="3"/>
        <v>308</v>
      </c>
      <c r="K59" s="5">
        <v>308</v>
      </c>
      <c r="L59" s="87">
        <f t="shared" si="1"/>
        <v>499</v>
      </c>
    </row>
    <row r="60" spans="9:12">
      <c r="I60" s="4" t="s">
        <v>402</v>
      </c>
      <c r="J60" s="86">
        <f t="shared" si="3"/>
        <v>309</v>
      </c>
      <c r="K60" s="5">
        <v>309</v>
      </c>
      <c r="L60" s="87">
        <f t="shared" si="1"/>
        <v>499</v>
      </c>
    </row>
    <row r="61" spans="9:12">
      <c r="I61" s="4" t="s">
        <v>403</v>
      </c>
      <c r="J61" s="86">
        <f t="shared" si="3"/>
        <v>308</v>
      </c>
      <c r="K61" s="5">
        <v>308</v>
      </c>
      <c r="L61" s="87">
        <f t="shared" si="1"/>
        <v>499</v>
      </c>
    </row>
    <row r="62" spans="9:12">
      <c r="I62" s="4" t="s">
        <v>404</v>
      </c>
      <c r="J62" s="86">
        <f t="shared" si="3"/>
        <v>307</v>
      </c>
      <c r="K62" s="5">
        <v>307</v>
      </c>
      <c r="L62" s="87">
        <f t="shared" si="1"/>
        <v>499</v>
      </c>
    </row>
    <row r="63" spans="9:12">
      <c r="I63" s="4" t="s">
        <v>405</v>
      </c>
      <c r="J63" s="86">
        <f t="shared" si="3"/>
        <v>306.10000000000002</v>
      </c>
      <c r="K63" s="5">
        <v>306.10000000000002</v>
      </c>
      <c r="L63" s="87">
        <f t="shared" si="1"/>
        <v>306.10000000000002</v>
      </c>
    </row>
    <row r="64" spans="9:12">
      <c r="I64" s="4" t="s">
        <v>406</v>
      </c>
      <c r="J64" s="86">
        <f t="shared" si="3"/>
        <v>306.3</v>
      </c>
      <c r="K64" s="5">
        <v>306.3</v>
      </c>
      <c r="L64" s="87">
        <f t="shared" si="1"/>
        <v>499</v>
      </c>
    </row>
    <row r="65" spans="9:12">
      <c r="I65" s="4" t="s">
        <v>407</v>
      </c>
      <c r="J65" s="86">
        <f t="shared" si="3"/>
        <v>306.3</v>
      </c>
      <c r="K65" s="5">
        <v>306.3</v>
      </c>
      <c r="L65" s="87">
        <f t="shared" si="1"/>
        <v>499</v>
      </c>
    </row>
    <row r="66" spans="9:12">
      <c r="I66" s="4" t="s">
        <v>408</v>
      </c>
      <c r="J66" s="86">
        <f t="shared" si="3"/>
        <v>306.3</v>
      </c>
      <c r="K66" s="5">
        <v>306.3</v>
      </c>
      <c r="L66" s="87">
        <f t="shared" si="1"/>
        <v>499</v>
      </c>
    </row>
    <row r="67" spans="9:12">
      <c r="I67" s="4" t="s">
        <v>409</v>
      </c>
      <c r="J67" s="86">
        <f t="shared" ref="J67:J91" si="4">IF(USE_WAGE_CODING,L67,K67)</f>
        <v>306.3</v>
      </c>
      <c r="K67" s="5">
        <v>306.3</v>
      </c>
      <c r="L67" s="87">
        <f t="shared" si="1"/>
        <v>499</v>
      </c>
    </row>
    <row r="68" spans="9:12">
      <c r="I68" s="4" t="s">
        <v>410</v>
      </c>
      <c r="J68" s="86">
        <f t="shared" si="4"/>
        <v>306.3</v>
      </c>
      <c r="K68" s="5">
        <v>306.3</v>
      </c>
      <c r="L68" s="87">
        <f t="shared" ref="L68:L91" si="5">IF(OR(K68&gt;400,(AND(LEN(K68)&gt;0,RIGHT(K68,2)=".1"))),K68,499)</f>
        <v>499</v>
      </c>
    </row>
    <row r="69" spans="9:12">
      <c r="I69" s="4" t="s">
        <v>411</v>
      </c>
      <c r="J69" s="86">
        <f t="shared" si="4"/>
        <v>306.3</v>
      </c>
      <c r="K69" s="5">
        <v>306.3</v>
      </c>
      <c r="L69" s="87">
        <f t="shared" si="5"/>
        <v>499</v>
      </c>
    </row>
    <row r="70" spans="9:12">
      <c r="I70" s="4" t="s">
        <v>412</v>
      </c>
      <c r="J70" s="86">
        <f t="shared" si="4"/>
        <v>306.3</v>
      </c>
      <c r="K70" s="5">
        <v>306.3</v>
      </c>
      <c r="L70" s="87">
        <f t="shared" si="5"/>
        <v>499</v>
      </c>
    </row>
    <row r="71" spans="9:12">
      <c r="I71" s="4" t="s">
        <v>413</v>
      </c>
      <c r="J71" s="86">
        <f t="shared" si="4"/>
        <v>306.3</v>
      </c>
      <c r="K71" s="5">
        <v>306.3</v>
      </c>
      <c r="L71" s="87">
        <f t="shared" si="5"/>
        <v>499</v>
      </c>
    </row>
    <row r="72" spans="9:12">
      <c r="I72" s="4" t="s">
        <v>414</v>
      </c>
      <c r="J72" s="86">
        <f t="shared" si="4"/>
        <v>306.3</v>
      </c>
      <c r="K72" s="5">
        <v>306.3</v>
      </c>
      <c r="L72" s="87">
        <f t="shared" si="5"/>
        <v>499</v>
      </c>
    </row>
    <row r="73" spans="9:12">
      <c r="I73" s="4" t="s">
        <v>415</v>
      </c>
      <c r="J73" s="86">
        <f t="shared" si="4"/>
        <v>306.3</v>
      </c>
      <c r="K73" s="5">
        <v>306.3</v>
      </c>
      <c r="L73" s="87">
        <f t="shared" si="5"/>
        <v>499</v>
      </c>
    </row>
    <row r="74" spans="9:12">
      <c r="I74" s="4" t="s">
        <v>416</v>
      </c>
      <c r="J74" s="86">
        <f t="shared" si="4"/>
        <v>306.3</v>
      </c>
      <c r="K74" s="5">
        <v>306.3</v>
      </c>
      <c r="L74" s="87">
        <f t="shared" si="5"/>
        <v>499</v>
      </c>
    </row>
    <row r="75" spans="9:12">
      <c r="I75" s="4" t="s">
        <v>417</v>
      </c>
      <c r="J75" s="86">
        <f t="shared" si="4"/>
        <v>306.3</v>
      </c>
      <c r="K75" s="5">
        <v>306.3</v>
      </c>
      <c r="L75" s="87">
        <f t="shared" si="5"/>
        <v>499</v>
      </c>
    </row>
    <row r="76" spans="9:12">
      <c r="I76" s="4" t="s">
        <v>418</v>
      </c>
      <c r="J76" s="86">
        <f t="shared" si="4"/>
        <v>306.3</v>
      </c>
      <c r="K76" s="5">
        <v>306.3</v>
      </c>
      <c r="L76" s="87">
        <f t="shared" si="5"/>
        <v>499</v>
      </c>
    </row>
    <row r="77" spans="9:12">
      <c r="I77" s="4" t="s">
        <v>419</v>
      </c>
      <c r="J77" s="86">
        <f t="shared" si="4"/>
        <v>306.3</v>
      </c>
      <c r="K77" s="5">
        <v>306.3</v>
      </c>
      <c r="L77" s="87">
        <f t="shared" si="5"/>
        <v>499</v>
      </c>
    </row>
    <row r="78" spans="9:12">
      <c r="I78" s="4" t="s">
        <v>420</v>
      </c>
      <c r="J78" s="86">
        <f t="shared" si="4"/>
        <v>306.3</v>
      </c>
      <c r="K78" s="5">
        <v>306.3</v>
      </c>
      <c r="L78" s="87">
        <f t="shared" si="5"/>
        <v>499</v>
      </c>
    </row>
    <row r="79" spans="9:12">
      <c r="I79" s="4" t="s">
        <v>421</v>
      </c>
      <c r="J79" s="86">
        <f t="shared" si="4"/>
        <v>991</v>
      </c>
      <c r="K79" s="5">
        <v>991</v>
      </c>
      <c r="L79" s="87">
        <f t="shared" si="5"/>
        <v>991</v>
      </c>
    </row>
    <row r="80" spans="9:12">
      <c r="I80" s="4" t="s">
        <v>422</v>
      </c>
      <c r="J80" s="86">
        <f t="shared" si="4"/>
        <v>306.3</v>
      </c>
      <c r="K80" s="5">
        <v>306.3</v>
      </c>
      <c r="L80" s="87">
        <f t="shared" si="5"/>
        <v>499</v>
      </c>
    </row>
    <row r="81" spans="9:12">
      <c r="I81" s="4" t="s">
        <v>423</v>
      </c>
      <c r="J81" s="86">
        <f t="shared" si="4"/>
        <v>990</v>
      </c>
      <c r="K81" s="5">
        <v>990</v>
      </c>
      <c r="L81" s="87">
        <f t="shared" si="5"/>
        <v>990</v>
      </c>
    </row>
    <row r="82" spans="9:12">
      <c r="I82" s="4" t="s">
        <v>424</v>
      </c>
      <c r="J82" s="86">
        <f t="shared" si="4"/>
        <v>306.3</v>
      </c>
      <c r="K82" s="5">
        <v>306.3</v>
      </c>
      <c r="L82" s="87">
        <f t="shared" si="5"/>
        <v>499</v>
      </c>
    </row>
    <row r="83" spans="9:12">
      <c r="I83" s="4" t="s">
        <v>425</v>
      </c>
      <c r="J83" s="86">
        <f t="shared" si="4"/>
        <v>312.3</v>
      </c>
      <c r="K83" s="5">
        <v>312.3</v>
      </c>
      <c r="L83" s="87">
        <f t="shared" si="5"/>
        <v>499</v>
      </c>
    </row>
    <row r="84" spans="9:12">
      <c r="I84" s="4" t="s">
        <v>426</v>
      </c>
      <c r="J84" s="86">
        <f t="shared" si="4"/>
        <v>312.3</v>
      </c>
      <c r="K84" s="5">
        <v>312.3</v>
      </c>
      <c r="L84" s="87">
        <f t="shared" si="5"/>
        <v>499</v>
      </c>
    </row>
    <row r="85" spans="9:12">
      <c r="I85" s="4" t="s">
        <v>427</v>
      </c>
      <c r="J85" s="86">
        <f t="shared" si="4"/>
        <v>312.3</v>
      </c>
      <c r="K85" s="5">
        <v>312.3</v>
      </c>
      <c r="L85" s="87">
        <f t="shared" si="5"/>
        <v>499</v>
      </c>
    </row>
    <row r="86" spans="9:12">
      <c r="I86" s="4" t="s">
        <v>428</v>
      </c>
      <c r="J86" s="86">
        <f t="shared" si="4"/>
        <v>312.3</v>
      </c>
      <c r="K86" s="5">
        <v>312.3</v>
      </c>
      <c r="L86" s="87">
        <f t="shared" si="5"/>
        <v>499</v>
      </c>
    </row>
    <row r="87" spans="9:12">
      <c r="I87" s="4" t="s">
        <v>429</v>
      </c>
      <c r="J87" s="86">
        <f t="shared" si="4"/>
        <v>312.3</v>
      </c>
      <c r="K87" s="5">
        <v>312.3</v>
      </c>
      <c r="L87" s="87">
        <f t="shared" si="5"/>
        <v>499</v>
      </c>
    </row>
    <row r="88" spans="9:12">
      <c r="I88" s="4" t="s">
        <v>430</v>
      </c>
      <c r="J88" s="86">
        <f t="shared" si="4"/>
        <v>312.3</v>
      </c>
      <c r="K88" s="5">
        <v>312.3</v>
      </c>
      <c r="L88" s="87">
        <f t="shared" si="5"/>
        <v>499</v>
      </c>
    </row>
    <row r="89" spans="9:12">
      <c r="I89" s="4" t="s">
        <v>431</v>
      </c>
      <c r="J89" s="86">
        <f t="shared" si="4"/>
        <v>312.3</v>
      </c>
      <c r="K89" s="5">
        <v>312.3</v>
      </c>
      <c r="L89" s="87">
        <f t="shared" si="5"/>
        <v>499</v>
      </c>
    </row>
    <row r="90" spans="9:12">
      <c r="I90" s="4" t="s">
        <v>432</v>
      </c>
      <c r="J90" s="86">
        <f t="shared" si="4"/>
        <v>990</v>
      </c>
      <c r="K90" s="5">
        <v>990</v>
      </c>
      <c r="L90" s="87">
        <f t="shared" si="5"/>
        <v>990</v>
      </c>
    </row>
    <row r="91" spans="9:12">
      <c r="I91" s="4" t="s">
        <v>433</v>
      </c>
      <c r="J91" s="86">
        <f t="shared" si="4"/>
        <v>990</v>
      </c>
      <c r="K91" s="5">
        <v>990</v>
      </c>
      <c r="L91" s="87">
        <f t="shared" si="5"/>
        <v>990</v>
      </c>
    </row>
    <row r="92" spans="9:12">
      <c r="I92" s="4" t="s">
        <v>434</v>
      </c>
      <c r="J92" s="86">
        <f t="shared" ref="J92:J155" si="6">IF(USE_WAGE_CODING,L92,K92)</f>
        <v>990</v>
      </c>
      <c r="K92" s="5">
        <v>990</v>
      </c>
      <c r="L92" s="87">
        <f t="shared" ref="L92:L155" si="7">IF(OR(K92&gt;400,(AND(LEN(K92)&gt;0,RIGHT(K92,2)=".1"))),K92,499)</f>
        <v>990</v>
      </c>
    </row>
    <row r="93" spans="9:12">
      <c r="I93" s="4" t="s">
        <v>435</v>
      </c>
      <c r="J93" s="86">
        <f t="shared" si="6"/>
        <v>990</v>
      </c>
      <c r="K93" s="5">
        <v>990</v>
      </c>
      <c r="L93" s="87">
        <f t="shared" si="7"/>
        <v>990</v>
      </c>
    </row>
    <row r="94" spans="9:12">
      <c r="I94" s="4" t="s">
        <v>436</v>
      </c>
      <c r="J94" s="86">
        <f t="shared" si="6"/>
        <v>309</v>
      </c>
      <c r="K94" s="5">
        <v>309</v>
      </c>
      <c r="L94" s="87">
        <f t="shared" si="7"/>
        <v>499</v>
      </c>
    </row>
    <row r="95" spans="9:12">
      <c r="I95" s="4" t="s">
        <v>437</v>
      </c>
      <c r="J95" s="86">
        <f t="shared" si="6"/>
        <v>308</v>
      </c>
      <c r="K95" s="5">
        <v>308</v>
      </c>
      <c r="L95" s="87">
        <f t="shared" si="7"/>
        <v>499</v>
      </c>
    </row>
    <row r="96" spans="9:12">
      <c r="I96" s="4" t="s">
        <v>438</v>
      </c>
      <c r="J96" s="86">
        <f t="shared" si="6"/>
        <v>301.10000000000002</v>
      </c>
      <c r="K96" s="5">
        <v>301.10000000000002</v>
      </c>
      <c r="L96" s="87">
        <f t="shared" si="7"/>
        <v>301.10000000000002</v>
      </c>
    </row>
    <row r="97" spans="9:12">
      <c r="I97" s="4" t="s">
        <v>439</v>
      </c>
      <c r="J97" s="86">
        <f t="shared" si="6"/>
        <v>301.3</v>
      </c>
      <c r="K97" s="5">
        <v>301.3</v>
      </c>
      <c r="L97" s="87">
        <f t="shared" si="7"/>
        <v>499</v>
      </c>
    </row>
    <row r="98" spans="9:12">
      <c r="I98" s="4" t="s">
        <v>440</v>
      </c>
      <c r="J98" s="86">
        <f t="shared" si="6"/>
        <v>301.3</v>
      </c>
      <c r="K98" s="5">
        <v>301.3</v>
      </c>
      <c r="L98" s="87">
        <f t="shared" si="7"/>
        <v>499</v>
      </c>
    </row>
    <row r="99" spans="9:12">
      <c r="I99" s="4" t="s">
        <v>441</v>
      </c>
      <c r="J99" s="86">
        <f t="shared" si="6"/>
        <v>302.3</v>
      </c>
      <c r="K99" s="5">
        <v>302.3</v>
      </c>
      <c r="L99" s="87">
        <f t="shared" si="7"/>
        <v>499</v>
      </c>
    </row>
    <row r="100" spans="9:12">
      <c r="I100" s="4" t="s">
        <v>442</v>
      </c>
      <c r="J100" s="86">
        <f t="shared" si="6"/>
        <v>302.3</v>
      </c>
      <c r="K100" s="5">
        <v>302.3</v>
      </c>
      <c r="L100" s="87">
        <f t="shared" si="7"/>
        <v>499</v>
      </c>
    </row>
    <row r="101" spans="9:12">
      <c r="I101" s="4" t="s">
        <v>443</v>
      </c>
      <c r="J101" s="86">
        <f t="shared" si="6"/>
        <v>302.3</v>
      </c>
      <c r="K101" s="5">
        <v>302.3</v>
      </c>
      <c r="L101" s="87">
        <f t="shared" si="7"/>
        <v>499</v>
      </c>
    </row>
    <row r="102" spans="9:12">
      <c r="I102" s="4" t="s">
        <v>444</v>
      </c>
      <c r="J102" s="86">
        <f t="shared" si="6"/>
        <v>309</v>
      </c>
      <c r="K102" s="5">
        <v>309</v>
      </c>
      <c r="L102" s="87">
        <f t="shared" si="7"/>
        <v>499</v>
      </c>
    </row>
    <row r="103" spans="9:12">
      <c r="I103" s="4" t="s">
        <v>445</v>
      </c>
      <c r="J103" s="86">
        <f t="shared" si="6"/>
        <v>308</v>
      </c>
      <c r="K103" s="5">
        <v>308</v>
      </c>
      <c r="L103" s="87">
        <f t="shared" si="7"/>
        <v>499</v>
      </c>
    </row>
    <row r="104" spans="9:12">
      <c r="I104" s="4" t="s">
        <v>446</v>
      </c>
      <c r="J104" s="86">
        <f t="shared" si="6"/>
        <v>303.10000000000002</v>
      </c>
      <c r="K104" s="5">
        <v>303.10000000000002</v>
      </c>
      <c r="L104" s="87">
        <f t="shared" si="7"/>
        <v>303.10000000000002</v>
      </c>
    </row>
    <row r="105" spans="9:12">
      <c r="I105" s="4" t="s">
        <v>447</v>
      </c>
      <c r="J105" s="86">
        <f t="shared" si="6"/>
        <v>303.3</v>
      </c>
      <c r="K105" s="5">
        <v>303.3</v>
      </c>
      <c r="L105" s="87">
        <f t="shared" si="7"/>
        <v>499</v>
      </c>
    </row>
    <row r="106" spans="9:12">
      <c r="I106" s="4" t="s">
        <v>448</v>
      </c>
      <c r="J106" s="86">
        <f t="shared" si="6"/>
        <v>303.3</v>
      </c>
      <c r="K106" s="5">
        <v>303.3</v>
      </c>
      <c r="L106" s="87">
        <f t="shared" si="7"/>
        <v>499</v>
      </c>
    </row>
    <row r="107" spans="9:12">
      <c r="I107" s="4" t="s">
        <v>449</v>
      </c>
      <c r="J107" s="86">
        <f t="shared" si="6"/>
        <v>309</v>
      </c>
      <c r="K107" s="5">
        <v>309</v>
      </c>
      <c r="L107" s="87">
        <f t="shared" si="7"/>
        <v>499</v>
      </c>
    </row>
    <row r="108" spans="9:12">
      <c r="I108" s="4" t="s">
        <v>450</v>
      </c>
      <c r="J108" s="86">
        <f t="shared" si="6"/>
        <v>308</v>
      </c>
      <c r="K108" s="5">
        <v>308</v>
      </c>
      <c r="L108" s="87">
        <f t="shared" si="7"/>
        <v>499</v>
      </c>
    </row>
    <row r="109" spans="9:12">
      <c r="I109" s="4" t="s">
        <v>451</v>
      </c>
      <c r="J109" s="86">
        <f t="shared" si="6"/>
        <v>307</v>
      </c>
      <c r="K109" s="5">
        <v>307</v>
      </c>
      <c r="L109" s="87">
        <f t="shared" si="7"/>
        <v>499</v>
      </c>
    </row>
    <row r="110" spans="9:12">
      <c r="I110" s="4" t="s">
        <v>452</v>
      </c>
      <c r="J110" s="86">
        <f t="shared" si="6"/>
        <v>304.10000000000002</v>
      </c>
      <c r="K110" s="5">
        <v>304.10000000000002</v>
      </c>
      <c r="L110" s="87">
        <f t="shared" si="7"/>
        <v>304.10000000000002</v>
      </c>
    </row>
    <row r="111" spans="9:12">
      <c r="I111" s="4" t="s">
        <v>453</v>
      </c>
      <c r="J111" s="86">
        <f t="shared" si="6"/>
        <v>304.3</v>
      </c>
      <c r="K111" s="5">
        <v>304.3</v>
      </c>
      <c r="L111" s="87">
        <f t="shared" si="7"/>
        <v>499</v>
      </c>
    </row>
    <row r="112" spans="9:12">
      <c r="I112" s="4" t="s">
        <v>454</v>
      </c>
      <c r="J112" s="86">
        <f t="shared" si="6"/>
        <v>310</v>
      </c>
      <c r="K112" s="5">
        <v>310</v>
      </c>
      <c r="L112" s="87">
        <f t="shared" si="7"/>
        <v>499</v>
      </c>
    </row>
    <row r="113" spans="9:12">
      <c r="I113" s="4" t="s">
        <v>455</v>
      </c>
      <c r="J113" s="86">
        <f t="shared" si="6"/>
        <v>312.3</v>
      </c>
      <c r="K113" s="5">
        <v>312.3</v>
      </c>
      <c r="L113" s="87">
        <f t="shared" si="7"/>
        <v>499</v>
      </c>
    </row>
    <row r="114" spans="9:12">
      <c r="I114" s="4" t="s">
        <v>456</v>
      </c>
      <c r="J114" s="86">
        <f t="shared" si="6"/>
        <v>321.2</v>
      </c>
      <c r="K114" s="5">
        <v>321.2</v>
      </c>
      <c r="L114" s="87">
        <f t="shared" si="7"/>
        <v>499</v>
      </c>
    </row>
    <row r="115" spans="9:12">
      <c r="I115" s="4" t="s">
        <v>457</v>
      </c>
      <c r="J115" s="86">
        <f t="shared" si="6"/>
        <v>321.2</v>
      </c>
      <c r="K115" s="5">
        <v>321.2</v>
      </c>
      <c r="L115" s="87">
        <f t="shared" si="7"/>
        <v>499</v>
      </c>
    </row>
    <row r="116" spans="9:12">
      <c r="I116" s="4" t="s">
        <v>458</v>
      </c>
      <c r="J116" s="86">
        <f t="shared" si="6"/>
        <v>321.2</v>
      </c>
      <c r="K116" s="5">
        <v>321.2</v>
      </c>
      <c r="L116" s="87">
        <f t="shared" si="7"/>
        <v>499</v>
      </c>
    </row>
    <row r="117" spans="9:12">
      <c r="I117" s="4" t="s">
        <v>459</v>
      </c>
      <c r="J117" s="86">
        <f t="shared" si="6"/>
        <v>312.3</v>
      </c>
      <c r="K117" s="5">
        <v>312.3</v>
      </c>
      <c r="L117" s="87">
        <f t="shared" si="7"/>
        <v>499</v>
      </c>
    </row>
    <row r="118" spans="9:12">
      <c r="I118" s="4" t="s">
        <v>460</v>
      </c>
      <c r="J118" s="86">
        <f t="shared" si="6"/>
        <v>312.3</v>
      </c>
      <c r="K118" s="5">
        <v>312.3</v>
      </c>
      <c r="L118" s="87">
        <f t="shared" si="7"/>
        <v>499</v>
      </c>
    </row>
    <row r="119" spans="9:12">
      <c r="I119" s="4" t="s">
        <v>461</v>
      </c>
      <c r="J119" s="86">
        <f t="shared" si="6"/>
        <v>990</v>
      </c>
      <c r="K119" s="5">
        <v>990</v>
      </c>
      <c r="L119" s="87">
        <f t="shared" si="7"/>
        <v>990</v>
      </c>
    </row>
    <row r="120" spans="9:12">
      <c r="I120" s="4" t="s">
        <v>462</v>
      </c>
      <c r="J120" s="86">
        <f t="shared" si="6"/>
        <v>306.3</v>
      </c>
      <c r="K120" s="5">
        <v>306.3</v>
      </c>
      <c r="L120" s="87">
        <f t="shared" si="7"/>
        <v>499</v>
      </c>
    </row>
    <row r="121" spans="9:12">
      <c r="I121" s="4" t="s">
        <v>463</v>
      </c>
      <c r="J121" s="86">
        <f t="shared" si="6"/>
        <v>305.3</v>
      </c>
      <c r="K121" s="5">
        <v>305.3</v>
      </c>
      <c r="L121" s="87">
        <f t="shared" si="7"/>
        <v>499</v>
      </c>
    </row>
    <row r="122" spans="9:12">
      <c r="I122" s="4" t="s">
        <v>464</v>
      </c>
      <c r="J122" s="86">
        <f t="shared" si="6"/>
        <v>305.10000000000002</v>
      </c>
      <c r="K122" s="5">
        <v>305.10000000000002</v>
      </c>
      <c r="L122" s="87">
        <f t="shared" si="7"/>
        <v>305.10000000000002</v>
      </c>
    </row>
    <row r="123" spans="9:12">
      <c r="I123" s="4" t="s">
        <v>465</v>
      </c>
      <c r="J123" s="86">
        <f t="shared" si="6"/>
        <v>305.3</v>
      </c>
      <c r="K123" s="5">
        <v>305.3</v>
      </c>
      <c r="L123" s="87">
        <f t="shared" si="7"/>
        <v>499</v>
      </c>
    </row>
    <row r="124" spans="9:12">
      <c r="I124" s="4" t="s">
        <v>466</v>
      </c>
      <c r="J124" s="86">
        <f t="shared" si="6"/>
        <v>305.3</v>
      </c>
      <c r="K124" s="5">
        <v>305.3</v>
      </c>
      <c r="L124" s="87">
        <f t="shared" si="7"/>
        <v>499</v>
      </c>
    </row>
    <row r="125" spans="9:12">
      <c r="I125" s="4" t="s">
        <v>467</v>
      </c>
      <c r="J125" s="86">
        <f t="shared" si="6"/>
        <v>305.3</v>
      </c>
      <c r="K125" s="5">
        <v>305.3</v>
      </c>
      <c r="L125" s="87">
        <f t="shared" si="7"/>
        <v>499</v>
      </c>
    </row>
    <row r="126" spans="9:12">
      <c r="I126" s="4" t="s">
        <v>468</v>
      </c>
      <c r="J126" s="86">
        <f t="shared" si="6"/>
        <v>305.3</v>
      </c>
      <c r="K126" s="5">
        <v>305.3</v>
      </c>
      <c r="L126" s="87">
        <f t="shared" si="7"/>
        <v>499</v>
      </c>
    </row>
    <row r="127" spans="9:12">
      <c r="I127" s="4" t="s">
        <v>469</v>
      </c>
      <c r="J127" s="86">
        <f t="shared" si="6"/>
        <v>308</v>
      </c>
      <c r="K127" s="5">
        <v>308</v>
      </c>
      <c r="L127" s="87">
        <f t="shared" si="7"/>
        <v>499</v>
      </c>
    </row>
    <row r="128" spans="9:12">
      <c r="I128" s="4" t="s">
        <v>470</v>
      </c>
      <c r="J128" s="86">
        <f t="shared" si="6"/>
        <v>308</v>
      </c>
      <c r="K128" s="5">
        <v>308</v>
      </c>
      <c r="L128" s="87">
        <f t="shared" si="7"/>
        <v>499</v>
      </c>
    </row>
    <row r="129" spans="9:12">
      <c r="I129" s="4" t="s">
        <v>471</v>
      </c>
      <c r="J129" s="86">
        <f t="shared" si="6"/>
        <v>308</v>
      </c>
      <c r="K129" s="5">
        <v>308</v>
      </c>
      <c r="L129" s="87">
        <f t="shared" si="7"/>
        <v>499</v>
      </c>
    </row>
    <row r="130" spans="9:12">
      <c r="I130" s="4" t="s">
        <v>472</v>
      </c>
      <c r="J130" s="86">
        <f t="shared" si="6"/>
        <v>306.3</v>
      </c>
      <c r="K130" s="5">
        <v>306.3</v>
      </c>
      <c r="L130" s="87">
        <f t="shared" si="7"/>
        <v>499</v>
      </c>
    </row>
    <row r="131" spans="9:12">
      <c r="I131" s="4" t="s">
        <v>473</v>
      </c>
      <c r="J131" s="86">
        <f t="shared" si="6"/>
        <v>306.3</v>
      </c>
      <c r="K131" s="5">
        <v>306.3</v>
      </c>
      <c r="L131" s="87">
        <f t="shared" si="7"/>
        <v>499</v>
      </c>
    </row>
    <row r="132" spans="9:12">
      <c r="I132" s="4" t="s">
        <v>474</v>
      </c>
      <c r="J132" s="86">
        <f t="shared" si="6"/>
        <v>306.3</v>
      </c>
      <c r="K132" s="5">
        <v>306.3</v>
      </c>
      <c r="L132" s="87">
        <f t="shared" si="7"/>
        <v>499</v>
      </c>
    </row>
    <row r="133" spans="9:12">
      <c r="I133" s="4" t="s">
        <v>475</v>
      </c>
      <c r="J133" s="86">
        <f t="shared" si="6"/>
        <v>306.3</v>
      </c>
      <c r="K133" s="5">
        <v>306.3</v>
      </c>
      <c r="L133" s="87">
        <f t="shared" si="7"/>
        <v>499</v>
      </c>
    </row>
    <row r="134" spans="9:12">
      <c r="I134" s="4" t="s">
        <v>476</v>
      </c>
      <c r="J134" s="86">
        <f t="shared" si="6"/>
        <v>991</v>
      </c>
      <c r="K134" s="5">
        <v>991</v>
      </c>
      <c r="L134" s="87">
        <f t="shared" si="7"/>
        <v>991</v>
      </c>
    </row>
    <row r="135" spans="9:12">
      <c r="I135" s="4" t="s">
        <v>477</v>
      </c>
      <c r="J135" s="86">
        <f t="shared" si="6"/>
        <v>306.3</v>
      </c>
      <c r="K135" s="5">
        <v>306.3</v>
      </c>
      <c r="L135" s="87">
        <f t="shared" si="7"/>
        <v>499</v>
      </c>
    </row>
    <row r="136" spans="9:12">
      <c r="I136" s="4" t="s">
        <v>478</v>
      </c>
      <c r="J136" s="86">
        <f t="shared" si="6"/>
        <v>306.3</v>
      </c>
      <c r="K136" s="5">
        <v>306.3</v>
      </c>
      <c r="L136" s="87">
        <f t="shared" si="7"/>
        <v>499</v>
      </c>
    </row>
    <row r="137" spans="9:12">
      <c r="I137" s="4" t="s">
        <v>479</v>
      </c>
      <c r="J137" s="86">
        <f t="shared" si="6"/>
        <v>990</v>
      </c>
      <c r="K137" s="5">
        <v>990</v>
      </c>
      <c r="L137" s="87">
        <f t="shared" si="7"/>
        <v>990</v>
      </c>
    </row>
    <row r="138" spans="9:12">
      <c r="I138" s="4" t="s">
        <v>480</v>
      </c>
      <c r="J138" s="86">
        <f t="shared" si="6"/>
        <v>306.3</v>
      </c>
      <c r="K138" s="5">
        <v>306.3</v>
      </c>
      <c r="L138" s="87">
        <f t="shared" si="7"/>
        <v>499</v>
      </c>
    </row>
    <row r="139" spans="9:12">
      <c r="I139" s="4" t="s">
        <v>481</v>
      </c>
      <c r="J139" s="86">
        <f t="shared" si="6"/>
        <v>312.3</v>
      </c>
      <c r="K139" s="5">
        <v>312.3</v>
      </c>
      <c r="L139" s="87">
        <f t="shared" si="7"/>
        <v>499</v>
      </c>
    </row>
    <row r="140" spans="9:12">
      <c r="I140" s="4" t="s">
        <v>482</v>
      </c>
      <c r="J140" s="86">
        <f t="shared" si="6"/>
        <v>312.3</v>
      </c>
      <c r="K140" s="5">
        <v>312.3</v>
      </c>
      <c r="L140" s="87">
        <f t="shared" si="7"/>
        <v>499</v>
      </c>
    </row>
    <row r="141" spans="9:12">
      <c r="I141" s="4" t="s">
        <v>483</v>
      </c>
      <c r="J141" s="86">
        <f t="shared" si="6"/>
        <v>306.3</v>
      </c>
      <c r="K141" s="5">
        <v>306.3</v>
      </c>
      <c r="L141" s="87">
        <f t="shared" si="7"/>
        <v>499</v>
      </c>
    </row>
    <row r="142" spans="9:12">
      <c r="I142" s="4" t="s">
        <v>484</v>
      </c>
      <c r="J142" s="86">
        <f t="shared" si="6"/>
        <v>990</v>
      </c>
      <c r="K142" s="5">
        <v>990</v>
      </c>
      <c r="L142" s="87">
        <f t="shared" si="7"/>
        <v>990</v>
      </c>
    </row>
    <row r="143" spans="9:12">
      <c r="I143" s="4" t="s">
        <v>485</v>
      </c>
      <c r="J143" s="86">
        <f t="shared" si="6"/>
        <v>301.3</v>
      </c>
      <c r="K143" s="5">
        <v>301.3</v>
      </c>
      <c r="L143" s="87">
        <f t="shared" si="7"/>
        <v>499</v>
      </c>
    </row>
    <row r="144" spans="9:12">
      <c r="I144" s="4" t="s">
        <v>486</v>
      </c>
      <c r="J144" s="86">
        <f t="shared" si="6"/>
        <v>307</v>
      </c>
      <c r="K144" s="5">
        <v>307</v>
      </c>
      <c r="L144" s="87">
        <f t="shared" si="7"/>
        <v>499</v>
      </c>
    </row>
    <row r="145" spans="9:12">
      <c r="I145" s="4" t="s">
        <v>487</v>
      </c>
      <c r="J145" s="86">
        <f t="shared" si="6"/>
        <v>301.10000000000002</v>
      </c>
      <c r="K145" s="5">
        <v>301.10000000000002</v>
      </c>
      <c r="L145" s="87">
        <f t="shared" si="7"/>
        <v>301.10000000000002</v>
      </c>
    </row>
    <row r="146" spans="9:12">
      <c r="I146" s="4" t="s">
        <v>488</v>
      </c>
      <c r="J146" s="86">
        <f t="shared" si="6"/>
        <v>301.10000000000002</v>
      </c>
      <c r="K146" s="5">
        <v>301.10000000000002</v>
      </c>
      <c r="L146" s="87">
        <f t="shared" si="7"/>
        <v>301.10000000000002</v>
      </c>
    </row>
    <row r="147" spans="9:12">
      <c r="I147" s="4" t="s">
        <v>489</v>
      </c>
      <c r="J147" s="86">
        <f t="shared" si="6"/>
        <v>301.3</v>
      </c>
      <c r="K147" s="5">
        <v>301.3</v>
      </c>
      <c r="L147" s="87">
        <f t="shared" si="7"/>
        <v>499</v>
      </c>
    </row>
    <row r="148" spans="9:12">
      <c r="I148" s="4" t="s">
        <v>490</v>
      </c>
      <c r="J148" s="86">
        <f t="shared" si="6"/>
        <v>301.3</v>
      </c>
      <c r="K148" s="5">
        <v>301.3</v>
      </c>
      <c r="L148" s="87">
        <f t="shared" si="7"/>
        <v>499</v>
      </c>
    </row>
    <row r="149" spans="9:12">
      <c r="I149" s="4" t="s">
        <v>491</v>
      </c>
      <c r="J149" s="86">
        <f t="shared" si="6"/>
        <v>301.2</v>
      </c>
      <c r="K149" s="5">
        <v>301.2</v>
      </c>
      <c r="L149" s="87">
        <f t="shared" si="7"/>
        <v>499</v>
      </c>
    </row>
    <row r="150" spans="9:12">
      <c r="I150" s="4" t="s">
        <v>492</v>
      </c>
      <c r="J150" s="86">
        <f t="shared" si="6"/>
        <v>302.3</v>
      </c>
      <c r="K150" s="5">
        <v>302.3</v>
      </c>
      <c r="L150" s="87">
        <f t="shared" si="7"/>
        <v>499</v>
      </c>
    </row>
    <row r="151" spans="9:12">
      <c r="I151" s="4" t="s">
        <v>493</v>
      </c>
      <c r="J151" s="86">
        <f t="shared" si="6"/>
        <v>302.3</v>
      </c>
      <c r="K151" s="5">
        <v>302.3</v>
      </c>
      <c r="L151" s="87">
        <f t="shared" si="7"/>
        <v>499</v>
      </c>
    </row>
    <row r="152" spans="9:12">
      <c r="I152" s="4" t="s">
        <v>494</v>
      </c>
      <c r="J152" s="86">
        <f t="shared" si="6"/>
        <v>302.3</v>
      </c>
      <c r="K152" s="5">
        <v>302.3</v>
      </c>
      <c r="L152" s="87">
        <f t="shared" si="7"/>
        <v>499</v>
      </c>
    </row>
    <row r="153" spans="9:12">
      <c r="I153" s="4" t="s">
        <v>495</v>
      </c>
      <c r="J153" s="86">
        <f t="shared" si="6"/>
        <v>302.3</v>
      </c>
      <c r="K153" s="5">
        <v>302.3</v>
      </c>
      <c r="L153" s="87">
        <f t="shared" si="7"/>
        <v>499</v>
      </c>
    </row>
    <row r="154" spans="9:12">
      <c r="I154" s="4" t="s">
        <v>496</v>
      </c>
      <c r="J154" s="86">
        <f t="shared" si="6"/>
        <v>308</v>
      </c>
      <c r="K154" s="5">
        <v>308</v>
      </c>
      <c r="L154" s="87">
        <f t="shared" si="7"/>
        <v>499</v>
      </c>
    </row>
    <row r="155" spans="9:12">
      <c r="I155" s="4" t="s">
        <v>497</v>
      </c>
      <c r="J155" s="86">
        <f t="shared" si="6"/>
        <v>307</v>
      </c>
      <c r="K155" s="5">
        <v>307</v>
      </c>
      <c r="L155" s="87">
        <f t="shared" si="7"/>
        <v>499</v>
      </c>
    </row>
    <row r="156" spans="9:12">
      <c r="I156" s="4" t="s">
        <v>498</v>
      </c>
      <c r="J156" s="86">
        <f t="shared" ref="J156:J189" si="8">IF(USE_WAGE_CODING,L156,K156)</f>
        <v>304.10000000000002</v>
      </c>
      <c r="K156" s="5">
        <v>304.10000000000002</v>
      </c>
      <c r="L156" s="87">
        <f t="shared" ref="L156:L189" si="9">IF(OR(K156&gt;400,(AND(LEN(K156)&gt;0,RIGHT(K156,2)=".1"))),K156,499)</f>
        <v>304.10000000000002</v>
      </c>
    </row>
    <row r="157" spans="9:12">
      <c r="I157" s="4" t="s">
        <v>499</v>
      </c>
      <c r="J157" s="86">
        <f t="shared" si="8"/>
        <v>304.3</v>
      </c>
      <c r="K157" s="5">
        <v>304.3</v>
      </c>
      <c r="L157" s="87">
        <f t="shared" si="9"/>
        <v>499</v>
      </c>
    </row>
    <row r="158" spans="9:12">
      <c r="I158" s="4" t="s">
        <v>500</v>
      </c>
      <c r="J158" s="86">
        <f t="shared" si="8"/>
        <v>312.3</v>
      </c>
      <c r="K158" s="5">
        <v>312.3</v>
      </c>
      <c r="L158" s="87">
        <f t="shared" si="9"/>
        <v>499</v>
      </c>
    </row>
    <row r="159" spans="9:12">
      <c r="I159" s="4" t="s">
        <v>501</v>
      </c>
      <c r="J159" s="86">
        <f t="shared" si="8"/>
        <v>321.2</v>
      </c>
      <c r="K159" s="5">
        <v>321.2</v>
      </c>
      <c r="L159" s="87">
        <f t="shared" si="9"/>
        <v>499</v>
      </c>
    </row>
    <row r="160" spans="9:12">
      <c r="I160" s="4" t="s">
        <v>502</v>
      </c>
      <c r="J160" s="86">
        <f t="shared" si="8"/>
        <v>321.2</v>
      </c>
      <c r="K160" s="5">
        <v>321.2</v>
      </c>
      <c r="L160" s="87">
        <f t="shared" si="9"/>
        <v>499</v>
      </c>
    </row>
    <row r="161" spans="9:12">
      <c r="I161" s="4" t="s">
        <v>503</v>
      </c>
      <c r="J161" s="86">
        <f t="shared" si="8"/>
        <v>306.3</v>
      </c>
      <c r="K161" s="5">
        <v>306.3</v>
      </c>
      <c r="L161" s="87">
        <f t="shared" si="9"/>
        <v>499</v>
      </c>
    </row>
    <row r="162" spans="9:12">
      <c r="I162" s="4" t="s">
        <v>504</v>
      </c>
      <c r="J162" s="86">
        <f t="shared" si="8"/>
        <v>306.3</v>
      </c>
      <c r="K162" s="5">
        <v>306.3</v>
      </c>
      <c r="L162" s="87">
        <f t="shared" si="9"/>
        <v>499</v>
      </c>
    </row>
    <row r="163" spans="9:12">
      <c r="I163" s="4" t="s">
        <v>505</v>
      </c>
      <c r="J163" s="86">
        <f t="shared" si="8"/>
        <v>306.3</v>
      </c>
      <c r="K163" s="5">
        <v>306.3</v>
      </c>
      <c r="L163" s="87">
        <f t="shared" si="9"/>
        <v>499</v>
      </c>
    </row>
    <row r="164" spans="9:12">
      <c r="I164" s="4" t="s">
        <v>506</v>
      </c>
      <c r="J164" s="86">
        <f t="shared" si="8"/>
        <v>306.3</v>
      </c>
      <c r="K164" s="5">
        <v>306.3</v>
      </c>
      <c r="L164" s="87">
        <f t="shared" si="9"/>
        <v>499</v>
      </c>
    </row>
    <row r="165" spans="9:12">
      <c r="I165" s="4" t="s">
        <v>507</v>
      </c>
      <c r="J165" s="86">
        <f t="shared" si="8"/>
        <v>306.3</v>
      </c>
      <c r="K165" s="5">
        <v>306.3</v>
      </c>
      <c r="L165" s="87">
        <f t="shared" si="9"/>
        <v>499</v>
      </c>
    </row>
    <row r="166" spans="9:12">
      <c r="I166" s="4" t="s">
        <v>508</v>
      </c>
      <c r="J166" s="86">
        <f t="shared" si="8"/>
        <v>306.3</v>
      </c>
      <c r="K166" s="5">
        <v>306.3</v>
      </c>
      <c r="L166" s="87">
        <f t="shared" si="9"/>
        <v>499</v>
      </c>
    </row>
    <row r="167" spans="9:12">
      <c r="I167" s="4" t="s">
        <v>509</v>
      </c>
      <c r="J167" s="86">
        <f t="shared" si="8"/>
        <v>306.3</v>
      </c>
      <c r="K167" s="5">
        <v>306.3</v>
      </c>
      <c r="L167" s="87">
        <f t="shared" si="9"/>
        <v>499</v>
      </c>
    </row>
    <row r="168" spans="9:12">
      <c r="I168" s="4" t="s">
        <v>510</v>
      </c>
      <c r="J168" s="86">
        <f t="shared" si="8"/>
        <v>306.3</v>
      </c>
      <c r="K168" s="5">
        <v>306.3</v>
      </c>
      <c r="L168" s="87">
        <f t="shared" si="9"/>
        <v>499</v>
      </c>
    </row>
    <row r="169" spans="9:12">
      <c r="I169" s="4" t="s">
        <v>511</v>
      </c>
      <c r="J169" s="86">
        <f t="shared" si="8"/>
        <v>306.3</v>
      </c>
      <c r="K169" s="5">
        <v>306.3</v>
      </c>
      <c r="L169" s="87">
        <f t="shared" si="9"/>
        <v>499</v>
      </c>
    </row>
    <row r="170" spans="9:12">
      <c r="I170" s="4" t="s">
        <v>512</v>
      </c>
      <c r="J170" s="86">
        <f t="shared" si="8"/>
        <v>306.3</v>
      </c>
      <c r="K170" s="5">
        <v>306.3</v>
      </c>
      <c r="L170" s="87">
        <f t="shared" si="9"/>
        <v>499</v>
      </c>
    </row>
    <row r="171" spans="9:12">
      <c r="I171" s="4" t="s">
        <v>513</v>
      </c>
      <c r="J171" s="86">
        <f t="shared" si="8"/>
        <v>306.3</v>
      </c>
      <c r="K171" s="5">
        <v>306.3</v>
      </c>
      <c r="L171" s="87">
        <f t="shared" si="9"/>
        <v>499</v>
      </c>
    </row>
    <row r="172" spans="9:12">
      <c r="I172" s="4" t="s">
        <v>514</v>
      </c>
      <c r="J172" s="86">
        <f t="shared" si="8"/>
        <v>991</v>
      </c>
      <c r="K172" s="5">
        <v>991</v>
      </c>
      <c r="L172" s="87">
        <f t="shared" si="9"/>
        <v>991</v>
      </c>
    </row>
    <row r="173" spans="9:12">
      <c r="I173" s="4" t="s">
        <v>515</v>
      </c>
      <c r="J173" s="86">
        <f t="shared" si="8"/>
        <v>306.3</v>
      </c>
      <c r="K173" s="5">
        <v>306.3</v>
      </c>
      <c r="L173" s="87">
        <f t="shared" si="9"/>
        <v>499</v>
      </c>
    </row>
    <row r="174" spans="9:12">
      <c r="I174" s="4" t="s">
        <v>516</v>
      </c>
      <c r="J174" s="86">
        <f t="shared" si="8"/>
        <v>306.3</v>
      </c>
      <c r="K174" s="5">
        <v>306.3</v>
      </c>
      <c r="L174" s="87">
        <f t="shared" si="9"/>
        <v>499</v>
      </c>
    </row>
    <row r="175" spans="9:12">
      <c r="I175" s="4" t="s">
        <v>517</v>
      </c>
      <c r="J175" s="86">
        <f t="shared" si="8"/>
        <v>990</v>
      </c>
      <c r="K175" s="5">
        <v>990</v>
      </c>
      <c r="L175" s="87">
        <f t="shared" si="9"/>
        <v>990</v>
      </c>
    </row>
    <row r="176" spans="9:12">
      <c r="I176" s="4" t="s">
        <v>518</v>
      </c>
      <c r="J176" s="86">
        <f t="shared" si="8"/>
        <v>306.3</v>
      </c>
      <c r="K176" s="5">
        <v>306.3</v>
      </c>
      <c r="L176" s="87">
        <f t="shared" si="9"/>
        <v>499</v>
      </c>
    </row>
    <row r="177" spans="9:12">
      <c r="I177" s="4" t="s">
        <v>525</v>
      </c>
      <c r="J177" s="86">
        <f t="shared" si="8"/>
        <v>333</v>
      </c>
      <c r="K177" s="5">
        <v>333</v>
      </c>
      <c r="L177" s="87">
        <f t="shared" si="9"/>
        <v>499</v>
      </c>
    </row>
    <row r="178" spans="9:12">
      <c r="I178" s="4" t="s">
        <v>526</v>
      </c>
      <c r="J178" s="86">
        <f t="shared" si="8"/>
        <v>444</v>
      </c>
      <c r="K178" s="5">
        <v>444</v>
      </c>
      <c r="L178" s="87">
        <f t="shared" si="9"/>
        <v>444</v>
      </c>
    </row>
    <row r="179" spans="9:12">
      <c r="I179" s="4" t="s">
        <v>380</v>
      </c>
      <c r="J179" s="86">
        <f t="shared" si="8"/>
        <v>312.3</v>
      </c>
      <c r="K179" s="5">
        <v>312.3</v>
      </c>
      <c r="L179" s="87">
        <f t="shared" si="9"/>
        <v>499</v>
      </c>
    </row>
    <row r="180" spans="9:12">
      <c r="I180" s="4" t="s">
        <v>381</v>
      </c>
      <c r="J180" s="86">
        <f t="shared" si="8"/>
        <v>312.3</v>
      </c>
      <c r="K180" s="5">
        <v>312.3</v>
      </c>
      <c r="L180" s="87">
        <f t="shared" si="9"/>
        <v>499</v>
      </c>
    </row>
    <row r="181" spans="9:12">
      <c r="I181" s="4" t="s">
        <v>382</v>
      </c>
      <c r="J181" s="86">
        <f t="shared" si="8"/>
        <v>312.3</v>
      </c>
      <c r="K181" s="5">
        <v>312.3</v>
      </c>
      <c r="L181" s="87">
        <f t="shared" si="9"/>
        <v>499</v>
      </c>
    </row>
    <row r="182" spans="9:12">
      <c r="I182" s="4" t="s">
        <v>510</v>
      </c>
      <c r="J182" s="86">
        <f t="shared" si="8"/>
        <v>306.3</v>
      </c>
      <c r="K182" s="5">
        <v>306.3</v>
      </c>
      <c r="L182" s="87">
        <f t="shared" si="9"/>
        <v>499</v>
      </c>
    </row>
    <row r="183" spans="9:12">
      <c r="I183" s="4" t="s">
        <v>511</v>
      </c>
      <c r="J183" s="86">
        <f t="shared" si="8"/>
        <v>306.3</v>
      </c>
      <c r="K183" s="5">
        <v>306.3</v>
      </c>
      <c r="L183" s="87">
        <f t="shared" si="9"/>
        <v>499</v>
      </c>
    </row>
    <row r="184" spans="9:12">
      <c r="I184" s="4" t="s">
        <v>513</v>
      </c>
      <c r="J184" s="86">
        <f t="shared" si="8"/>
        <v>306.3</v>
      </c>
      <c r="K184" s="5">
        <v>306.3</v>
      </c>
      <c r="L184" s="87">
        <f t="shared" si="9"/>
        <v>499</v>
      </c>
    </row>
    <row r="185" spans="9:12">
      <c r="I185" s="4" t="s">
        <v>514</v>
      </c>
      <c r="J185" s="86">
        <f t="shared" si="8"/>
        <v>991</v>
      </c>
      <c r="K185" s="5">
        <v>991</v>
      </c>
      <c r="L185" s="87">
        <f t="shared" si="9"/>
        <v>991</v>
      </c>
    </row>
    <row r="186" spans="9:12">
      <c r="I186" s="4" t="s">
        <v>515</v>
      </c>
      <c r="J186" s="86">
        <f t="shared" si="8"/>
        <v>306.3</v>
      </c>
      <c r="K186" s="5">
        <v>306.3</v>
      </c>
      <c r="L186" s="87">
        <f t="shared" si="9"/>
        <v>499</v>
      </c>
    </row>
    <row r="187" spans="9:12">
      <c r="I187" s="4" t="s">
        <v>516</v>
      </c>
      <c r="J187" s="86">
        <f t="shared" si="8"/>
        <v>306.3</v>
      </c>
      <c r="K187" s="5">
        <v>306.3</v>
      </c>
      <c r="L187" s="87">
        <f t="shared" si="9"/>
        <v>499</v>
      </c>
    </row>
    <row r="188" spans="9:12">
      <c r="I188" s="4" t="s">
        <v>517</v>
      </c>
      <c r="J188" s="86">
        <f t="shared" si="8"/>
        <v>992</v>
      </c>
      <c r="K188" s="5">
        <v>992</v>
      </c>
      <c r="L188" s="87">
        <f t="shared" si="9"/>
        <v>992</v>
      </c>
    </row>
    <row r="189" spans="9:12">
      <c r="I189" s="4" t="s">
        <v>518</v>
      </c>
      <c r="J189" s="86">
        <f t="shared" si="8"/>
        <v>306.3</v>
      </c>
      <c r="K189" s="5">
        <v>306.3</v>
      </c>
      <c r="L189" s="87">
        <f t="shared" si="9"/>
        <v>499</v>
      </c>
    </row>
  </sheetData>
  <sortState ref="I3:L94">
    <sortCondition ref="J3:J94"/>
    <sortCondition ref="K3:K94"/>
    <sortCondition ref="I3:I94"/>
  </sortState>
  <mergeCells count="4">
    <mergeCell ref="C1:D1"/>
    <mergeCell ref="F1:G1"/>
    <mergeCell ref="I1:L1"/>
    <mergeCell ref="O1:T1"/>
  </mergeCells>
  <conditionalFormatting sqref="C3:C12 I3:I94 F3:F8">
    <cfRule type="expression" dxfId="77" priority="91" stopIfTrue="1">
      <formula>AND(D3&gt;=100,D3&lt;=199)</formula>
    </cfRule>
    <cfRule type="expression" dxfId="76" priority="92" stopIfTrue="1">
      <formula>AND(D3&gt;=200,D3&lt;=299)</formula>
    </cfRule>
    <cfRule type="expression" dxfId="75" priority="93" stopIfTrue="1">
      <formula>AND(D3&gt;=300,D3&lt;=399)</formula>
    </cfRule>
    <cfRule type="expression" dxfId="74" priority="94" stopIfTrue="1">
      <formula>AND(D3&gt;=900,D3&lt;=999)</formula>
    </cfRule>
    <cfRule type="expression" dxfId="73" priority="95" stopIfTrue="1">
      <formula>AND(D3&gt;=400,D3&lt;=499)</formula>
    </cfRule>
    <cfRule type="expression" dxfId="72" priority="96" stopIfTrue="1">
      <formula>AND(D3&gt;=1000,D3&lt;=1999)</formula>
    </cfRule>
  </conditionalFormatting>
  <conditionalFormatting sqref="F28:F34">
    <cfRule type="expression" dxfId="71" priority="37" stopIfTrue="1">
      <formula>AND(G28&gt;=100,G28&lt;=199)</formula>
    </cfRule>
    <cfRule type="expression" dxfId="70" priority="38" stopIfTrue="1">
      <formula>AND(G28&gt;=200,G28&lt;=299)</formula>
    </cfRule>
    <cfRule type="expression" dxfId="69" priority="39" stopIfTrue="1">
      <formula>AND(G28&gt;=300,G28&lt;=399)</formula>
    </cfRule>
    <cfRule type="expression" dxfId="68" priority="40" stopIfTrue="1">
      <formula>AND(G28&gt;=900,G28&lt;=999)</formula>
    </cfRule>
    <cfRule type="expression" dxfId="67" priority="41" stopIfTrue="1">
      <formula>AND(G28&gt;=400,G28&lt;=499)</formula>
    </cfRule>
    <cfRule type="expression" dxfId="66" priority="42" stopIfTrue="1">
      <formula>AND(G28&gt;=1000,G28&lt;=1999)</formula>
    </cfRule>
  </conditionalFormatting>
  <conditionalFormatting sqref="F9:F27">
    <cfRule type="expression" dxfId="65" priority="67" stopIfTrue="1">
      <formula>AND(G9&gt;=100,G9&lt;=199)</formula>
    </cfRule>
    <cfRule type="expression" dxfId="64" priority="68" stopIfTrue="1">
      <formula>AND(G9&gt;=200,G9&lt;=299)</formula>
    </cfRule>
    <cfRule type="expression" dxfId="63" priority="69" stopIfTrue="1">
      <formula>AND(G9&gt;=300,G9&lt;=399)</formula>
    </cfRule>
    <cfRule type="expression" dxfId="62" priority="70" stopIfTrue="1">
      <formula>AND(G9&gt;=900,G9&lt;=999)</formula>
    </cfRule>
    <cfRule type="expression" dxfId="61" priority="71" stopIfTrue="1">
      <formula>AND(G9&gt;=400,G9&lt;=499)</formula>
    </cfRule>
    <cfRule type="expression" dxfId="60" priority="72" stopIfTrue="1">
      <formula>AND(G9&gt;=1000,G9&lt;=1999)</formula>
    </cfRule>
  </conditionalFormatting>
  <conditionalFormatting sqref="I95:I141">
    <cfRule type="expression" dxfId="59" priority="61" stopIfTrue="1">
      <formula>AND(J95&gt;=100,J95&lt;=199)</formula>
    </cfRule>
    <cfRule type="expression" dxfId="58" priority="62" stopIfTrue="1">
      <formula>AND(J95&gt;=200,J95&lt;=299)</formula>
    </cfRule>
    <cfRule type="expression" dxfId="57" priority="63" stopIfTrue="1">
      <formula>AND(J95&gt;=300,J95&lt;=399)</formula>
    </cfRule>
    <cfRule type="expression" dxfId="56" priority="64" stopIfTrue="1">
      <formula>AND(J95&gt;=900,J95&lt;=999)</formula>
    </cfRule>
    <cfRule type="expression" dxfId="55" priority="65" stopIfTrue="1">
      <formula>AND(J95&gt;=400,J95&lt;=499)</formula>
    </cfRule>
    <cfRule type="expression" dxfId="54" priority="66" stopIfTrue="1">
      <formula>AND(J95&gt;=1000,J95&lt;=1999)</formula>
    </cfRule>
  </conditionalFormatting>
  <conditionalFormatting sqref="I142">
    <cfRule type="expression" dxfId="53" priority="55" stopIfTrue="1">
      <formula>AND(J142&gt;=100,J142&lt;=199)</formula>
    </cfRule>
    <cfRule type="expression" dxfId="52" priority="56" stopIfTrue="1">
      <formula>AND(J142&gt;=200,J142&lt;=299)</formula>
    </cfRule>
    <cfRule type="expression" dxfId="51" priority="57" stopIfTrue="1">
      <formula>AND(J142&gt;=300,J142&lt;=399)</formula>
    </cfRule>
    <cfRule type="expression" dxfId="50" priority="58" stopIfTrue="1">
      <formula>AND(J142&gt;=900,J142&lt;=999)</formula>
    </cfRule>
    <cfRule type="expression" dxfId="49" priority="59" stopIfTrue="1">
      <formula>AND(J142&gt;=400,J142&lt;=499)</formula>
    </cfRule>
    <cfRule type="expression" dxfId="48" priority="60" stopIfTrue="1">
      <formula>AND(J142&gt;=1000,J142&lt;=1999)</formula>
    </cfRule>
  </conditionalFormatting>
  <conditionalFormatting sqref="I143 I145 I147 I149 I151 I153 I155 I157 I159 I161 I163 I165 I167 I169 I171 I173 I175">
    <cfRule type="expression" dxfId="47" priority="49" stopIfTrue="1">
      <formula>AND(J143&gt;=100,J143&lt;=199)</formula>
    </cfRule>
    <cfRule type="expression" dxfId="46" priority="50" stopIfTrue="1">
      <formula>AND(J143&gt;=200,J143&lt;=299)</formula>
    </cfRule>
    <cfRule type="expression" dxfId="45" priority="51" stopIfTrue="1">
      <formula>AND(J143&gt;=300,J143&lt;=399)</formula>
    </cfRule>
    <cfRule type="expression" dxfId="44" priority="52" stopIfTrue="1">
      <formula>AND(J143&gt;=900,J143&lt;=999)</formula>
    </cfRule>
    <cfRule type="expression" dxfId="43" priority="53" stopIfTrue="1">
      <formula>AND(J143&gt;=400,J143&lt;=499)</formula>
    </cfRule>
    <cfRule type="expression" dxfId="42" priority="54" stopIfTrue="1">
      <formula>AND(J143&gt;=1000,J143&lt;=1999)</formula>
    </cfRule>
  </conditionalFormatting>
  <conditionalFormatting sqref="I144 I146 I148 I150 I152 I154 I156 I158 I160 I162 I164 I166 I168 I170 I172 I174 I176">
    <cfRule type="expression" dxfId="41" priority="43" stopIfTrue="1">
      <formula>AND(J144&gt;=100,J144&lt;=199)</formula>
    </cfRule>
    <cfRule type="expression" dxfId="40" priority="44" stopIfTrue="1">
      <formula>AND(J144&gt;=200,J144&lt;=299)</formula>
    </cfRule>
    <cfRule type="expression" dxfId="39" priority="45" stopIfTrue="1">
      <formula>AND(J144&gt;=300,J144&lt;=399)</formula>
    </cfRule>
    <cfRule type="expression" dxfId="38" priority="46" stopIfTrue="1">
      <formula>AND(J144&gt;=900,J144&lt;=999)</formula>
    </cfRule>
    <cfRule type="expression" dxfId="37" priority="47" stopIfTrue="1">
      <formula>AND(J144&gt;=400,J144&lt;=499)</formula>
    </cfRule>
    <cfRule type="expression" dxfId="36" priority="48" stopIfTrue="1">
      <formula>AND(J144&gt;=1000,J144&lt;=1999)</formula>
    </cfRule>
  </conditionalFormatting>
  <conditionalFormatting sqref="F35">
    <cfRule type="expression" dxfId="35" priority="31" stopIfTrue="1">
      <formula>AND(G35&gt;=100,G35&lt;=199)</formula>
    </cfRule>
    <cfRule type="expression" dxfId="34" priority="32" stopIfTrue="1">
      <formula>AND(G35&gt;=200,G35&lt;=299)</formula>
    </cfRule>
    <cfRule type="expression" dxfId="33" priority="33" stopIfTrue="1">
      <formula>AND(G35&gt;=300,G35&lt;=399)</formula>
    </cfRule>
    <cfRule type="expression" dxfId="32" priority="34" stopIfTrue="1">
      <formula>AND(G35&gt;=900,G35&lt;=999)</formula>
    </cfRule>
    <cfRule type="expression" dxfId="31" priority="35" stopIfTrue="1">
      <formula>AND(G35&gt;=400,G35&lt;=499)</formula>
    </cfRule>
    <cfRule type="expression" dxfId="30" priority="36" stopIfTrue="1">
      <formula>AND(G35&gt;=1000,G35&lt;=1999)</formula>
    </cfRule>
  </conditionalFormatting>
  <conditionalFormatting sqref="I177">
    <cfRule type="expression" dxfId="29" priority="25" stopIfTrue="1">
      <formula>AND(J177&gt;=100,J177&lt;=199)</formula>
    </cfRule>
    <cfRule type="expression" dxfId="28" priority="26" stopIfTrue="1">
      <formula>AND(J177&gt;=200,J177&lt;=299)</formula>
    </cfRule>
    <cfRule type="expression" dxfId="27" priority="27" stopIfTrue="1">
      <formula>AND(J177&gt;=300,J177&lt;=399)</formula>
    </cfRule>
    <cfRule type="expression" dxfId="26" priority="28" stopIfTrue="1">
      <formula>AND(J177&gt;=900,J177&lt;=999)</formula>
    </cfRule>
    <cfRule type="expression" dxfId="25" priority="29" stopIfTrue="1">
      <formula>AND(J177&gt;=400,J177&lt;=499)</formula>
    </cfRule>
    <cfRule type="expression" dxfId="24" priority="30" stopIfTrue="1">
      <formula>AND(J177&gt;=1000,J177&lt;=1999)</formula>
    </cfRule>
  </conditionalFormatting>
  <conditionalFormatting sqref="I178">
    <cfRule type="expression" dxfId="23" priority="19" stopIfTrue="1">
      <formula>AND(J178&gt;=100,J178&lt;=199)</formula>
    </cfRule>
    <cfRule type="expression" dxfId="22" priority="20" stopIfTrue="1">
      <formula>AND(J178&gt;=200,J178&lt;=299)</formula>
    </cfRule>
    <cfRule type="expression" dxfId="21" priority="21" stopIfTrue="1">
      <formula>AND(J178&gt;=300,J178&lt;=399)</formula>
    </cfRule>
    <cfRule type="expression" dxfId="20" priority="22" stopIfTrue="1">
      <formula>AND(J178&gt;=900,J178&lt;=999)</formula>
    </cfRule>
    <cfRule type="expression" dxfId="19" priority="23" stopIfTrue="1">
      <formula>AND(J178&gt;=400,J178&lt;=499)</formula>
    </cfRule>
    <cfRule type="expression" dxfId="18" priority="24" stopIfTrue="1">
      <formula>AND(J178&gt;=1000,J178&lt;=1999)</formula>
    </cfRule>
  </conditionalFormatting>
  <conditionalFormatting sqref="I180">
    <cfRule type="expression" dxfId="17" priority="13" stopIfTrue="1">
      <formula>AND(J180&gt;=100,J180&lt;=199)</formula>
    </cfRule>
    <cfRule type="expression" dxfId="16" priority="14" stopIfTrue="1">
      <formula>AND(J180&gt;=200,J180&lt;=299)</formula>
    </cfRule>
    <cfRule type="expression" dxfId="15" priority="15" stopIfTrue="1">
      <formula>AND(J180&gt;=300,J180&lt;=399)</formula>
    </cfRule>
    <cfRule type="expression" dxfId="14" priority="16" stopIfTrue="1">
      <formula>AND(J180&gt;=900,J180&lt;=999)</formula>
    </cfRule>
    <cfRule type="expression" dxfId="13" priority="17" stopIfTrue="1">
      <formula>AND(J180&gt;=400,J180&lt;=499)</formula>
    </cfRule>
    <cfRule type="expression" dxfId="12" priority="18" stopIfTrue="1">
      <formula>AND(J180&gt;=1000,J180&lt;=1999)</formula>
    </cfRule>
  </conditionalFormatting>
  <conditionalFormatting sqref="I179 I181">
    <cfRule type="expression" dxfId="11" priority="7" stopIfTrue="1">
      <formula>AND(J179&gt;=100,J179&lt;=199)</formula>
    </cfRule>
    <cfRule type="expression" dxfId="10" priority="8" stopIfTrue="1">
      <formula>AND(J179&gt;=200,J179&lt;=299)</formula>
    </cfRule>
    <cfRule type="expression" dxfId="9" priority="9" stopIfTrue="1">
      <formula>AND(J179&gt;=300,J179&lt;=399)</formula>
    </cfRule>
    <cfRule type="expression" dxfId="8" priority="10" stopIfTrue="1">
      <formula>AND(J179&gt;=900,J179&lt;=999)</formula>
    </cfRule>
    <cfRule type="expression" dxfId="7" priority="11" stopIfTrue="1">
      <formula>AND(J179&gt;=400,J179&lt;=499)</formula>
    </cfRule>
    <cfRule type="expression" dxfId="6" priority="12" stopIfTrue="1">
      <formula>AND(J179&gt;=1000,J179&lt;=1999)</formula>
    </cfRule>
  </conditionalFormatting>
  <conditionalFormatting sqref="I182:I189">
    <cfRule type="expression" dxfId="5" priority="1" stopIfTrue="1">
      <formula>AND(J182&gt;=100,J182&lt;=199)</formula>
    </cfRule>
    <cfRule type="expression" dxfId="4" priority="2" stopIfTrue="1">
      <formula>AND(J182&gt;=200,J182&lt;=299)</formula>
    </cfRule>
    <cfRule type="expression" dxfId="3" priority="3" stopIfTrue="1">
      <formula>AND(J182&gt;=300,J182&lt;=399)</formula>
    </cfRule>
    <cfRule type="expression" dxfId="2" priority="4" stopIfTrue="1">
      <formula>AND(J182&gt;=900,J182&lt;=999)</formula>
    </cfRule>
    <cfRule type="expression" dxfId="1" priority="5" stopIfTrue="1">
      <formula>AND(J182&gt;=400,J182&lt;=499)</formula>
    </cfRule>
    <cfRule type="expression" dxfId="0" priority="6" stopIfTrue="1">
      <formula>AND(J182&gt;=1000,J182&lt;=1999)</formula>
    </cfRule>
  </conditionalFormatting>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499984740745262"/>
  </sheetPr>
  <dimension ref="A1:AW84"/>
  <sheetViews>
    <sheetView showGridLines="0" tabSelected="1" zoomScale="60" zoomScaleNormal="60" workbookViewId="0"/>
  </sheetViews>
  <sheetFormatPr defaultRowHeight="18" outlineLevelRow="1" outlineLevelCol="1"/>
  <cols>
    <col min="1" max="1" width="10.77734375" style="1" customWidth="1"/>
    <col min="2" max="2" width="0.88671875" style="1" customWidth="1"/>
    <col min="3" max="3" width="45.77734375" style="1" customWidth="1"/>
    <col min="4" max="4" width="0.88671875" style="1" customWidth="1"/>
    <col min="5" max="7" width="15.77734375" style="1" customWidth="1"/>
    <col min="8" max="8" width="0.88671875" style="1" customWidth="1"/>
    <col min="9" max="11" width="15.77734375" style="1" customWidth="1"/>
    <col min="12" max="12" width="0.88671875" style="1" hidden="1" customWidth="1" outlineLevel="1"/>
    <col min="13" max="15" width="18.77734375" style="1" hidden="1" customWidth="1" outlineLevel="1"/>
    <col min="16" max="16" width="0.88671875" style="1" hidden="1" customWidth="1" outlineLevel="1"/>
    <col min="17" max="19" width="18.77734375" style="1" hidden="1" customWidth="1" outlineLevel="1"/>
    <col min="20" max="20" width="0.88671875" style="1" customWidth="1" collapsed="1"/>
    <col min="21" max="23" width="15.77734375" style="1" customWidth="1"/>
    <col min="24" max="24" width="0.88671875" style="1" customWidth="1"/>
    <col min="25" max="27" width="15.77734375" style="1" customWidth="1"/>
    <col min="28" max="28" width="15" style="128" customWidth="1"/>
    <col min="29" max="29" width="8.5546875" style="120" customWidth="1"/>
    <col min="30" max="30" width="19.109375" style="120" customWidth="1"/>
    <col min="31" max="31" width="31.6640625" style="1" bestFit="1" customWidth="1"/>
    <col min="32" max="32" width="42.21875" style="1" customWidth="1"/>
    <col min="33" max="33" width="46.33203125" style="1" customWidth="1"/>
    <col min="34" max="34" width="32.21875" style="1" customWidth="1"/>
    <col min="35" max="35" width="33.109375" style="1" customWidth="1"/>
    <col min="36" max="16384" width="8.88671875" style="1"/>
  </cols>
  <sheetData>
    <row r="1" spans="1:34">
      <c r="A1" s="6" t="s">
        <v>91</v>
      </c>
      <c r="B1" s="7"/>
      <c r="C1" s="8"/>
      <c r="D1" s="7"/>
      <c r="E1" s="9">
        <v>41640</v>
      </c>
      <c r="F1" s="9">
        <v>42004</v>
      </c>
      <c r="G1" s="10">
        <v>2014</v>
      </c>
      <c r="H1" s="7"/>
      <c r="I1" s="9">
        <v>42005</v>
      </c>
      <c r="J1" s="9">
        <v>42369</v>
      </c>
      <c r="K1" s="10">
        <v>2015</v>
      </c>
      <c r="L1" s="7"/>
      <c r="M1" s="9">
        <v>42005</v>
      </c>
      <c r="N1" s="9">
        <v>42185</v>
      </c>
      <c r="O1" s="10" t="s">
        <v>62</v>
      </c>
      <c r="P1" s="7"/>
      <c r="Q1" s="9">
        <v>42095</v>
      </c>
      <c r="R1" s="9">
        <v>42185</v>
      </c>
      <c r="S1" s="10" t="s">
        <v>60</v>
      </c>
      <c r="T1" s="7"/>
      <c r="U1" s="9">
        <v>42370</v>
      </c>
      <c r="V1" s="9">
        <v>42551</v>
      </c>
      <c r="W1" s="10" t="s">
        <v>62</v>
      </c>
      <c r="X1" s="7"/>
      <c r="Y1" s="9">
        <v>42736</v>
      </c>
      <c r="Z1" s="9">
        <v>43100</v>
      </c>
      <c r="AA1" s="10" t="s">
        <v>580</v>
      </c>
      <c r="AB1" s="125"/>
      <c r="AC1" s="119"/>
      <c r="AD1" s="119"/>
      <c r="AE1" s="11" t="s">
        <v>7</v>
      </c>
    </row>
    <row r="2" spans="1:34" ht="19.2">
      <c r="A2" s="6"/>
      <c r="B2" s="7"/>
      <c r="C2" s="12"/>
      <c r="D2" s="7"/>
      <c r="E2" s="106"/>
      <c r="F2" s="104">
        <v>2014</v>
      </c>
      <c r="G2" s="107"/>
      <c r="H2" s="7"/>
      <c r="I2" s="106"/>
      <c r="J2" s="104">
        <v>2015</v>
      </c>
      <c r="K2" s="107"/>
      <c r="L2" s="7"/>
      <c r="M2" s="106"/>
      <c r="N2" s="104" t="s">
        <v>62</v>
      </c>
      <c r="O2" s="107"/>
      <c r="P2" s="7"/>
      <c r="Q2" s="106"/>
      <c r="R2" s="104" t="s">
        <v>60</v>
      </c>
      <c r="S2" s="107"/>
      <c r="T2" s="7"/>
      <c r="U2" s="106"/>
      <c r="V2" s="270" t="s">
        <v>667</v>
      </c>
      <c r="W2" s="107"/>
      <c r="X2" s="7"/>
      <c r="Y2" s="429" t="s">
        <v>580</v>
      </c>
      <c r="Z2" s="430"/>
      <c r="AA2" s="431"/>
      <c r="AB2" s="125"/>
      <c r="AC2" s="119"/>
      <c r="AD2" s="119"/>
      <c r="AE2" s="13" t="s">
        <v>91</v>
      </c>
    </row>
    <row r="3" spans="1:34">
      <c r="A3" s="6"/>
      <c r="B3" s="7"/>
      <c r="C3" s="94"/>
      <c r="D3" s="7"/>
      <c r="E3" s="108"/>
      <c r="F3" s="139" t="s">
        <v>30</v>
      </c>
      <c r="G3" s="109"/>
      <c r="H3" s="7"/>
      <c r="I3" s="108"/>
      <c r="J3" s="139" t="s">
        <v>86</v>
      </c>
      <c r="K3" s="109"/>
      <c r="L3" s="7"/>
      <c r="M3" s="108"/>
      <c r="N3" s="105" t="s">
        <v>56</v>
      </c>
      <c r="O3" s="109"/>
      <c r="P3" s="7"/>
      <c r="Q3" s="108"/>
      <c r="R3" s="105" t="s">
        <v>61</v>
      </c>
      <c r="S3" s="109"/>
      <c r="T3" s="7"/>
      <c r="U3" s="108"/>
      <c r="V3" s="139" t="s">
        <v>532</v>
      </c>
      <c r="W3" s="109"/>
      <c r="X3" s="7"/>
      <c r="Y3" s="432"/>
      <c r="Z3" s="433"/>
      <c r="AA3" s="434"/>
      <c r="AB3" s="125"/>
      <c r="AC3" s="119"/>
      <c r="AD3" s="119"/>
      <c r="AE3" s="11" t="s">
        <v>29</v>
      </c>
      <c r="AF3" s="11" t="s">
        <v>58</v>
      </c>
    </row>
    <row r="4" spans="1:34">
      <c r="A4" s="6"/>
      <c r="B4" s="7"/>
      <c r="C4" s="90"/>
      <c r="D4" s="7"/>
      <c r="E4" s="91"/>
      <c r="F4" s="92"/>
      <c r="G4" s="93"/>
      <c r="H4" s="7"/>
      <c r="I4" s="91"/>
      <c r="J4" s="92"/>
      <c r="K4" s="93"/>
      <c r="L4" s="7"/>
      <c r="M4" s="91"/>
      <c r="N4" s="92"/>
      <c r="O4" s="93"/>
      <c r="P4" s="7"/>
      <c r="Q4" s="91"/>
      <c r="R4" s="92"/>
      <c r="S4" s="93"/>
      <c r="T4" s="7"/>
      <c r="U4" s="91"/>
      <c r="V4" s="92"/>
      <c r="W4" s="93"/>
      <c r="X4" s="7"/>
      <c r="Y4" s="91"/>
      <c r="Z4" s="92"/>
      <c r="AA4" s="93"/>
      <c r="AB4" s="125"/>
      <c r="AC4" s="119"/>
      <c r="AD4" s="119"/>
      <c r="AE4" s="13">
        <v>64</v>
      </c>
      <c r="AF4" s="13"/>
    </row>
    <row r="5" spans="1:34">
      <c r="A5" s="6"/>
      <c r="B5" s="7"/>
      <c r="C5" s="88" t="s">
        <v>527</v>
      </c>
      <c r="D5" s="34"/>
      <c r="E5" s="15"/>
      <c r="F5" s="89">
        <v>48</v>
      </c>
      <c r="G5" s="16"/>
      <c r="H5" s="34"/>
      <c r="I5" s="15"/>
      <c r="J5" s="89">
        <v>48</v>
      </c>
      <c r="K5" s="16"/>
      <c r="L5" s="34"/>
      <c r="M5" s="15"/>
      <c r="N5" s="89">
        <f>$AE$4</f>
        <v>64</v>
      </c>
      <c r="O5" s="16"/>
      <c r="P5" s="34"/>
      <c r="Q5" s="15"/>
      <c r="R5" s="89">
        <f>$AE$4</f>
        <v>64</v>
      </c>
      <c r="S5" s="16"/>
      <c r="T5" s="34"/>
      <c r="U5" s="15"/>
      <c r="V5" s="89">
        <v>48</v>
      </c>
      <c r="W5" s="16"/>
      <c r="X5" s="34"/>
      <c r="Y5" s="15"/>
      <c r="Z5" s="89">
        <v>48</v>
      </c>
      <c r="AA5" s="16"/>
      <c r="AB5" s="125"/>
      <c r="AC5" s="119"/>
      <c r="AD5" s="119"/>
      <c r="AE5" s="11" t="s">
        <v>8</v>
      </c>
      <c r="AF5" s="11" t="s">
        <v>72</v>
      </c>
      <c r="AG5" s="11" t="s">
        <v>84</v>
      </c>
      <c r="AH5" s="11" t="s">
        <v>85</v>
      </c>
    </row>
    <row r="6" spans="1:34">
      <c r="A6" s="6"/>
      <c r="B6" s="7"/>
      <c r="C6" s="88" t="s">
        <v>528</v>
      </c>
      <c r="D6" s="34"/>
      <c r="E6" s="15"/>
      <c r="F6" s="89">
        <v>16</v>
      </c>
      <c r="G6" s="16"/>
      <c r="H6" s="34"/>
      <c r="I6" s="15"/>
      <c r="J6" s="89">
        <v>16</v>
      </c>
      <c r="K6" s="16"/>
      <c r="L6" s="34"/>
      <c r="M6" s="15"/>
      <c r="N6" s="89"/>
      <c r="O6" s="16"/>
      <c r="P6" s="34"/>
      <c r="Q6" s="15"/>
      <c r="R6" s="89"/>
      <c r="S6" s="16"/>
      <c r="T6" s="34"/>
      <c r="U6" s="15"/>
      <c r="V6" s="89">
        <v>16</v>
      </c>
      <c r="W6" s="16"/>
      <c r="X6" s="34"/>
      <c r="Y6" s="15"/>
      <c r="Z6" s="89">
        <v>16</v>
      </c>
      <c r="AA6" s="16"/>
      <c r="AB6" s="125"/>
      <c r="AC6" s="119"/>
      <c r="AD6" s="119"/>
      <c r="AE6" s="13" t="s">
        <v>521</v>
      </c>
      <c r="AF6" s="13" t="s">
        <v>520</v>
      </c>
      <c r="AG6" s="13" t="s">
        <v>522</v>
      </c>
      <c r="AH6" s="13" t="s">
        <v>523</v>
      </c>
    </row>
    <row r="7" spans="1:34">
      <c r="A7" s="6"/>
      <c r="B7" s="7"/>
      <c r="C7" s="19" t="s">
        <v>29</v>
      </c>
      <c r="D7" s="34"/>
      <c r="E7" s="110"/>
      <c r="F7" s="111">
        <f>F6+F5</f>
        <v>64</v>
      </c>
      <c r="G7" s="112"/>
      <c r="H7" s="34"/>
      <c r="I7" s="110"/>
      <c r="J7" s="111">
        <f>J6+J5</f>
        <v>64</v>
      </c>
      <c r="K7" s="112"/>
      <c r="L7" s="34"/>
      <c r="M7" s="110"/>
      <c r="N7" s="111">
        <f>$AF$4</f>
        <v>0</v>
      </c>
      <c r="O7" s="112"/>
      <c r="P7" s="34"/>
      <c r="Q7" s="110"/>
      <c r="R7" s="111">
        <f>$AF$4</f>
        <v>0</v>
      </c>
      <c r="S7" s="112"/>
      <c r="T7" s="34"/>
      <c r="U7" s="110"/>
      <c r="V7" s="111">
        <f>V6+V5</f>
        <v>64</v>
      </c>
      <c r="W7" s="112"/>
      <c r="X7" s="34"/>
      <c r="Y7" s="110"/>
      <c r="Z7" s="111">
        <f>Z6+Z5</f>
        <v>64</v>
      </c>
      <c r="AA7" s="112"/>
      <c r="AB7" s="125"/>
      <c r="AC7" s="119"/>
      <c r="AD7" s="119"/>
      <c r="AE7" s="11" t="s">
        <v>9</v>
      </c>
      <c r="AF7" s="11" t="s">
        <v>10</v>
      </c>
      <c r="AG7" s="11" t="s">
        <v>10</v>
      </c>
      <c r="AH7" s="11" t="s">
        <v>10</v>
      </c>
    </row>
    <row r="8" spans="1:34">
      <c r="A8" s="6"/>
      <c r="B8" s="7"/>
      <c r="C8" s="18"/>
      <c r="D8" s="7"/>
      <c r="E8" s="113"/>
      <c r="F8" s="114"/>
      <c r="G8" s="115"/>
      <c r="H8" s="7"/>
      <c r="I8" s="113"/>
      <c r="J8" s="114"/>
      <c r="K8" s="115"/>
      <c r="L8" s="7"/>
      <c r="M8" s="113"/>
      <c r="N8" s="114"/>
      <c r="O8" s="115"/>
      <c r="P8" s="7"/>
      <c r="Q8" s="113"/>
      <c r="R8" s="114"/>
      <c r="S8" s="115"/>
      <c r="T8" s="7"/>
      <c r="U8" s="113"/>
      <c r="V8" s="114"/>
      <c r="W8" s="115"/>
      <c r="X8" s="7"/>
      <c r="Y8" s="113"/>
      <c r="Z8" s="114"/>
      <c r="AA8" s="115"/>
      <c r="AB8" s="125"/>
      <c r="AC8" s="119"/>
      <c r="AD8" s="119"/>
      <c r="AE8" s="11" t="str">
        <f>"'"&amp;$AE2&amp;"'"&amp;"!"&amp;AE6</f>
        <v>'Quail Run'!$B$2:$B$590</v>
      </c>
      <c r="AF8" s="11" t="str">
        <f>"'"&amp;$AE2&amp;"'"&amp;"!"&amp;AF6</f>
        <v>'Quail Run'!$H$2:$H$590</v>
      </c>
      <c r="AG8" s="11" t="str">
        <f>"'"&amp;$AE2&amp;"'"&amp;"!"&amp;AG6</f>
        <v>'Quail Run'!$I$2:$I$590</v>
      </c>
      <c r="AH8" s="11" t="str">
        <f>"'"&amp;$AE2&amp;"'"&amp;"!"&amp;AH6</f>
        <v>'Quail Run'!$J$2:$J$590</v>
      </c>
    </row>
    <row r="9" spans="1:34" ht="20.399999999999999" thickBot="1">
      <c r="B9" s="7"/>
      <c r="C9" s="18" t="s">
        <v>11</v>
      </c>
      <c r="D9" s="7"/>
      <c r="E9" s="95" t="s">
        <v>668</v>
      </c>
      <c r="F9" s="138" t="s">
        <v>669</v>
      </c>
      <c r="G9" s="21" t="s">
        <v>13</v>
      </c>
      <c r="H9" s="7"/>
      <c r="I9" s="95" t="s">
        <v>12</v>
      </c>
      <c r="J9" s="96" t="s">
        <v>63</v>
      </c>
      <c r="K9" s="21" t="s">
        <v>13</v>
      </c>
      <c r="L9" s="7"/>
      <c r="M9" s="95" t="s">
        <v>12</v>
      </c>
      <c r="N9" s="96" t="s">
        <v>63</v>
      </c>
      <c r="O9" s="21" t="s">
        <v>13</v>
      </c>
      <c r="P9" s="7"/>
      <c r="Q9" s="95" t="s">
        <v>12</v>
      </c>
      <c r="R9" s="96" t="s">
        <v>63</v>
      </c>
      <c r="S9" s="21" t="s">
        <v>13</v>
      </c>
      <c r="T9" s="7"/>
      <c r="U9" s="95" t="s">
        <v>12</v>
      </c>
      <c r="V9" s="96" t="s">
        <v>63</v>
      </c>
      <c r="W9" s="21" t="s">
        <v>13</v>
      </c>
      <c r="X9" s="7"/>
      <c r="Y9" s="95" t="s">
        <v>12</v>
      </c>
      <c r="Z9" s="138" t="s">
        <v>63</v>
      </c>
      <c r="AA9" s="21" t="s">
        <v>13</v>
      </c>
      <c r="AB9" s="125"/>
      <c r="AC9" s="119"/>
      <c r="AD9" s="119"/>
      <c r="AE9" s="116"/>
      <c r="AG9" s="116"/>
      <c r="AH9" s="116"/>
    </row>
    <row r="10" spans="1:34">
      <c r="A10" s="17">
        <v>101</v>
      </c>
      <c r="B10" s="7"/>
      <c r="C10" s="22" t="s">
        <v>550</v>
      </c>
      <c r="D10" s="7"/>
      <c r="E10" s="224">
        <f>SUM(Census!B3:M3)/E63-E11</f>
        <v>43</v>
      </c>
      <c r="F10" s="225">
        <f ca="1">F17</f>
        <v>3746.9086627906968</v>
      </c>
      <c r="G10" s="226">
        <f>IFERROR(E10/E$12,0)</f>
        <v>0.84313725490196079</v>
      </c>
      <c r="H10" s="7"/>
      <c r="I10" s="224">
        <f>SUM(Census!N3:Y3)/I63-I11</f>
        <v>45.75</v>
      </c>
      <c r="J10" s="225">
        <f ca="1">J17</f>
        <v>3881.2332240437158</v>
      </c>
      <c r="K10" s="226">
        <f>IFERROR(I10/I$12,0)</f>
        <v>0.85116279069767442</v>
      </c>
      <c r="L10" s="7"/>
      <c r="M10" s="23">
        <f t="array" aca="1" ref="M10" ca="1">IFERROR(SUM(IF($A10=INDIRECT($AE$8),IF(M$1&lt;=INDIRECT(#REF!),IF(N$1&gt;=INDIRECT(#REF!),INDIRECT($AF$8)/M$61,""),""),"")),0)</f>
        <v>0</v>
      </c>
      <c r="N10" s="24">
        <f ca="1">N17</f>
        <v>0</v>
      </c>
      <c r="O10" s="25">
        <f ca="1">IFERROR(M10/M$12,0)</f>
        <v>0</v>
      </c>
      <c r="P10" s="7"/>
      <c r="Q10" s="23">
        <f t="array" aca="1" ref="Q10" ca="1">IFERROR(SUM(IF($A10=INDIRECT($AE$8),IF(Q$1&lt;=INDIRECT(#REF!),IF(R$1&gt;=INDIRECT(#REF!),INDIRECT($AF$8)/Q$61,""),""),"")),0)</f>
        <v>0</v>
      </c>
      <c r="R10" s="24">
        <f ca="1">R17</f>
        <v>0</v>
      </c>
      <c r="S10" s="25">
        <f ca="1">IFERROR(Q10/Q$12,0)</f>
        <v>0</v>
      </c>
      <c r="T10" s="7"/>
      <c r="U10" s="224">
        <f>SUM(Census!Z3:AE3)/U63-U11</f>
        <v>44.666666666666664</v>
      </c>
      <c r="V10" s="225">
        <f ca="1">V17</f>
        <v>3975.6386567164182</v>
      </c>
      <c r="W10" s="226">
        <f>IFERROR(U10/U$12,0)</f>
        <v>0.84810126582278478</v>
      </c>
      <c r="X10" s="7"/>
      <c r="Y10" s="224">
        <f>AE12</f>
        <v>45</v>
      </c>
      <c r="Z10" s="225">
        <f>Z17</f>
        <v>3900</v>
      </c>
      <c r="AA10" s="226">
        <f>IFERROR(Y10/Y$12,0)</f>
        <v>0.77586206896551724</v>
      </c>
      <c r="AC10" s="435" t="s">
        <v>653</v>
      </c>
      <c r="AD10" s="436"/>
      <c r="AE10" s="436"/>
      <c r="AF10" s="371"/>
      <c r="AG10" s="116"/>
      <c r="AH10" s="116"/>
    </row>
    <row r="11" spans="1:34" ht="18.600000000000001" thickBot="1">
      <c r="A11" s="17">
        <v>102</v>
      </c>
      <c r="B11" s="7"/>
      <c r="C11" s="22" t="s">
        <v>546</v>
      </c>
      <c r="D11" s="7"/>
      <c r="E11" s="224">
        <f>ALZ_CENSUS_2014</f>
        <v>8</v>
      </c>
      <c r="F11" s="225">
        <f ca="1">F18</f>
        <v>5605.1913541666663</v>
      </c>
      <c r="G11" s="226">
        <f>IFERROR(E11/E$12,0)</f>
        <v>0.15686274509803921</v>
      </c>
      <c r="H11" s="7"/>
      <c r="I11" s="224">
        <f>ALZ_CENSUS_2015</f>
        <v>8</v>
      </c>
      <c r="J11" s="225">
        <f ca="1">J18</f>
        <v>4187.0323958333329</v>
      </c>
      <c r="K11" s="226">
        <f>IFERROR(I11/I$12,0)</f>
        <v>0.14883720930232558</v>
      </c>
      <c r="L11" s="7"/>
      <c r="M11" s="23">
        <f t="array" aca="1" ref="M11" ca="1">IFERROR(SUM(IF($A11=INDIRECT($AE$8),IF(M$1&lt;=INDIRECT(#REF!),IF(N$1&gt;=INDIRECT(#REF!),INDIRECT($AF$8)/M$61,""),""),"")),0)</f>
        <v>0</v>
      </c>
      <c r="N11" s="24">
        <f ca="1">N18</f>
        <v>0</v>
      </c>
      <c r="O11" s="25">
        <f ca="1">IFERROR(M11/M$12,0)</f>
        <v>0</v>
      </c>
      <c r="P11" s="7"/>
      <c r="Q11" s="23">
        <f t="array" aca="1" ref="Q11" ca="1">IFERROR(SUM(IF($A11=INDIRECT($AE$8),IF(Q$1&lt;=INDIRECT(#REF!),IF(R$1&gt;=INDIRECT(#REF!),INDIRECT($AF$8)/Q$61,""),""),"")),0)</f>
        <v>0</v>
      </c>
      <c r="R11" s="24">
        <f ca="1">R18</f>
        <v>0</v>
      </c>
      <c r="S11" s="25">
        <f ca="1">IFERROR(Q11/Q$12,0)</f>
        <v>0</v>
      </c>
      <c r="T11" s="7"/>
      <c r="U11" s="224">
        <f>ALZ_CENSUS_2016</f>
        <v>8</v>
      </c>
      <c r="V11" s="225">
        <f ca="1">V18</f>
        <v>4429.7195833333335</v>
      </c>
      <c r="W11" s="226">
        <f>IFERROR(U11/U$12,0)</f>
        <v>0.15189873417721519</v>
      </c>
      <c r="X11" s="7"/>
      <c r="Y11" s="224">
        <f>AE13</f>
        <v>13</v>
      </c>
      <c r="Z11" s="225">
        <f>Z18</f>
        <v>4200</v>
      </c>
      <c r="AA11" s="226">
        <f>IFERROR(Y11/Y$12,0)</f>
        <v>0.22413793103448276</v>
      </c>
      <c r="AC11" s="367"/>
      <c r="AD11" s="154"/>
      <c r="AE11" s="154"/>
      <c r="AF11" s="376"/>
      <c r="AG11" s="117"/>
      <c r="AH11" s="116"/>
    </row>
    <row r="12" spans="1:34" ht="18.600000000000001" thickBot="1">
      <c r="A12" s="6"/>
      <c r="B12" s="7"/>
      <c r="C12" s="26" t="s">
        <v>14</v>
      </c>
      <c r="D12" s="7"/>
      <c r="E12" s="27">
        <f>SUM(E10:E11)</f>
        <v>51</v>
      </c>
      <c r="F12" s="28">
        <f ca="1">F$19</f>
        <v>4038.4039869281041</v>
      </c>
      <c r="G12" s="29">
        <f>E12/E$12</f>
        <v>1</v>
      </c>
      <c r="H12" s="7"/>
      <c r="I12" s="27">
        <f>SUM(I10:I11)</f>
        <v>53.75</v>
      </c>
      <c r="J12" s="28">
        <f ca="1">J$19</f>
        <v>3926.747519379845</v>
      </c>
      <c r="K12" s="29">
        <f>I12/I$12</f>
        <v>1</v>
      </c>
      <c r="L12" s="7"/>
      <c r="M12" s="27">
        <f ca="1">SUM(M10:M11)</f>
        <v>0</v>
      </c>
      <c r="N12" s="28">
        <f ca="1">N$19</f>
        <v>0</v>
      </c>
      <c r="O12" s="29" t="e">
        <f ca="1">M12/M$12</f>
        <v>#DIV/0!</v>
      </c>
      <c r="P12" s="7"/>
      <c r="Q12" s="27">
        <f ca="1">SUM(Q10:Q11)</f>
        <v>0</v>
      </c>
      <c r="R12" s="28">
        <f ca="1">R$19</f>
        <v>0</v>
      </c>
      <c r="S12" s="29" t="e">
        <f ca="1">Q12/Q$12</f>
        <v>#DIV/0!</v>
      </c>
      <c r="T12" s="7"/>
      <c r="U12" s="27">
        <f>SUM(U10:U11)</f>
        <v>52.666666666666664</v>
      </c>
      <c r="V12" s="28">
        <f ca="1">V$19</f>
        <v>4044.6129746835445</v>
      </c>
      <c r="W12" s="29">
        <f>U12/U$12</f>
        <v>1</v>
      </c>
      <c r="X12" s="7"/>
      <c r="Y12" s="27">
        <f>SUM(Y10:Y11)</f>
        <v>58</v>
      </c>
      <c r="Z12" s="28">
        <f>Z$19</f>
        <v>4046.5862068965516</v>
      </c>
      <c r="AA12" s="29">
        <f>Y12/Y$12</f>
        <v>1</v>
      </c>
      <c r="AC12" s="385" t="s">
        <v>656</v>
      </c>
      <c r="AD12" s="154"/>
      <c r="AE12" s="380">
        <v>45</v>
      </c>
      <c r="AF12" s="378"/>
      <c r="AG12" s="117"/>
      <c r="AH12" s="116"/>
    </row>
    <row r="13" spans="1:34" ht="18.600000000000001" thickBot="1">
      <c r="A13" s="6"/>
      <c r="B13" s="7"/>
      <c r="C13" s="30" t="s">
        <v>553</v>
      </c>
      <c r="D13" s="7"/>
      <c r="E13" s="31">
        <f>E12/F7</f>
        <v>0.796875</v>
      </c>
      <c r="F13" s="32"/>
      <c r="G13" s="33"/>
      <c r="H13" s="7"/>
      <c r="I13" s="31">
        <f>I12/J7</f>
        <v>0.83984375</v>
      </c>
      <c r="J13" s="32"/>
      <c r="K13" s="33"/>
      <c r="L13" s="7"/>
      <c r="M13" s="31" t="e">
        <f ca="1">M12/N7</f>
        <v>#DIV/0!</v>
      </c>
      <c r="N13" s="32"/>
      <c r="O13" s="33"/>
      <c r="P13" s="7"/>
      <c r="Q13" s="31" t="e">
        <f ca="1">Q12/R7</f>
        <v>#DIV/0!</v>
      </c>
      <c r="R13" s="32"/>
      <c r="S13" s="33"/>
      <c r="T13" s="7"/>
      <c r="U13" s="31">
        <f>U12/V7</f>
        <v>0.82291666666666663</v>
      </c>
      <c r="V13" s="32"/>
      <c r="W13" s="33"/>
      <c r="X13" s="7"/>
      <c r="Y13" s="31">
        <f>Y12/Z7</f>
        <v>0.90625</v>
      </c>
      <c r="Z13" s="32"/>
      <c r="AA13" s="33"/>
      <c r="AB13" s="125"/>
      <c r="AC13" s="385" t="s">
        <v>657</v>
      </c>
      <c r="AD13" s="154"/>
      <c r="AE13" s="380">
        <v>13</v>
      </c>
      <c r="AF13" s="379"/>
      <c r="AG13" s="117"/>
      <c r="AH13" s="116"/>
    </row>
    <row r="14" spans="1:34" ht="18.600000000000001" thickBot="1">
      <c r="A14" s="6"/>
      <c r="B14" s="7"/>
      <c r="C14" s="14"/>
      <c r="D14" s="34"/>
      <c r="E14" s="35"/>
      <c r="F14" s="36"/>
      <c r="G14" s="37"/>
      <c r="H14" s="34"/>
      <c r="I14" s="35"/>
      <c r="J14" s="36"/>
      <c r="K14" s="37"/>
      <c r="L14" s="34"/>
      <c r="M14" s="35"/>
      <c r="N14" s="36"/>
      <c r="O14" s="37"/>
      <c r="P14" s="34"/>
      <c r="Q14" s="35"/>
      <c r="R14" s="36"/>
      <c r="S14" s="37"/>
      <c r="T14" s="34"/>
      <c r="U14" s="35"/>
      <c r="V14" s="36"/>
      <c r="W14" s="37"/>
      <c r="X14" s="34"/>
      <c r="Y14" s="35"/>
      <c r="Z14" s="36"/>
      <c r="AA14" s="37"/>
      <c r="AB14" s="125"/>
      <c r="AC14" s="385"/>
      <c r="AD14" s="154"/>
      <c r="AE14" s="154"/>
      <c r="AF14" s="376"/>
      <c r="AG14" s="117"/>
      <c r="AH14" s="116"/>
    </row>
    <row r="15" spans="1:34" ht="18.600000000000001" thickBot="1">
      <c r="A15" s="6"/>
      <c r="B15" s="7"/>
      <c r="C15" s="38" t="s">
        <v>1</v>
      </c>
      <c r="D15" s="7"/>
      <c r="E15" s="20">
        <f>G$1</f>
        <v>2014</v>
      </c>
      <c r="F15" s="96" t="s">
        <v>63</v>
      </c>
      <c r="G15" s="21" t="s">
        <v>15</v>
      </c>
      <c r="H15" s="7"/>
      <c r="I15" s="20">
        <f>K$1</f>
        <v>2015</v>
      </c>
      <c r="J15" s="96" t="s">
        <v>63</v>
      </c>
      <c r="K15" s="21" t="s">
        <v>15</v>
      </c>
      <c r="L15" s="7"/>
      <c r="M15" s="20" t="str">
        <f>O$1</f>
        <v>T6A</v>
      </c>
      <c r="N15" s="96" t="s">
        <v>63</v>
      </c>
      <c r="O15" s="21" t="s">
        <v>15</v>
      </c>
      <c r="P15" s="7"/>
      <c r="Q15" s="20" t="str">
        <f>S$1</f>
        <v>T3A</v>
      </c>
      <c r="R15" s="96" t="s">
        <v>63</v>
      </c>
      <c r="S15" s="21" t="s">
        <v>15</v>
      </c>
      <c r="T15" s="7"/>
      <c r="U15" s="20" t="str">
        <f>W$1</f>
        <v>T6A</v>
      </c>
      <c r="V15" s="96" t="s">
        <v>63</v>
      </c>
      <c r="W15" s="21" t="s">
        <v>15</v>
      </c>
      <c r="X15" s="7"/>
      <c r="Y15" s="20" t="str">
        <f>AA$1</f>
        <v>Pro Forma</v>
      </c>
      <c r="Z15" s="138" t="s">
        <v>63</v>
      </c>
      <c r="AA15" s="21" t="s">
        <v>15</v>
      </c>
      <c r="AB15" s="125"/>
      <c r="AC15" s="385" t="s">
        <v>654</v>
      </c>
      <c r="AD15" s="154"/>
      <c r="AE15" s="381">
        <v>3900</v>
      </c>
      <c r="AF15" s="442" t="s">
        <v>671</v>
      </c>
      <c r="AG15" s="117"/>
      <c r="AH15" s="116"/>
    </row>
    <row r="16" spans="1:34" ht="18.600000000000001" thickBot="1">
      <c r="B16" s="7"/>
      <c r="C16" s="30" t="s">
        <v>37</v>
      </c>
      <c r="D16" s="7"/>
      <c r="E16" s="39"/>
      <c r="F16" s="40"/>
      <c r="G16" s="41"/>
      <c r="H16" s="7"/>
      <c r="I16" s="39"/>
      <c r="J16" s="40"/>
      <c r="K16" s="41"/>
      <c r="L16" s="7"/>
      <c r="M16" s="39"/>
      <c r="N16" s="40"/>
      <c r="O16" s="41"/>
      <c r="P16" s="7"/>
      <c r="Q16" s="39"/>
      <c r="R16" s="40"/>
      <c r="S16" s="41"/>
      <c r="T16" s="7"/>
      <c r="U16" s="39"/>
      <c r="V16" s="40"/>
      <c r="W16" s="41"/>
      <c r="X16" s="7"/>
      <c r="Y16" s="39"/>
      <c r="Z16" s="40"/>
      <c r="AA16" s="41"/>
      <c r="AB16" s="125"/>
      <c r="AC16" s="385" t="s">
        <v>655</v>
      </c>
      <c r="AD16" s="154"/>
      <c r="AE16" s="381">
        <v>4200</v>
      </c>
      <c r="AF16" s="442">
        <v>4450</v>
      </c>
      <c r="AG16" s="117"/>
      <c r="AH16" s="116"/>
    </row>
    <row r="17" spans="1:49" ht="18.600000000000001" thickBot="1">
      <c r="A17" s="42">
        <v>201</v>
      </c>
      <c r="B17" s="7"/>
      <c r="C17" s="22" t="s">
        <v>551</v>
      </c>
      <c r="D17" s="7"/>
      <c r="E17" s="133">
        <f t="array" aca="1" ref="E17" ca="1">SUM(IF($A17=INDIRECT($AE$8),INDIRECT(AF$8),""))*E$62</f>
        <v>1933404.8699999996</v>
      </c>
      <c r="F17" s="137">
        <f ca="1">IFERROR(E17/(E10*E$63*E$62),0)</f>
        <v>3746.9086627906968</v>
      </c>
      <c r="G17" s="132">
        <f t="shared" ref="G17:G20" ca="1" si="0">IFERROR(E17/E$29,0)</f>
        <v>0.75323053329892542</v>
      </c>
      <c r="H17" s="7"/>
      <c r="I17" s="43">
        <f t="array" aca="1" ref="I17" ca="1">SUM(IF($A17=INDIRECT($AE$8),INDIRECT(AG$8),""))*I$62</f>
        <v>2130797.04</v>
      </c>
      <c r="J17" s="24">
        <f ca="1">IFERROR(I17/(I10*I$63*I$62),0)</f>
        <v>3881.2332240437158</v>
      </c>
      <c r="K17" s="25">
        <f t="shared" ref="K17:K20" ca="1" si="1">IFERROR(I17/I$29,0)</f>
        <v>0.80564472653845631</v>
      </c>
      <c r="L17" s="7"/>
      <c r="M17" s="43">
        <f t="array" aca="1" ref="M17" ca="1">IFERROR(SUM(IF($A17=INDIRECT($AE$8),IF(M$1&lt;=INDIRECT(#REF!),IF(N$1&gt;=INDIRECT(#REF!),INDIRECT($AF$8)*M$62,""),""),"")),0)</f>
        <v>0</v>
      </c>
      <c r="N17" s="24">
        <f ca="1">IFERROR(M17/(M10*M$63*M$62),0)</f>
        <v>0</v>
      </c>
      <c r="O17" s="25">
        <f ca="1">IFERROR(M17/M$29,0)</f>
        <v>0</v>
      </c>
      <c r="P17" s="7"/>
      <c r="Q17" s="43">
        <f t="array" aca="1" ref="Q17" ca="1">IFERROR(SUM(IF($A17=INDIRECT($AE$8),IF(Q$1&lt;=INDIRECT(#REF!),IF(R$1&gt;=INDIRECT(#REF!),INDIRECT($AF$8)*Q$62,""),""),"")),0)</f>
        <v>0</v>
      </c>
      <c r="R17" s="24">
        <f ca="1">IFERROR(Q17/(Q10*Q$63*Q$62),0)</f>
        <v>0</v>
      </c>
      <c r="S17" s="25">
        <f ca="1">IFERROR(Q17/Q$29,0)</f>
        <v>0</v>
      </c>
      <c r="T17" s="7"/>
      <c r="U17" s="43">
        <f t="array" aca="1" ref="U17" ca="1">SUM(IF($A17=INDIRECT($AE$8),INDIRECT(AH$8),""))*U$62</f>
        <v>2136796.557142857</v>
      </c>
      <c r="V17" s="24">
        <f ca="1">IFERROR(U17/(U10*U$63*U$62),0)</f>
        <v>3975.6386567164182</v>
      </c>
      <c r="W17" s="25">
        <f t="shared" ref="W17:W20" ca="1" si="2">IFERROR(U17/U$29,0)</f>
        <v>0.80613535927580671</v>
      </c>
      <c r="X17" s="7"/>
      <c r="Y17" s="133">
        <f>(Y10*Z10*Y63)*INFLATION</f>
        <v>2148120</v>
      </c>
      <c r="Z17" s="137">
        <f>AE15</f>
        <v>3900</v>
      </c>
      <c r="AA17" s="132">
        <f t="shared" ref="AA17:AA23" ca="1" si="3">IFERROR(Y17/Y$29,0)</f>
        <v>0.73295961812929178</v>
      </c>
      <c r="AB17" s="125"/>
      <c r="AC17" s="385"/>
      <c r="AD17" s="154"/>
      <c r="AE17" s="154"/>
      <c r="AF17" s="368"/>
      <c r="AG17" s="117"/>
      <c r="AH17" s="116"/>
    </row>
    <row r="18" spans="1:49" ht="18.600000000000001" thickBot="1">
      <c r="A18" s="42">
        <v>202</v>
      </c>
      <c r="B18" s="7"/>
      <c r="C18" s="22" t="s">
        <v>546</v>
      </c>
      <c r="D18" s="7"/>
      <c r="E18" s="216">
        <f t="array" aca="1" ref="E18" ca="1">SUM(IF($A18=INDIRECT($AE$8),INDIRECT(AF$8),""))*E$62</f>
        <v>538098.37</v>
      </c>
      <c r="F18" s="137">
        <f ca="1">IFERROR(E18/(E11*E$63*E$62),0)</f>
        <v>5605.1913541666663</v>
      </c>
      <c r="G18" s="132">
        <f t="shared" ca="1" si="0"/>
        <v>0.20963644422928476</v>
      </c>
      <c r="H18" s="7"/>
      <c r="I18" s="133">
        <f t="array" aca="1" ref="I18" ca="1">SUM(IF($A18=INDIRECT($AE$8),INDIRECT(AG$8),""))*I$62</f>
        <v>401955.11</v>
      </c>
      <c r="J18" s="24">
        <f ca="1">IFERROR(I18/(I11*I$63*I$62),0)</f>
        <v>4187.0323958333329</v>
      </c>
      <c r="K18" s="25">
        <f t="shared" ca="1" si="1"/>
        <v>0.15197740967233797</v>
      </c>
      <c r="L18" s="7"/>
      <c r="M18" s="43">
        <f t="array" aca="1" ref="M18" ca="1">IFERROR(SUM(IF($A18=INDIRECT($AE$8),IF(M$1&lt;=INDIRECT(#REF!),IF(N$1&gt;=INDIRECT(#REF!),INDIRECT($AF$8)*M$62,""),""),"")),0)</f>
        <v>0</v>
      </c>
      <c r="N18" s="24">
        <f ca="1">IFERROR(M18/(M11*M$63*M$62),0)</f>
        <v>0</v>
      </c>
      <c r="O18" s="25">
        <f ca="1">IFERROR(M18/M$29,0)</f>
        <v>0</v>
      </c>
      <c r="P18" s="7"/>
      <c r="Q18" s="43">
        <f t="array" aca="1" ref="Q18" ca="1">IFERROR(SUM(IF($A18=INDIRECT($AE$8),IF(Q$1&lt;=INDIRECT(#REF!),IF(R$1&gt;=INDIRECT(#REF!),INDIRECT($AF$8)*Q$62,""),""),"")),0)</f>
        <v>0</v>
      </c>
      <c r="R18" s="24">
        <f ca="1">IFERROR(Q18/(Q11*Q$63*Q$62),0)</f>
        <v>0</v>
      </c>
      <c r="S18" s="25">
        <f ca="1">IFERROR(Q18/Q$29,0)</f>
        <v>0</v>
      </c>
      <c r="T18" s="7"/>
      <c r="U18" s="133">
        <f t="array" aca="1" ref="U18" ca="1">SUM(IF($A18=INDIRECT($AE$8),INDIRECT(AH$8),""))*U$62</f>
        <v>426421.35769230768</v>
      </c>
      <c r="V18" s="24">
        <f ca="1">IFERROR(U18/(U11*U$63*U$62),0)</f>
        <v>4429.7195833333335</v>
      </c>
      <c r="W18" s="25">
        <f t="shared" ca="1" si="2"/>
        <v>0.16087321614080263</v>
      </c>
      <c r="X18" s="7"/>
      <c r="Y18" s="133">
        <f>(Z18*Y11*Y63)*INFLATION</f>
        <v>668304</v>
      </c>
      <c r="Z18" s="137">
        <f>AE16</f>
        <v>4200</v>
      </c>
      <c r="AA18" s="132">
        <f t="shared" ca="1" si="3"/>
        <v>0.22803188119577966</v>
      </c>
      <c r="AB18" s="125"/>
      <c r="AC18" s="385" t="s">
        <v>652</v>
      </c>
      <c r="AD18" s="154"/>
      <c r="AE18" s="381">
        <v>220</v>
      </c>
      <c r="AF18" s="368"/>
      <c r="AG18" s="116"/>
      <c r="AH18" s="116"/>
    </row>
    <row r="19" spans="1:49" ht="18.600000000000001" thickBot="1">
      <c r="A19" s="44"/>
      <c r="B19" s="7"/>
      <c r="C19" s="45" t="s">
        <v>36</v>
      </c>
      <c r="D19" s="7"/>
      <c r="E19" s="46">
        <f ca="1">SUM(E17:E18)</f>
        <v>2471503.2399999998</v>
      </c>
      <c r="F19" s="47">
        <f ca="1">IFERROR(E19/(E$12*E$63*E$62),0)</f>
        <v>4038.4039869281041</v>
      </c>
      <c r="G19" s="48">
        <f t="shared" ca="1" si="0"/>
        <v>0.96286697752821027</v>
      </c>
      <c r="H19" s="7"/>
      <c r="I19" s="46">
        <f ca="1">SUM(I17:I18)</f>
        <v>2532752.15</v>
      </c>
      <c r="J19" s="47">
        <f ca="1">IFERROR(I19/(I$12*I$63*I$62),0)</f>
        <v>3926.747519379845</v>
      </c>
      <c r="K19" s="48">
        <f t="shared" ca="1" si="1"/>
        <v>0.95762213621079417</v>
      </c>
      <c r="L19" s="7"/>
      <c r="M19" s="46">
        <f ca="1">SUM(M17:M18)</f>
        <v>0</v>
      </c>
      <c r="N19" s="47">
        <f ca="1">IFERROR(M19/(M$12*M$63*M$62),0)</f>
        <v>0</v>
      </c>
      <c r="O19" s="48">
        <f ca="1">IFERROR(M19/M$29,0)</f>
        <v>0</v>
      </c>
      <c r="P19" s="7"/>
      <c r="Q19" s="46">
        <f ca="1">SUM(Q17:Q18)</f>
        <v>0</v>
      </c>
      <c r="R19" s="47">
        <f ca="1">IFERROR(Q19/(Q$12*Q$63*Q$62),0)</f>
        <v>0</v>
      </c>
      <c r="S19" s="48">
        <f ca="1">IFERROR(Q19/Q$29,0)</f>
        <v>0</v>
      </c>
      <c r="T19" s="7"/>
      <c r="U19" s="46">
        <f ca="1">SUM(U17:U18)</f>
        <v>2563217.9148351648</v>
      </c>
      <c r="V19" s="47">
        <f ca="1">IFERROR(U19/(U$12*U$63*U$62),0)</f>
        <v>4044.6129746835445</v>
      </c>
      <c r="W19" s="48">
        <f t="shared" ca="1" si="2"/>
        <v>0.96700857541660934</v>
      </c>
      <c r="X19" s="7"/>
      <c r="Y19" s="46">
        <f>SUM(Y17:Y18)</f>
        <v>2816424</v>
      </c>
      <c r="Z19" s="47">
        <f>IFERROR(Y19/(Y$12*Y$63*Y$62),0)</f>
        <v>4046.5862068965516</v>
      </c>
      <c r="AA19" s="48">
        <f t="shared" ca="1" si="3"/>
        <v>0.96099149932507144</v>
      </c>
      <c r="AB19" s="125"/>
      <c r="AC19" s="386" t="s">
        <v>658</v>
      </c>
      <c r="AD19" s="154"/>
      <c r="AE19" s="382">
        <v>1.02</v>
      </c>
      <c r="AF19" s="368"/>
      <c r="AG19" s="116"/>
      <c r="AH19" s="116"/>
    </row>
    <row r="20" spans="1:49">
      <c r="A20" s="42">
        <v>203</v>
      </c>
      <c r="B20" s="7"/>
      <c r="C20" s="49" t="s">
        <v>552</v>
      </c>
      <c r="D20" s="7"/>
      <c r="E20" s="43">
        <f t="array" aca="1" ref="E20" ca="1">SUM(IF($A20=INDIRECT($AE$8),INDIRECT(AF$8),""))*E$62</f>
        <v>23350</v>
      </c>
      <c r="F20" s="24">
        <f ca="1">IFERROR(E20/(E$12*E$63*E$62),0)</f>
        <v>38.153594771241828</v>
      </c>
      <c r="G20" s="25">
        <f t="shared" ca="1" si="0"/>
        <v>9.0968700997064895E-3</v>
      </c>
      <c r="H20" s="7"/>
      <c r="I20" s="43">
        <f t="array" aca="1" ref="I20" ca="1">SUM(IF($A20=INDIRECT($AE$8),INDIRECT(AG$8),""))*I$62</f>
        <v>44187</v>
      </c>
      <c r="J20" s="24">
        <f ca="1">IFERROR(I20/(I$12*I$63*I$62),0)</f>
        <v>68.506976744186048</v>
      </c>
      <c r="K20" s="25">
        <f t="shared" ca="1" si="1"/>
        <v>1.670690491082847E-2</v>
      </c>
      <c r="L20" s="7"/>
      <c r="M20" s="43">
        <f t="array" aca="1" ref="M20" ca="1">IFERROR(SUM(IF($A20=INDIRECT($AE$8),IF(M$1&lt;=INDIRECT(#REF!),IF(N$1&gt;=INDIRECT(#REF!),INDIRECT($AF$8)*M$62,""),""),"")),0)</f>
        <v>0</v>
      </c>
      <c r="N20" s="24">
        <f ca="1">IFERROR(M20/(M$12*M$63*M$62),0)</f>
        <v>0</v>
      </c>
      <c r="O20" s="25">
        <f ca="1">IFERROR(M20/M$29,0)</f>
        <v>0</v>
      </c>
      <c r="P20" s="7"/>
      <c r="Q20" s="43">
        <f t="array" aca="1" ref="Q20" ca="1">IFERROR(SUM(IF($A20=INDIRECT($AE$8),IF(Q$1&lt;=INDIRECT(#REF!),IF(R$1&gt;=INDIRECT(#REF!),INDIRECT($AF$8)*Q$62,""),""),"")),0)</f>
        <v>0</v>
      </c>
      <c r="R20" s="24">
        <f ca="1">IFERROR(Q20/(Q$12*Q$63*Q$62),0)</f>
        <v>0</v>
      </c>
      <c r="S20" s="25">
        <f ca="1">IFERROR(Q20/Q$29,0)</f>
        <v>0</v>
      </c>
      <c r="T20" s="7"/>
      <c r="U20" s="43">
        <f t="array" aca="1" ref="U20" ca="1">SUM(IF($A20=INDIRECT($AE$8),INDIRECT(AH$8),""))*U$62</f>
        <v>42686.95054945055</v>
      </c>
      <c r="V20" s="24">
        <f ca="1">IFERROR(U20/(U$12*U$63*U$62),0)</f>
        <v>67.357594936708864</v>
      </c>
      <c r="W20" s="25">
        <f t="shared" ca="1" si="2"/>
        <v>1.6104228595155545E-2</v>
      </c>
      <c r="X20" s="7"/>
      <c r="Y20" s="133">
        <f ca="1">I20*INFLATION</f>
        <v>45070.74</v>
      </c>
      <c r="Z20" s="137">
        <f ca="1">IFERROR(Y20/(Y$12*Y$63*Y$62),0)</f>
        <v>64.756810344827585</v>
      </c>
      <c r="AA20" s="132">
        <f t="shared" ca="1" si="3"/>
        <v>1.5378578654453473E-2</v>
      </c>
      <c r="AB20" s="125"/>
      <c r="AC20" s="384"/>
      <c r="AD20" s="154"/>
      <c r="AE20" s="383"/>
      <c r="AF20" s="368"/>
      <c r="AG20" s="116"/>
      <c r="AH20" s="116"/>
    </row>
    <row r="21" spans="1:49" ht="18.600000000000001" thickBot="1">
      <c r="A21" s="42">
        <v>206</v>
      </c>
      <c r="B21" s="7"/>
      <c r="C21" s="49" t="s">
        <v>57</v>
      </c>
      <c r="D21" s="7"/>
      <c r="E21" s="133">
        <f t="array" aca="1" ref="E21" ca="1">SUM(IF($A21=INDIRECT($AE$8),INDIRECT(AF$8),""))*E$62</f>
        <v>28386.53</v>
      </c>
      <c r="F21" s="137">
        <f ca="1">IFERROR(E21/(E$12*E$63*E$62),0)</f>
        <v>46.383218954248363</v>
      </c>
      <c r="G21" s="132">
        <f t="shared" ref="G21:G23" ca="1" si="4">IFERROR(E21/E$29,0)</f>
        <v>1.1059039657020181E-2</v>
      </c>
      <c r="H21" s="7"/>
      <c r="I21" s="133">
        <f t="array" aca="1" ref="I21" ca="1">SUM(IF($A21=INDIRECT($AE$8),INDIRECT(AG$8),""))*I$62</f>
        <v>31102.14</v>
      </c>
      <c r="J21" s="137">
        <f ca="1">IFERROR(I21/(I$12*I$63*I$62),0)</f>
        <v>48.220372093023258</v>
      </c>
      <c r="K21" s="132">
        <f t="shared" ref="K21:K23" ca="1" si="5">IFERROR(I21/I$29,0)</f>
        <v>1.1759578507327373E-2</v>
      </c>
      <c r="L21" s="7"/>
      <c r="M21" s="133"/>
      <c r="N21" s="137"/>
      <c r="O21" s="132"/>
      <c r="P21" s="7"/>
      <c r="Q21" s="133"/>
      <c r="R21" s="137"/>
      <c r="S21" s="132"/>
      <c r="T21" s="7"/>
      <c r="U21" s="133">
        <f t="array" aca="1" ref="U21" ca="1">SUM(IF($A21=INDIRECT($AE$8),INDIRECT(AH$8),""))*U$62</f>
        <v>23103.878296703297</v>
      </c>
      <c r="V21" s="137">
        <f ca="1">IFERROR(U21/(U$12*U$63*U$62),0)</f>
        <v>36.456613924050636</v>
      </c>
      <c r="W21" s="132">
        <f t="shared" ref="W21:W23" ca="1" si="6">IFERROR(U21/U$29,0)</f>
        <v>8.7162501124023704E-3</v>
      </c>
      <c r="X21" s="7"/>
      <c r="Y21" s="133">
        <f ca="1">I21*INFLATION</f>
        <v>31724.182799999999</v>
      </c>
      <c r="Z21" s="137">
        <f ca="1">IFERROR(Y21/(Y$12*Y$63*Y$62),0)</f>
        <v>45.580722413793104</v>
      </c>
      <c r="AA21" s="132">
        <f t="shared" ca="1" si="3"/>
        <v>1.0824602401426291E-2</v>
      </c>
      <c r="AB21" s="125"/>
      <c r="AC21" s="369"/>
      <c r="AD21" s="372"/>
      <c r="AE21" s="372"/>
      <c r="AF21" s="370"/>
      <c r="AG21" s="116"/>
      <c r="AH21" s="116"/>
    </row>
    <row r="22" spans="1:49">
      <c r="A22" s="42">
        <v>204</v>
      </c>
      <c r="B22" s="7"/>
      <c r="C22" s="49" t="s">
        <v>519</v>
      </c>
      <c r="D22" s="7"/>
      <c r="E22" s="133">
        <f t="array" aca="1" ref="E22" ca="1">SUM(IF($A22=INDIRECT($AE$8),INDIRECT(AF$8),""))*E$62</f>
        <v>32746.65</v>
      </c>
      <c r="F22" s="137">
        <f ca="1">IFERROR(E22/(E$12*E$63*E$62),0)</f>
        <v>53.507598039215686</v>
      </c>
      <c r="G22" s="132">
        <f t="shared" ca="1" si="4"/>
        <v>1.2757688276254968E-2</v>
      </c>
      <c r="H22" s="7"/>
      <c r="I22" s="133">
        <f t="array" aca="1" ref="I22" ca="1">SUM(IF($A22=INDIRECT($AE$8),INDIRECT(AG$8),""))*I$62</f>
        <v>29000</v>
      </c>
      <c r="J22" s="137">
        <f ca="1">IFERROR(I22/(I$12*I$63*I$62),0)</f>
        <v>44.961240310077521</v>
      </c>
      <c r="K22" s="132">
        <f t="shared" ca="1" si="5"/>
        <v>1.0964768878041632E-2</v>
      </c>
      <c r="L22" s="7"/>
      <c r="M22" s="43">
        <f t="array" aca="1" ref="M22" ca="1">IFERROR(SUM(IF($A23=INDIRECT($AE$8),IF(M$1&lt;=INDIRECT(#REF!),IF(N$1&gt;=INDIRECT(#REF!),INDIRECT($AF$8)*M$62,""),""),"")),0)</f>
        <v>0</v>
      </c>
      <c r="N22" s="24">
        <f ca="1">IFERROR(M22/(M$12*M$63*M$62),0)</f>
        <v>0</v>
      </c>
      <c r="O22" s="25">
        <f ca="1">IFERROR(M22/M$29,0)</f>
        <v>0</v>
      </c>
      <c r="P22" s="7"/>
      <c r="Q22" s="43">
        <f t="array" aca="1" ref="Q22" ca="1">IFERROR(SUM(IF($A23=INDIRECT($AE$8),IF(Q$1&lt;=INDIRECT(#REF!),IF(R$1&gt;=INDIRECT(#REF!),INDIRECT($AF$8)*Q$62,""),""),"")),0)</f>
        <v>0</v>
      </c>
      <c r="R22" s="24">
        <f ca="1">IFERROR(Q22/(Q$12*Q$63*Q$62),0)</f>
        <v>0</v>
      </c>
      <c r="S22" s="25">
        <f ca="1">IFERROR(Q22/Q$29,0)</f>
        <v>0</v>
      </c>
      <c r="T22" s="7"/>
      <c r="U22" s="133">
        <f t="array" aca="1" ref="U22" ca="1">SUM(IF($A22=INDIRECT($AE$8),INDIRECT(AH$8),""))*U$62</f>
        <v>21057.692307692309</v>
      </c>
      <c r="V22" s="137">
        <f ca="1">IFERROR(U22/(U$12*U$63*U$62),0)</f>
        <v>33.227848101265828</v>
      </c>
      <c r="W22" s="132">
        <f t="shared" ca="1" si="6"/>
        <v>7.9442988136778584E-3</v>
      </c>
      <c r="X22" s="7"/>
      <c r="Y22" s="133">
        <f ca="1">I22*INFLATION</f>
        <v>29580</v>
      </c>
      <c r="Z22" s="137">
        <f ca="1">IFERROR(Y22/(Y$12*Y$63*Y$62),0)</f>
        <v>42.5</v>
      </c>
      <c r="AA22" s="132">
        <f t="shared" ca="1" si="3"/>
        <v>1.0092986194562897E-2</v>
      </c>
      <c r="AB22" s="125"/>
      <c r="AC22" s="377"/>
      <c r="AD22" s="373"/>
      <c r="AE22" s="373"/>
      <c r="AF22" s="373"/>
      <c r="AG22" s="116"/>
      <c r="AH22" s="116"/>
    </row>
    <row r="23" spans="1:49">
      <c r="A23" s="42">
        <v>205</v>
      </c>
      <c r="B23" s="7"/>
      <c r="C23" s="49" t="s">
        <v>51</v>
      </c>
      <c r="D23" s="7"/>
      <c r="E23" s="133">
        <f t="array" aca="1" ref="E23" ca="1">SUM(IF($A23=INDIRECT($AE$8),INDIRECT(AF$8),""))*E$62</f>
        <v>10830.49</v>
      </c>
      <c r="F23" s="137">
        <f ca="1">IFERROR(E23/(E$12*E$63*E$62),0)</f>
        <v>17.696879084967321</v>
      </c>
      <c r="G23" s="132">
        <f t="shared" ca="1" si="4"/>
        <v>4.2194244388081429E-3</v>
      </c>
      <c r="H23" s="7"/>
      <c r="I23" s="133">
        <f t="array" aca="1" ref="I23" ca="1">SUM(IF($A23=INDIRECT($AE$8),INDIRECT(AG$8),""))*I$62</f>
        <v>7793.3</v>
      </c>
      <c r="J23" s="137">
        <f ca="1">IFERROR(I23/(I$12*I$63*I$62),0)</f>
        <v>12.082635658914729</v>
      </c>
      <c r="K23" s="132">
        <f t="shared" ca="1" si="5"/>
        <v>2.9466114930083399E-3</v>
      </c>
      <c r="L23" s="7"/>
      <c r="M23" s="133"/>
      <c r="N23" s="137"/>
      <c r="O23" s="132"/>
      <c r="P23" s="7"/>
      <c r="Q23" s="133"/>
      <c r="R23" s="137"/>
      <c r="S23" s="132"/>
      <c r="T23" s="7"/>
      <c r="U23" s="133">
        <f t="array" aca="1" ref="U23" ca="1">SUM(IF($A23=INDIRECT($AE$8),INDIRECT(AH$8),""))*U$62</f>
        <v>600.76593406593395</v>
      </c>
      <c r="V23" s="137">
        <f ca="1">IFERROR(U23/(U$12*U$63*U$62),0)</f>
        <v>0.9479746835443037</v>
      </c>
      <c r="W23" s="132">
        <f t="shared" ca="1" si="6"/>
        <v>2.2664706215479416E-4</v>
      </c>
      <c r="X23" s="7"/>
      <c r="Y23" s="133">
        <f ca="1">I23*INFLATION</f>
        <v>7949.1660000000002</v>
      </c>
      <c r="Z23" s="137">
        <f ca="1">IFERROR(Y23/(Y$12*Y$63*Y$62),0)</f>
        <v>11.421215517241379</v>
      </c>
      <c r="AA23" s="132">
        <f t="shared" ca="1" si="3"/>
        <v>2.7123334244857594E-3</v>
      </c>
      <c r="AB23" s="125"/>
      <c r="AC23" s="119"/>
      <c r="AD23" s="119"/>
      <c r="AE23" s="116"/>
      <c r="AG23" s="116"/>
      <c r="AH23" s="116"/>
    </row>
    <row r="24" spans="1:49" s="80" customFormat="1" hidden="1" outlineLevel="1">
      <c r="B24" s="76"/>
      <c r="C24" s="54"/>
      <c r="D24" s="7"/>
      <c r="E24" s="55"/>
      <c r="F24" s="34"/>
      <c r="G24" s="56"/>
      <c r="H24" s="7"/>
      <c r="I24" s="55"/>
      <c r="J24" s="34"/>
      <c r="K24" s="56"/>
      <c r="L24" s="7"/>
      <c r="M24" s="55"/>
      <c r="N24" s="34"/>
      <c r="O24" s="56"/>
      <c r="P24" s="7"/>
      <c r="Q24" s="55"/>
      <c r="R24" s="34"/>
      <c r="S24" s="56"/>
      <c r="T24" s="7"/>
      <c r="U24" s="55"/>
      <c r="V24" s="34"/>
      <c r="W24" s="56"/>
      <c r="X24" s="7"/>
      <c r="Y24" s="55"/>
      <c r="Z24" s="34"/>
      <c r="AA24" s="56"/>
      <c r="AB24" s="127"/>
      <c r="AC24" s="119"/>
      <c r="AD24" s="121"/>
      <c r="AE24" s="116"/>
      <c r="AG24" s="118"/>
      <c r="AH24" s="118"/>
      <c r="AI24" s="1"/>
      <c r="AJ24" s="1"/>
      <c r="AK24" s="1"/>
      <c r="AL24" s="1"/>
      <c r="AM24" s="1"/>
      <c r="AN24" s="1"/>
      <c r="AO24" s="1"/>
      <c r="AP24" s="1"/>
      <c r="AQ24" s="1"/>
      <c r="AR24" s="1"/>
      <c r="AS24" s="1"/>
      <c r="AT24" s="1"/>
      <c r="AU24" s="76"/>
      <c r="AV24" s="76"/>
      <c r="AW24" s="76"/>
    </row>
    <row r="25" spans="1:49" hidden="1" outlineLevel="1">
      <c r="A25" s="75">
        <v>1000</v>
      </c>
      <c r="B25" s="7"/>
      <c r="C25" s="77" t="s">
        <v>28</v>
      </c>
      <c r="D25" s="76"/>
      <c r="E25" s="78">
        <f t="array" aca="1" ref="E25" ca="1">SUM(IF($A25=INDIRECT($AE$8),INDIRECT(AF$8),""))*E$62</f>
        <v>0</v>
      </c>
      <c r="F25" s="81">
        <f ca="1">IFERROR(E25/(E$12*E$63*E$62),0)</f>
        <v>0</v>
      </c>
      <c r="G25" s="79">
        <f ca="1">IFERROR(E25/E$29,0)</f>
        <v>0</v>
      </c>
      <c r="H25" s="76"/>
      <c r="I25" s="78">
        <f t="array" aca="1" ref="I25" ca="1">SUM(IF($A25=INDIRECT($AE$8),INDIRECT(AG$8),""))*I$62</f>
        <v>0</v>
      </c>
      <c r="J25" s="81">
        <f ca="1">IFERROR(I25/(I$12*I$63*I$62),0)</f>
        <v>0</v>
      </c>
      <c r="K25" s="79">
        <f ca="1">IFERROR(I25/I$29,0)</f>
        <v>0</v>
      </c>
      <c r="L25" s="76"/>
      <c r="M25" s="78">
        <f t="array" aca="1" ref="M25" ca="1">IFERROR(SUM(IF($A25=INDIRECT($AE$8),IF(M$1&lt;=INDIRECT(#REF!),IF(N$1&gt;=INDIRECT(#REF!),INDIRECT($AF$8)*M$62,""),""),"")),0)</f>
        <v>0</v>
      </c>
      <c r="N25" s="81">
        <f ca="1">IFERROR(M25/(M$12*M$63*M$62),0)</f>
        <v>0</v>
      </c>
      <c r="O25" s="79">
        <f ca="1">IFERROR(M25/M$27,0)</f>
        <v>0</v>
      </c>
      <c r="P25" s="76"/>
      <c r="Q25" s="78">
        <f t="array" aca="1" ref="Q25" ca="1">IFERROR(SUM(IF($A25=INDIRECT($AE$8),IF(Q$1&lt;=INDIRECT(#REF!),IF(R$1&gt;=INDIRECT(#REF!),INDIRECT($AF$8)*Q$62,""),""),"")),0)</f>
        <v>0</v>
      </c>
      <c r="R25" s="81">
        <f ca="1">IFERROR(Q25/(Q$12*Q$63*Q$62),0)</f>
        <v>0</v>
      </c>
      <c r="S25" s="79">
        <f ca="1">IFERROR(Q25/Q$27,0)</f>
        <v>0</v>
      </c>
      <c r="T25" s="76"/>
      <c r="U25" s="78">
        <f t="array" aca="1" ref="U25" ca="1">SUM(IF($A25=INDIRECT($AE$8),INDIRECT(AH$8),""))*U$62</f>
        <v>0</v>
      </c>
      <c r="V25" s="81">
        <f ca="1">IFERROR(U25/(U$12*U$63*U$62),0)</f>
        <v>0</v>
      </c>
      <c r="W25" s="79">
        <f ca="1">IFERROR(U25/U$29,0)</f>
        <v>0</v>
      </c>
      <c r="X25" s="76"/>
      <c r="Y25" s="78">
        <f t="array" aca="1" ref="Y25" ca="1">SUM(IF($A25=INDIRECT($AE$8),INDIRECT(AL$8),""))*Y$62</f>
        <v>0</v>
      </c>
      <c r="Z25" s="81">
        <f ca="1">IFERROR(Y25/(Y$12*Y$63*Y$62),0)</f>
        <v>0</v>
      </c>
      <c r="AA25" s="79">
        <f ca="1">IFERROR(Y25/Y$29,0)</f>
        <v>0</v>
      </c>
      <c r="AB25" s="125"/>
      <c r="AC25" s="119"/>
      <c r="AD25" s="121"/>
      <c r="AE25" s="116"/>
      <c r="AG25" s="116"/>
      <c r="AH25" s="116"/>
    </row>
    <row r="26" spans="1:49" hidden="1" outlineLevel="1">
      <c r="A26" s="57">
        <v>980</v>
      </c>
      <c r="B26" s="7"/>
      <c r="C26" s="58" t="s">
        <v>23</v>
      </c>
      <c r="D26" s="7"/>
      <c r="E26" s="59">
        <f t="array" aca="1" ref="E26" ca="1">SUM(IF($A26=INDIRECT($AE$8),INDIRECT(AF$8),""))*E$62</f>
        <v>0</v>
      </c>
      <c r="F26" s="60">
        <f ca="1">IFERROR(E26/(E$12*E$63*E$62),0)</f>
        <v>0</v>
      </c>
      <c r="G26" s="61">
        <f ca="1">IFERROR(E26/E$29,0)</f>
        <v>0</v>
      </c>
      <c r="H26" s="7"/>
      <c r="I26" s="59">
        <f t="array" aca="1" ref="I26" ca="1">SUM(IF($A26=INDIRECT($AE$8),INDIRECT(AG$8),""))*I$62</f>
        <v>0</v>
      </c>
      <c r="J26" s="60">
        <f ca="1">IFERROR(I26/(I$12*I$63*I$62),0)</f>
        <v>0</v>
      </c>
      <c r="K26" s="61">
        <f ca="1">IFERROR(I26/I$29,0)</f>
        <v>0</v>
      </c>
      <c r="L26" s="7"/>
      <c r="M26" s="59">
        <f t="array" aca="1" ref="M26" ca="1">IFERROR(SUM(IF($A26=INDIRECT($AE$8),IF(M$1&lt;=INDIRECT(#REF!),IF(N$1&gt;=INDIRECT(#REF!),INDIRECT($AF$8)*M$62,""),""),"")),0)</f>
        <v>0</v>
      </c>
      <c r="N26" s="60">
        <f ca="1">IFERROR(M26/(M$12*M$63*M$62),0)</f>
        <v>0</v>
      </c>
      <c r="O26" s="61">
        <f ca="1">IFERROR(M26/M$27,0)</f>
        <v>0</v>
      </c>
      <c r="P26" s="7"/>
      <c r="Q26" s="59">
        <f t="array" aca="1" ref="Q26" ca="1">IFERROR(SUM(IF($A26=INDIRECT($AE$8),IF(Q$1&lt;=INDIRECT(#REF!),IF(R$1&gt;=INDIRECT(#REF!),INDIRECT($AF$8)*Q$62,""),""),"")),0)</f>
        <v>0</v>
      </c>
      <c r="R26" s="60">
        <f ca="1">IFERROR(Q26/(Q$12*Q$63*Q$62),0)</f>
        <v>0</v>
      </c>
      <c r="S26" s="61">
        <f ca="1">IFERROR(Q26/Q$27,0)</f>
        <v>0</v>
      </c>
      <c r="T26" s="7"/>
      <c r="U26" s="59">
        <f t="array" aca="1" ref="U26" ca="1">SUM(IF($A26=INDIRECT($AE$8),INDIRECT(AH$8),""))*U$62</f>
        <v>0</v>
      </c>
      <c r="V26" s="60">
        <f ca="1">IFERROR(U26/(U$12*U$63*U$62),0)</f>
        <v>0</v>
      </c>
      <c r="W26" s="61">
        <f ca="1">IFERROR(U26/U$29,0)</f>
        <v>0</v>
      </c>
      <c r="X26" s="7"/>
      <c r="Y26" s="135">
        <f t="array" aca="1" ref="Y26" ca="1">SUM(IF($A26=INDIRECT($AE$8),INDIRECT(AL$8),""))*Y$62</f>
        <v>0</v>
      </c>
      <c r="Z26" s="60">
        <f ca="1">IFERROR(Y26/(Y$12*Y$63*Y$62),0)</f>
        <v>0</v>
      </c>
      <c r="AA26" s="134">
        <f ca="1">IFERROR(Y26/Y$29,0)</f>
        <v>0</v>
      </c>
      <c r="AB26" s="125"/>
      <c r="AC26" s="119"/>
      <c r="AD26" s="119"/>
      <c r="AE26" s="116"/>
      <c r="AG26" s="116"/>
      <c r="AH26" s="116"/>
    </row>
    <row r="27" spans="1:49" hidden="1" outlineLevel="1">
      <c r="A27" s="44"/>
      <c r="B27" s="7"/>
      <c r="C27" s="62" t="s">
        <v>24</v>
      </c>
      <c r="D27" s="7"/>
      <c r="E27" s="63">
        <f ca="1">SUM(E19:E26)</f>
        <v>2566816.9099999997</v>
      </c>
      <c r="F27" s="64">
        <f ca="1">IFERROR(E27/(E$12*E$63*E$62),0)</f>
        <v>4194.1452777777777</v>
      </c>
      <c r="G27" s="65">
        <f ca="1">IFERROR(E27/E$29,0)</f>
        <v>1</v>
      </c>
      <c r="H27" s="7"/>
      <c r="I27" s="63">
        <f ca="1">SUM(I19:I26)</f>
        <v>2644834.59</v>
      </c>
      <c r="J27" s="64">
        <f ca="1">IFERROR(I27/(I$12*I$63*I$62),0)</f>
        <v>4100.5187441860462</v>
      </c>
      <c r="K27" s="65">
        <f ca="1">IFERROR(I27/I$29,0)</f>
        <v>1</v>
      </c>
      <c r="L27" s="7"/>
      <c r="M27" s="63">
        <f ca="1">SUM(M19:M26)</f>
        <v>0</v>
      </c>
      <c r="N27" s="64">
        <f ca="1">IFERROR(M27/(M$12*M$63*M$62),0)</f>
        <v>0</v>
      </c>
      <c r="O27" s="65">
        <f ca="1">IFERROR(M27/M$27,0)</f>
        <v>0</v>
      </c>
      <c r="P27" s="7"/>
      <c r="Q27" s="63">
        <f ca="1">SUM(Q19:Q26)</f>
        <v>0</v>
      </c>
      <c r="R27" s="64">
        <f ca="1">IFERROR(Q27/(Q$12*Q$63*Q$62),0)</f>
        <v>0</v>
      </c>
      <c r="S27" s="65">
        <f ca="1">IFERROR(Q27/Q$27,0)</f>
        <v>0</v>
      </c>
      <c r="T27" s="7"/>
      <c r="U27" s="63">
        <f ca="1">SUM(U19:U26)</f>
        <v>2650667.201923077</v>
      </c>
      <c r="V27" s="64">
        <f ca="1">IFERROR(U27/(U$12*U$63*U$62),0)</f>
        <v>4182.6030063291146</v>
      </c>
      <c r="W27" s="65">
        <f ca="1">IFERROR(U27/U$29,0)</f>
        <v>1</v>
      </c>
      <c r="X27" s="7"/>
      <c r="Y27" s="63">
        <f ca="1">SUM(Y19:Y26)</f>
        <v>2930748.0888000005</v>
      </c>
      <c r="Z27" s="64">
        <f ca="1">IFERROR(Y27/(Y$12*Y$63*Y$62),0)</f>
        <v>4210.8449551724143</v>
      </c>
      <c r="AA27" s="65">
        <f ca="1">IFERROR(Y27/Y$29,0)</f>
        <v>1</v>
      </c>
      <c r="AB27" s="126"/>
      <c r="AC27" s="119"/>
      <c r="AD27" s="119"/>
      <c r="AE27" s="116"/>
      <c r="AG27" s="116"/>
      <c r="AH27" s="116"/>
    </row>
    <row r="28" spans="1:49" hidden="1" outlineLevel="1">
      <c r="A28" s="6"/>
      <c r="B28" s="7"/>
      <c r="C28" s="49"/>
      <c r="D28" s="7"/>
      <c r="E28" s="43"/>
      <c r="F28" s="24"/>
      <c r="G28" s="25"/>
      <c r="H28" s="7"/>
      <c r="I28" s="43"/>
      <c r="J28" s="24"/>
      <c r="K28" s="25"/>
      <c r="L28" s="7"/>
      <c r="M28" s="43"/>
      <c r="N28" s="24"/>
      <c r="O28" s="25"/>
      <c r="P28" s="7"/>
      <c r="Q28" s="43"/>
      <c r="R28" s="24"/>
      <c r="S28" s="25"/>
      <c r="T28" s="7"/>
      <c r="U28" s="43"/>
      <c r="V28" s="24"/>
      <c r="W28" s="25"/>
      <c r="X28" s="7"/>
      <c r="Y28" s="133"/>
      <c r="Z28" s="137"/>
      <c r="AA28" s="132"/>
      <c r="AB28" s="126"/>
      <c r="AC28" s="119"/>
      <c r="AD28" s="121"/>
      <c r="AE28" s="116"/>
      <c r="AG28" s="116"/>
      <c r="AH28" s="116"/>
    </row>
    <row r="29" spans="1:49" collapsed="1">
      <c r="A29" s="6"/>
      <c r="B29" s="7"/>
      <c r="C29" s="50" t="s">
        <v>16</v>
      </c>
      <c r="D29" s="7"/>
      <c r="E29" s="51">
        <f ca="1">SUM(E19:E23)</f>
        <v>2566816.9099999997</v>
      </c>
      <c r="F29" s="52">
        <f ca="1">IFERROR(E29/(E$12*E$63*E$62),0)</f>
        <v>4194.1452777777777</v>
      </c>
      <c r="G29" s="53">
        <f ca="1">IFERROR(E29/E$29,0)</f>
        <v>1</v>
      </c>
      <c r="H29" s="7"/>
      <c r="I29" s="51">
        <f ca="1">SUM(I19:I23)</f>
        <v>2644834.59</v>
      </c>
      <c r="J29" s="52">
        <f ca="1">IFERROR(I29/(I$12*I$63*I$62),0)</f>
        <v>4100.5187441860462</v>
      </c>
      <c r="K29" s="53">
        <f ca="1">IFERROR(I29/I$29,0)</f>
        <v>1</v>
      </c>
      <c r="L29" s="7"/>
      <c r="M29" s="51">
        <f ca="1">SUM(M19:M22)</f>
        <v>0</v>
      </c>
      <c r="N29" s="52">
        <f ca="1">IFERROR(M29/(M$12*M$63*M$62),0)</f>
        <v>0</v>
      </c>
      <c r="O29" s="53">
        <f ca="1">IFERROR(M29/M$29,0)</f>
        <v>0</v>
      </c>
      <c r="P29" s="7"/>
      <c r="Q29" s="51">
        <f ca="1">SUM(Q19:Q22)</f>
        <v>0</v>
      </c>
      <c r="R29" s="52">
        <f ca="1">IFERROR(Q29/(Q$12*Q$63*Q$62),0)</f>
        <v>0</v>
      </c>
      <c r="S29" s="53">
        <f ca="1">IFERROR(Q29/Q$29,0)</f>
        <v>0</v>
      </c>
      <c r="T29" s="7"/>
      <c r="U29" s="51">
        <f ca="1">SUM(U19:U23)</f>
        <v>2650667.201923077</v>
      </c>
      <c r="V29" s="52">
        <f ca="1">IFERROR(U29/(U$12*U$63*U$62),0)</f>
        <v>4182.6030063291146</v>
      </c>
      <c r="W29" s="53">
        <f ca="1">IFERROR(U29/U$29,0)</f>
        <v>1</v>
      </c>
      <c r="X29" s="7"/>
      <c r="Y29" s="51">
        <f ca="1">SUM(Y19:Y23)</f>
        <v>2930748.0888000005</v>
      </c>
      <c r="Z29" s="52">
        <f ca="1">IFERROR(Y29/(Y$12*Y$63*Y$62),0)</f>
        <v>4210.8449551724143</v>
      </c>
      <c r="AA29" s="53">
        <f ca="1">IFERROR(Y29/Y$29,0)</f>
        <v>1</v>
      </c>
      <c r="AB29" s="125"/>
      <c r="AC29" s="119"/>
      <c r="AD29" s="121"/>
      <c r="AE29" s="116"/>
      <c r="AG29" s="116"/>
      <c r="AH29" s="116"/>
    </row>
    <row r="30" spans="1:49">
      <c r="A30" s="6"/>
      <c r="B30" s="7"/>
      <c r="C30" s="66"/>
      <c r="D30" s="7"/>
      <c r="E30" s="67"/>
      <c r="F30" s="68"/>
      <c r="G30" s="69"/>
      <c r="H30" s="7"/>
      <c r="I30" s="67"/>
      <c r="J30" s="68"/>
      <c r="K30" s="69"/>
      <c r="L30" s="7"/>
      <c r="M30" s="67"/>
      <c r="N30" s="68"/>
      <c r="O30" s="69"/>
      <c r="P30" s="7"/>
      <c r="Q30" s="67"/>
      <c r="R30" s="68"/>
      <c r="S30" s="69"/>
      <c r="T30" s="7"/>
      <c r="U30" s="67"/>
      <c r="V30" s="68"/>
      <c r="W30" s="69"/>
      <c r="X30" s="7"/>
      <c r="Y30" s="67"/>
      <c r="Z30" s="68"/>
      <c r="AA30" s="69"/>
      <c r="AB30" s="125"/>
      <c r="AC30" s="119"/>
      <c r="AD30" s="121"/>
      <c r="AE30" s="116"/>
      <c r="AG30" s="116"/>
      <c r="AH30" s="116"/>
    </row>
    <row r="31" spans="1:49">
      <c r="B31" s="7"/>
      <c r="C31" s="38" t="s">
        <v>17</v>
      </c>
      <c r="D31" s="7"/>
      <c r="E31" s="20">
        <f>G$1</f>
        <v>2014</v>
      </c>
      <c r="F31" s="96" t="s">
        <v>63</v>
      </c>
      <c r="G31" s="21" t="s">
        <v>15</v>
      </c>
      <c r="H31" s="7"/>
      <c r="I31" s="20">
        <f>K$1</f>
        <v>2015</v>
      </c>
      <c r="J31" s="96" t="s">
        <v>63</v>
      </c>
      <c r="K31" s="21" t="s">
        <v>15</v>
      </c>
      <c r="L31" s="7"/>
      <c r="M31" s="20" t="str">
        <f>O$1</f>
        <v>T6A</v>
      </c>
      <c r="N31" s="96" t="s">
        <v>63</v>
      </c>
      <c r="O31" s="21" t="s">
        <v>15</v>
      </c>
      <c r="P31" s="7"/>
      <c r="Q31" s="20" t="str">
        <f>S$1</f>
        <v>T3A</v>
      </c>
      <c r="R31" s="96" t="s">
        <v>63</v>
      </c>
      <c r="S31" s="21" t="s">
        <v>15</v>
      </c>
      <c r="T31" s="7"/>
      <c r="U31" s="20" t="str">
        <f>W$1</f>
        <v>T6A</v>
      </c>
      <c r="V31" s="96" t="s">
        <v>63</v>
      </c>
      <c r="W31" s="21" t="s">
        <v>15</v>
      </c>
      <c r="X31" s="7"/>
      <c r="Y31" s="20" t="str">
        <f>AA$1</f>
        <v>Pro Forma</v>
      </c>
      <c r="Z31" s="138" t="s">
        <v>63</v>
      </c>
      <c r="AA31" s="21" t="s">
        <v>15</v>
      </c>
      <c r="AB31" s="126"/>
      <c r="AC31" s="119"/>
      <c r="AD31" s="121"/>
      <c r="AE31" s="116"/>
      <c r="AG31" s="117"/>
      <c r="AH31" s="116"/>
    </row>
    <row r="32" spans="1:49">
      <c r="A32" s="70">
        <v>301</v>
      </c>
      <c r="B32" s="7"/>
      <c r="C32" s="136" t="s">
        <v>57</v>
      </c>
      <c r="D32" s="7"/>
      <c r="E32" s="43">
        <f t="array" aca="1" ref="E32" ca="1">SUM(IF(LEFT($A32,3)=LEFT(INDIRECT($AE$8),3),INDIRECT($AF$8),""))*E$62</f>
        <v>1007989.3399999999</v>
      </c>
      <c r="F32" s="24">
        <f t="shared" ref="F32:F46" ca="1" si="7">IFERROR(E32/(E$12*E$63*E$62),0)</f>
        <v>1647.0414052287579</v>
      </c>
      <c r="G32" s="25">
        <f t="shared" ref="G32:G46" ca="1" si="8">IFERROR(E32/E$29,0)</f>
        <v>0.39270013224277844</v>
      </c>
      <c r="H32" s="7"/>
      <c r="I32" s="43">
        <f t="array" aca="1" ref="I32" ca="1">SUM(IF(LEFT($A32,3)=LEFT(INDIRECT($AE$8),3),INDIRECT($AG$8),""))*I$62</f>
        <v>1008421.99</v>
      </c>
      <c r="J32" s="24">
        <f t="shared" ref="J32:J46" ca="1" si="9">IFERROR(I32/(I$12*I$63*I$62),0)</f>
        <v>1563.4449457364342</v>
      </c>
      <c r="K32" s="25">
        <f t="shared" ref="K32:K46" ca="1" si="10">IFERROR(I32/I$29,0)</f>
        <v>0.38127979489257968</v>
      </c>
      <c r="L32" s="7"/>
      <c r="M32" s="43">
        <f t="array" aca="1" ref="M32" ca="1">IFERROR(SUM(IF($A32=INDIRECT($AE$8),IF(M$1&lt;=INDIRECT(#REF!),IF(N$1&gt;=INDIRECT(#REF!),INDIRECT($AF$8)*M$62,""),""),"")),0)</f>
        <v>0</v>
      </c>
      <c r="N32" s="24">
        <f ca="1">IFERROR(M32/(M$12*M$63*M$62),0)</f>
        <v>0</v>
      </c>
      <c r="O32" s="25">
        <f t="shared" ref="O32:O46" ca="1" si="11">IFERROR(M32/M$29,0)</f>
        <v>0</v>
      </c>
      <c r="P32" s="7"/>
      <c r="Q32" s="43">
        <f t="array" aca="1" ref="Q32" ca="1">IFERROR(SUM(IF($A32=INDIRECT($AE$8),IF(Q$1&lt;=INDIRECT(#REF!),IF(R$1&gt;=INDIRECT(#REF!),INDIRECT($AF$8)*Q$62,""),""),"")),0)</f>
        <v>0</v>
      </c>
      <c r="R32" s="24">
        <f ca="1">IFERROR(Q32/(Q$12*Q$63*Q$62),0)</f>
        <v>0</v>
      </c>
      <c r="S32" s="25">
        <f t="shared" ref="S32:S46" ca="1" si="12">IFERROR(Q32/Q$29,0)</f>
        <v>0</v>
      </c>
      <c r="T32" s="7"/>
      <c r="U32" s="43">
        <f t="array" aca="1" ref="U32" ca="1">SUM(IF(LEFT($A32,3)=LEFT(INDIRECT($AE$8),3),INDIRECT($AH$8),""))*U$62</f>
        <v>1031327.0134615384</v>
      </c>
      <c r="V32" s="24">
        <f t="shared" ref="V32:V46" ca="1" si="13">IFERROR(U32/(U$12*U$63*U$62),0)</f>
        <v>1627.3757278481012</v>
      </c>
      <c r="W32" s="25">
        <f t="shared" ref="W32:W46" ca="1" si="14">IFERROR(U32/U$29,0)</f>
        <v>0.38908204421637826</v>
      </c>
      <c r="X32" s="7"/>
      <c r="Y32" s="133">
        <f ca="1">Z32*Y12*Y63</f>
        <v>1109920.8358772094</v>
      </c>
      <c r="Z32" s="137">
        <f ca="1">J32*INFLATION</f>
        <v>1594.7138446511628</v>
      </c>
      <c r="AA32" s="132">
        <f t="shared" ref="AA32" ca="1" si="15">IFERROR(Y32/Y$29,0)</f>
        <v>0.37871587807864726</v>
      </c>
      <c r="AB32" s="126" t="s">
        <v>659</v>
      </c>
      <c r="AC32" s="119"/>
      <c r="AD32" s="121"/>
      <c r="AE32" s="116"/>
      <c r="AG32" s="117"/>
      <c r="AH32" s="116"/>
    </row>
    <row r="33" spans="1:49">
      <c r="A33" s="70">
        <v>321</v>
      </c>
      <c r="B33" s="7"/>
      <c r="C33" s="136" t="s">
        <v>83</v>
      </c>
      <c r="D33" s="7"/>
      <c r="E33" s="133">
        <f t="array" aca="1" ref="E33" ca="1">SUM(IF(LEFT($A33,3)=LEFT(INDIRECT($AE$8),3),INDIRECT($AF$8),""))*E$62</f>
        <v>33936.1</v>
      </c>
      <c r="F33" s="137">
        <f t="shared" ca="1" si="7"/>
        <v>55.45114379084967</v>
      </c>
      <c r="G33" s="132">
        <f ca="1">IFERROR(E33/E$29,0)</f>
        <v>1.32210832287216E-2</v>
      </c>
      <c r="H33" s="7"/>
      <c r="I33" s="133">
        <f t="array" aca="1" ref="I33" ca="1">SUM(IF(LEFT($A33,3)=LEFT(INDIRECT($AE$8),3),INDIRECT($AG$8),""))*I$62</f>
        <v>31381.72</v>
      </c>
      <c r="J33" s="137">
        <f t="shared" ca="1" si="9"/>
        <v>48.653829457364346</v>
      </c>
      <c r="K33" s="132">
        <f ca="1">IFERROR(I33/I$29,0)</f>
        <v>1.1865286441221265E-2</v>
      </c>
      <c r="L33" s="7"/>
      <c r="M33" s="133"/>
      <c r="N33" s="137"/>
      <c r="O33" s="132"/>
      <c r="P33" s="7"/>
      <c r="Q33" s="133"/>
      <c r="R33" s="137"/>
      <c r="S33" s="132"/>
      <c r="T33" s="7"/>
      <c r="U33" s="133">
        <f t="array" aca="1" ref="U33" ca="1">SUM(IF(LEFT($A33,3)=LEFT(INDIRECT($AE$8),3),INDIRECT($AH$8),""))*U$62</f>
        <v>16863.220604395603</v>
      </c>
      <c r="V33" s="137">
        <f t="shared" ca="1" si="13"/>
        <v>26.609208860759491</v>
      </c>
      <c r="W33" s="132">
        <f ca="1">IFERROR(U33/U$29,0)</f>
        <v>6.3618777159808E-3</v>
      </c>
      <c r="X33" s="7"/>
      <c r="Y33" s="133">
        <f ca="1">I33*INFLATION</f>
        <v>32009.3544</v>
      </c>
      <c r="Z33" s="137">
        <f t="shared" ref="Z33:Z46" ca="1" si="16">IFERROR(Y33/(Y$12*Y$63*Y$62),0)</f>
        <v>45.990451724137934</v>
      </c>
      <c r="AA33" s="132">
        <f ca="1">IFERROR(Y33/Y$29,0)</f>
        <v>1.0921905749022012E-2</v>
      </c>
      <c r="AB33" s="126" t="s">
        <v>660</v>
      </c>
      <c r="AC33" s="119"/>
      <c r="AD33" s="121"/>
      <c r="AE33" s="116"/>
      <c r="AG33" s="117"/>
      <c r="AH33" s="116"/>
    </row>
    <row r="34" spans="1:49">
      <c r="A34" s="70">
        <v>302</v>
      </c>
      <c r="B34" s="7"/>
      <c r="C34" s="97" t="s">
        <v>40</v>
      </c>
      <c r="D34" s="7"/>
      <c r="E34" s="133">
        <f t="array" aca="1" ref="E34" ca="1">SUM(IF(LEFT($A34,3)=LEFT(INDIRECT($AE$8),3),INDIRECT($AF$8),""))*E$62</f>
        <v>158922.54999999999</v>
      </c>
      <c r="F34" s="24">
        <f t="shared" ca="1" si="7"/>
        <v>259.67736928104574</v>
      </c>
      <c r="G34" s="25">
        <f t="shared" ca="1" si="8"/>
        <v>6.1914252388184557E-2</v>
      </c>
      <c r="H34" s="7"/>
      <c r="I34" s="133">
        <f t="array" aca="1" ref="I34" ca="1">SUM(IF(LEFT($A34,3)=LEFT(INDIRECT($AE$8),3),INDIRECT($AG$8),""))*I$62</f>
        <v>165216.51999999999</v>
      </c>
      <c r="J34" s="24">
        <f t="shared" ca="1" si="9"/>
        <v>256.14964341085272</v>
      </c>
      <c r="K34" s="25">
        <f t="shared" ca="1" si="10"/>
        <v>6.2467619194287685E-2</v>
      </c>
      <c r="L34" s="7"/>
      <c r="M34" s="43">
        <f t="array" aca="1" ref="M34" ca="1">IFERROR(SUM(IF($A34=INDIRECT($AE$8),IF(M$1&lt;=INDIRECT(#REF!),IF(N$1&gt;=INDIRECT(#REF!),INDIRECT($AF$8)*M$62,""),""),"")),0)</f>
        <v>0</v>
      </c>
      <c r="N34" s="24">
        <f t="shared" ref="N34:N46" ca="1" si="17">IFERROR(M34/(M$12*M$63*M$62),0)</f>
        <v>0</v>
      </c>
      <c r="O34" s="25">
        <f t="shared" ca="1" si="11"/>
        <v>0</v>
      </c>
      <c r="P34" s="7"/>
      <c r="Q34" s="43">
        <f t="array" aca="1" ref="Q34" ca="1">IFERROR(SUM(IF($A34=INDIRECT($AE$8),IF(Q$1&lt;=INDIRECT(#REF!),IF(R$1&gt;=INDIRECT(#REF!),INDIRECT($AF$8)*Q$62,""),""),"")),0)</f>
        <v>0</v>
      </c>
      <c r="R34" s="24">
        <f t="shared" ref="R34:R46" ca="1" si="18">IFERROR(Q34/(Q$12*Q$63*Q$62),0)</f>
        <v>0</v>
      </c>
      <c r="S34" s="25">
        <f t="shared" ca="1" si="12"/>
        <v>0</v>
      </c>
      <c r="T34" s="7"/>
      <c r="U34" s="133">
        <f t="array" aca="1" ref="U34" ca="1">SUM(IF(LEFT($A34,3)=LEFT(INDIRECT($AE$8),3),INDIRECT($AH$8),""))*U$62</f>
        <v>146769.66868131864</v>
      </c>
      <c r="V34" s="24">
        <f t="shared" ca="1" si="13"/>
        <v>231.59424050632904</v>
      </c>
      <c r="W34" s="25">
        <f t="shared" ca="1" si="14"/>
        <v>5.537083967947249E-2</v>
      </c>
      <c r="X34" s="7"/>
      <c r="Y34" s="133">
        <f>Z34*Y12*Y63</f>
        <v>153120</v>
      </c>
      <c r="Z34" s="137">
        <f>DIETARY_PLUG</f>
        <v>220</v>
      </c>
      <c r="AA34" s="132">
        <f t="shared" ref="AA34:AA46" ca="1" si="19">IFERROR(Y34/Y$29,0)</f>
        <v>5.22460461836197E-2</v>
      </c>
      <c r="AB34" s="126" t="s">
        <v>672</v>
      </c>
      <c r="AC34" s="119"/>
      <c r="AD34" s="121"/>
      <c r="AE34" s="116"/>
      <c r="AG34" s="117"/>
      <c r="AH34" s="116"/>
    </row>
    <row r="35" spans="1:49">
      <c r="A35" s="70">
        <v>303</v>
      </c>
      <c r="B35" s="7"/>
      <c r="C35" s="97" t="s">
        <v>41</v>
      </c>
      <c r="D35" s="7"/>
      <c r="E35" s="133">
        <f t="array" aca="1" ref="E35" ca="1">SUM(IF(LEFT($A35,3)=LEFT(INDIRECT($AE$8),3),INDIRECT($AF$8),""))*E$62</f>
        <v>42568.950000000004</v>
      </c>
      <c r="F35" s="24">
        <f t="shared" ca="1" si="7"/>
        <v>69.55710784313726</v>
      </c>
      <c r="G35" s="25">
        <f t="shared" ca="1" si="8"/>
        <v>1.6584334408175614E-2</v>
      </c>
      <c r="H35" s="7"/>
      <c r="I35" s="133">
        <f t="array" aca="1" ref="I35" ca="1">SUM(IF(LEFT($A35,3)=LEFT(INDIRECT($AE$8),3),INDIRECT($AG$8),""))*I$62</f>
        <v>41894.420000000006</v>
      </c>
      <c r="J35" s="24">
        <f t="shared" ca="1" si="9"/>
        <v>64.95258914728683</v>
      </c>
      <c r="K35" s="25">
        <f t="shared" ca="1" si="10"/>
        <v>1.5840090778607069E-2</v>
      </c>
      <c r="L35" s="7"/>
      <c r="M35" s="43">
        <f t="array" aca="1" ref="M35" ca="1">IFERROR(SUM(IF($A35=INDIRECT($AE$8),IF(M$1&lt;=INDIRECT(#REF!),IF(N$1&gt;=INDIRECT(#REF!),INDIRECT($AF$8)*M$62,""),""),"")),0)</f>
        <v>0</v>
      </c>
      <c r="N35" s="24">
        <f t="shared" ca="1" si="17"/>
        <v>0</v>
      </c>
      <c r="O35" s="25">
        <f t="shared" ca="1" si="11"/>
        <v>0</v>
      </c>
      <c r="P35" s="7"/>
      <c r="Q35" s="43">
        <f t="array" aca="1" ref="Q35" ca="1">IFERROR(SUM(IF($A35=INDIRECT($AE$8),IF(Q$1&lt;=INDIRECT(#REF!),IF(R$1&gt;=INDIRECT(#REF!),INDIRECT($AF$8)*Q$62,""),""),"")),0)</f>
        <v>0</v>
      </c>
      <c r="R35" s="24">
        <f t="shared" ca="1" si="18"/>
        <v>0</v>
      </c>
      <c r="S35" s="25">
        <f t="shared" ca="1" si="12"/>
        <v>0</v>
      </c>
      <c r="T35" s="7"/>
      <c r="U35" s="133">
        <f t="array" aca="1" ref="U35" ca="1">SUM(IF(LEFT($A35,3)=LEFT(INDIRECT($AE$8),3),INDIRECT($AH$8),""))*U$62</f>
        <v>37716.352472527469</v>
      </c>
      <c r="V35" s="24">
        <f t="shared" ca="1" si="13"/>
        <v>59.51427215189873</v>
      </c>
      <c r="W35" s="25">
        <f t="shared" ca="1" si="14"/>
        <v>1.422900334118293E-2</v>
      </c>
      <c r="X35" s="7"/>
      <c r="Y35" s="133">
        <f ca="1">I35*INFLATION</f>
        <v>42732.308400000009</v>
      </c>
      <c r="Z35" s="137">
        <f t="shared" ca="1" si="16"/>
        <v>61.396994827586219</v>
      </c>
      <c r="AA35" s="132">
        <f t="shared" ca="1" si="19"/>
        <v>1.4580682851352408E-2</v>
      </c>
      <c r="AB35" s="126" t="s">
        <v>660</v>
      </c>
      <c r="AC35" s="119"/>
      <c r="AD35" s="121"/>
      <c r="AE35" s="116"/>
      <c r="AG35" s="117"/>
      <c r="AH35" s="116"/>
    </row>
    <row r="36" spans="1:49">
      <c r="A36" s="70">
        <v>304</v>
      </c>
      <c r="B36" s="7"/>
      <c r="C36" s="97" t="s">
        <v>59</v>
      </c>
      <c r="D36" s="7"/>
      <c r="E36" s="133">
        <f t="array" aca="1" ref="E36" ca="1">SUM(IF(LEFT($A36,3)=LEFT(INDIRECT($AE$8),3),INDIRECT($AF$8),""))*E$62</f>
        <v>60429.47</v>
      </c>
      <c r="F36" s="24">
        <f t="shared" ca="1" si="7"/>
        <v>98.74096405228758</v>
      </c>
      <c r="G36" s="25">
        <f t="shared" ca="1" si="8"/>
        <v>2.3542571254137487E-2</v>
      </c>
      <c r="H36" s="7"/>
      <c r="I36" s="133">
        <f t="array" aca="1" ref="I36" ca="1">SUM(IF(LEFT($A36,3)=LEFT(INDIRECT($AE$8),3),INDIRECT($AG$8),""))*I$62</f>
        <v>47094.09</v>
      </c>
      <c r="J36" s="24">
        <f t="shared" ca="1" si="9"/>
        <v>73.014093023255811</v>
      </c>
      <c r="K36" s="25">
        <f t="shared" ca="1" si="10"/>
        <v>1.7806062495575575E-2</v>
      </c>
      <c r="L36" s="7"/>
      <c r="M36" s="43">
        <f t="array" aca="1" ref="M36" ca="1">IFERROR(SUM(IF($A36=INDIRECT($AE$8),IF(M$1&lt;=INDIRECT(#REF!),IF(N$1&gt;=INDIRECT(#REF!),INDIRECT($AF$8)*M$62,""),""),"")),0)</f>
        <v>0</v>
      </c>
      <c r="N36" s="24">
        <f t="shared" ca="1" si="17"/>
        <v>0</v>
      </c>
      <c r="O36" s="25">
        <f t="shared" ca="1" si="11"/>
        <v>0</v>
      </c>
      <c r="P36" s="7"/>
      <c r="Q36" s="43">
        <f t="array" aca="1" ref="Q36" ca="1">IFERROR(SUM(IF($A36=INDIRECT($AE$8),IF(Q$1&lt;=INDIRECT(#REF!),IF(R$1&gt;=INDIRECT(#REF!),INDIRECT($AF$8)*Q$62,""),""),"")),0)</f>
        <v>0</v>
      </c>
      <c r="R36" s="24">
        <f t="shared" ca="1" si="18"/>
        <v>0</v>
      </c>
      <c r="S36" s="25">
        <f t="shared" ca="1" si="12"/>
        <v>0</v>
      </c>
      <c r="T36" s="7"/>
      <c r="U36" s="133">
        <f t="array" aca="1" ref="U36" ca="1">SUM(IF(LEFT($A36,3)=LEFT(INDIRECT($AE$8),3),INDIRECT($AH$8),""))*U$62</f>
        <v>45394.24780219781</v>
      </c>
      <c r="V36" s="24">
        <f t="shared" ca="1" si="13"/>
        <v>71.629556962025333</v>
      </c>
      <c r="W36" s="25">
        <f t="shared" ca="1" si="14"/>
        <v>1.7125593046635194E-2</v>
      </c>
      <c r="X36" s="7"/>
      <c r="Y36" s="133">
        <f ca="1">I36*INFLATION</f>
        <v>48035.971799999999</v>
      </c>
      <c r="Z36" s="137">
        <f t="shared" ca="1" si="16"/>
        <v>69.017200862068961</v>
      </c>
      <c r="AA36" s="132">
        <f t="shared" ca="1" si="19"/>
        <v>1.6390344835017331E-2</v>
      </c>
      <c r="AB36" s="126" t="s">
        <v>660</v>
      </c>
      <c r="AC36" s="119"/>
      <c r="AD36" s="121"/>
      <c r="AE36" s="116"/>
      <c r="AG36" s="117"/>
      <c r="AH36" s="116"/>
    </row>
    <row r="37" spans="1:49">
      <c r="A37" s="70">
        <v>305</v>
      </c>
      <c r="B37" s="7"/>
      <c r="C37" s="97" t="s">
        <v>42</v>
      </c>
      <c r="D37" s="7"/>
      <c r="E37" s="133">
        <f t="array" aca="1" ref="E37" ca="1">SUM(IF(LEFT($A37,3)=LEFT(INDIRECT($AE$8),3),INDIRECT($AF$8),""))*E$62</f>
        <v>72351.189999999988</v>
      </c>
      <c r="F37" s="24">
        <f t="shared" ca="1" si="7"/>
        <v>118.22089869281044</v>
      </c>
      <c r="G37" s="25">
        <f t="shared" ca="1" si="8"/>
        <v>2.8187125352855804E-2</v>
      </c>
      <c r="H37" s="7"/>
      <c r="I37" s="133">
        <f t="array" aca="1" ref="I37" ca="1">SUM(IF(LEFT($A37,3)=LEFT(INDIRECT($AE$8),3),INDIRECT($AG$8),""))*I$62</f>
        <v>52875.060000000005</v>
      </c>
      <c r="J37" s="24">
        <f t="shared" ca="1" si="9"/>
        <v>81.976837209302332</v>
      </c>
      <c r="K37" s="25">
        <f t="shared" ca="1" si="10"/>
        <v>1.9991821114227037E-2</v>
      </c>
      <c r="L37" s="7"/>
      <c r="M37" s="43">
        <f t="array" aca="1" ref="M37" ca="1">IFERROR(SUM(IF($A37=INDIRECT($AE$8),IF(M$1&lt;=INDIRECT(#REF!),IF(N$1&gt;=INDIRECT(#REF!),INDIRECT($AF$8)*M$62,""),""),"")),0)</f>
        <v>0</v>
      </c>
      <c r="N37" s="24">
        <f t="shared" ca="1" si="17"/>
        <v>0</v>
      </c>
      <c r="O37" s="25">
        <f t="shared" ca="1" si="11"/>
        <v>0</v>
      </c>
      <c r="P37" s="7"/>
      <c r="Q37" s="43">
        <f t="array" aca="1" ref="Q37" ca="1">IFERROR(SUM(IF($A37=INDIRECT($AE$8),IF(Q$1&lt;=INDIRECT(#REF!),IF(R$1&gt;=INDIRECT(#REF!),INDIRECT($AF$8)*Q$62,""),""),"")),0)</f>
        <v>0</v>
      </c>
      <c r="R37" s="24">
        <f t="shared" ca="1" si="18"/>
        <v>0</v>
      </c>
      <c r="S37" s="25">
        <f t="shared" ca="1" si="12"/>
        <v>0</v>
      </c>
      <c r="T37" s="7"/>
      <c r="U37" s="133">
        <f t="array" aca="1" ref="U37" ca="1">SUM(IF(LEFT($A37,3)=LEFT(INDIRECT($AE$8),3),INDIRECT($AH$8),""))*U$62</f>
        <v>27805.178571428572</v>
      </c>
      <c r="V37" s="24">
        <f t="shared" ca="1" si="13"/>
        <v>43.875</v>
      </c>
      <c r="W37" s="25">
        <f t="shared" ca="1" si="14"/>
        <v>1.048987913354635E-2</v>
      </c>
      <c r="X37" s="7"/>
      <c r="Y37" s="133">
        <f ca="1">(I37)*INFLATION</f>
        <v>53932.561200000004</v>
      </c>
      <c r="Z37" s="137">
        <f t="shared" ca="1" si="16"/>
        <v>77.489312068965518</v>
      </c>
      <c r="AA37" s="132">
        <f t="shared" ca="1" si="19"/>
        <v>1.8402318986782237E-2</v>
      </c>
      <c r="AB37" s="126" t="s">
        <v>660</v>
      </c>
      <c r="AC37" s="119"/>
      <c r="AD37" s="121"/>
      <c r="AE37" s="116"/>
      <c r="AG37" s="117"/>
    </row>
    <row r="38" spans="1:49">
      <c r="A38" s="70">
        <v>306</v>
      </c>
      <c r="B38" s="7"/>
      <c r="C38" s="97" t="s">
        <v>43</v>
      </c>
      <c r="D38" s="7"/>
      <c r="E38" s="133">
        <f t="array" aca="1" ref="E38" ca="1">SUM(IF(LEFT($A38,3)=LEFT(INDIRECT($AE$8),3),INDIRECT($AF$8),""))*E$62</f>
        <v>123609.59</v>
      </c>
      <c r="F38" s="24">
        <f t="shared" ca="1" si="7"/>
        <v>201.976454248366</v>
      </c>
      <c r="G38" s="25">
        <f t="shared" ca="1" si="8"/>
        <v>4.8156761597772088E-2</v>
      </c>
      <c r="H38" s="7"/>
      <c r="I38" s="133">
        <f t="array" aca="1" ref="I38" ca="1">SUM(IF(LEFT($A38,3)=LEFT(INDIRECT($AE$8),3),INDIRECT($AG$8),""))*I$62</f>
        <v>107553.63</v>
      </c>
      <c r="J38" s="24">
        <f t="shared" ca="1" si="9"/>
        <v>166.74981395348837</v>
      </c>
      <c r="K38" s="25">
        <f t="shared" ca="1" si="10"/>
        <v>4.0665541204979477E-2</v>
      </c>
      <c r="L38" s="7"/>
      <c r="M38" s="43">
        <f t="array" aca="1" ref="M38" ca="1">IFERROR(SUM(IF($A38=INDIRECT($AE$8),IF(M$1&lt;=INDIRECT(#REF!),IF(N$1&gt;=INDIRECT(#REF!),INDIRECT($AF$8)*M$62,""),""),"")),0)</f>
        <v>0</v>
      </c>
      <c r="N38" s="24">
        <f t="shared" ca="1" si="17"/>
        <v>0</v>
      </c>
      <c r="O38" s="25">
        <f t="shared" ca="1" si="11"/>
        <v>0</v>
      </c>
      <c r="P38" s="7"/>
      <c r="Q38" s="43">
        <f t="array" aca="1" ref="Q38" ca="1">IFERROR(SUM(IF($A38=INDIRECT($AE$8),IF(Q$1&lt;=INDIRECT(#REF!),IF(R$1&gt;=INDIRECT(#REF!),INDIRECT($AF$8)*Q$62,""),""),"")),0)</f>
        <v>0</v>
      </c>
      <c r="R38" s="24">
        <f t="shared" ca="1" si="18"/>
        <v>0</v>
      </c>
      <c r="S38" s="25">
        <f t="shared" ca="1" si="12"/>
        <v>0</v>
      </c>
      <c r="T38" s="7"/>
      <c r="U38" s="133">
        <f t="array" aca="1" ref="U38" ca="1">SUM(IF(LEFT($A38,3)=LEFT(INDIRECT($AE$8),3),INDIRECT($AH$8),""))*U$62</f>
        <v>128720.37857142856</v>
      </c>
      <c r="V38" s="24">
        <f t="shared" ca="1" si="13"/>
        <v>203.11348101265821</v>
      </c>
      <c r="W38" s="25">
        <f t="shared" ca="1" si="14"/>
        <v>4.8561501224311014E-2</v>
      </c>
      <c r="X38" s="7"/>
      <c r="Y38" s="133">
        <f ca="1">I38*INFLATION</f>
        <v>109704.7026</v>
      </c>
      <c r="Z38" s="137">
        <f t="shared" ca="1" si="16"/>
        <v>157.62169913793105</v>
      </c>
      <c r="AA38" s="132">
        <f t="shared" ca="1" si="19"/>
        <v>3.7432320785004337E-2</v>
      </c>
      <c r="AB38" s="126" t="s">
        <v>660</v>
      </c>
      <c r="AC38" s="119"/>
      <c r="AD38" s="121"/>
      <c r="AE38" s="116"/>
      <c r="AG38" s="117"/>
    </row>
    <row r="39" spans="1:49">
      <c r="A39" s="70">
        <v>307</v>
      </c>
      <c r="B39" s="7"/>
      <c r="C39" s="136" t="s">
        <v>44</v>
      </c>
      <c r="D39" s="7"/>
      <c r="E39" s="133">
        <f t="array" aca="1" ref="E39" ca="1">SUM(IF(LEFT($A39,3)=LEFT(INDIRECT($AE$8),3),INDIRECT($AF$8),""))*E$62</f>
        <v>95130.059999999983</v>
      </c>
      <c r="F39" s="24">
        <f t="shared" ca="1" si="7"/>
        <v>155.44127450980389</v>
      </c>
      <c r="G39" s="25">
        <f t="shared" ca="1" si="8"/>
        <v>3.7061490295386905E-2</v>
      </c>
      <c r="H39" s="7"/>
      <c r="I39" s="133">
        <f t="array" aca="1" ref="I39" ca="1">SUM(IF(LEFT($A39,3)=LEFT(INDIRECT($AE$8),3),INDIRECT($AG$8),""))*I$62</f>
        <v>102842.97000000002</v>
      </c>
      <c r="J39" s="24">
        <f t="shared" ca="1" si="9"/>
        <v>159.44646511627909</v>
      </c>
      <c r="K39" s="25">
        <f t="shared" ca="1" si="10"/>
        <v>3.8884461957978254E-2</v>
      </c>
      <c r="L39" s="7"/>
      <c r="M39" s="43">
        <f t="array" aca="1" ref="M39" ca="1">IFERROR(SUM(IF($A39=INDIRECT($AE$8),IF(M$1&lt;=INDIRECT(#REF!),IF(N$1&gt;=INDIRECT(#REF!),INDIRECT($AF$8)*M$62,""),""),"")),0)</f>
        <v>0</v>
      </c>
      <c r="N39" s="24">
        <f t="shared" ca="1" si="17"/>
        <v>0</v>
      </c>
      <c r="O39" s="25">
        <f t="shared" ca="1" si="11"/>
        <v>0</v>
      </c>
      <c r="P39" s="7"/>
      <c r="Q39" s="43">
        <f t="array" aca="1" ref="Q39" ca="1">IFERROR(SUM(IF($A39=INDIRECT($AE$8),IF(Q$1&lt;=INDIRECT(#REF!),IF(R$1&gt;=INDIRECT(#REF!),INDIRECT($AF$8)*Q$62,""),""),"")),0)</f>
        <v>0</v>
      </c>
      <c r="R39" s="24">
        <f t="shared" ca="1" si="18"/>
        <v>0</v>
      </c>
      <c r="S39" s="25">
        <f t="shared" ca="1" si="12"/>
        <v>0</v>
      </c>
      <c r="T39" s="7"/>
      <c r="U39" s="133">
        <f t="array" aca="1" ref="U39" ca="1">SUM(IF(LEFT($A39,3)=LEFT(INDIRECT($AE$8),3),INDIRECT($AH$8),""))*U$62</f>
        <v>101650.09340659341</v>
      </c>
      <c r="V39" s="24">
        <f t="shared" ca="1" si="13"/>
        <v>160.39810126582279</v>
      </c>
      <c r="W39" s="25">
        <f t="shared" ca="1" si="14"/>
        <v>3.8348870553363161E-2</v>
      </c>
      <c r="X39" s="7"/>
      <c r="Y39" s="133">
        <f ca="1">PRO_FORMA_PRTAX</f>
        <v>108267.67480569977</v>
      </c>
      <c r="Z39" s="137">
        <f t="shared" ca="1" si="16"/>
        <v>155.55700403117783</v>
      </c>
      <c r="AA39" s="132">
        <f t="shared" ca="1" si="19"/>
        <v>3.6941992803629239E-2</v>
      </c>
      <c r="AB39" s="126" t="s">
        <v>661</v>
      </c>
      <c r="AC39" s="119"/>
      <c r="AD39" s="119"/>
      <c r="AE39" s="116"/>
      <c r="AG39" s="117"/>
    </row>
    <row r="40" spans="1:49">
      <c r="A40" s="70">
        <v>308</v>
      </c>
      <c r="B40" s="7"/>
      <c r="C40" s="136" t="s">
        <v>45</v>
      </c>
      <c r="D40" s="7"/>
      <c r="E40" s="133">
        <f t="array" aca="1" ref="E40" ca="1">SUM(IF(LEFT($A40,3)=LEFT(INDIRECT($AE$8),3),INDIRECT($AF$8),""))*E$62</f>
        <v>45010.22</v>
      </c>
      <c r="F40" s="24">
        <f t="shared" ca="1" si="7"/>
        <v>73.546111111111117</v>
      </c>
      <c r="G40" s="25">
        <f t="shared" ca="1" si="8"/>
        <v>1.7535422890758504E-2</v>
      </c>
      <c r="H40" s="7"/>
      <c r="I40" s="133">
        <f t="array" aca="1" ref="I40" ca="1">SUM(IF(LEFT($A40,3)=LEFT(INDIRECT($AE$8),3),INDIRECT($AG$8),""))*I$62</f>
        <v>17407.989999999998</v>
      </c>
      <c r="J40" s="24">
        <f t="shared" ca="1" si="9"/>
        <v>26.989131782945734</v>
      </c>
      <c r="K40" s="25">
        <f t="shared" ca="1" si="10"/>
        <v>6.581882309698619E-3</v>
      </c>
      <c r="L40" s="7"/>
      <c r="M40" s="43">
        <f t="array" aca="1" ref="M40" ca="1">IFERROR(SUM(IF($A40=INDIRECT($AE$8),IF(M$1&lt;=INDIRECT(#REF!),IF(N$1&gt;=INDIRECT(#REF!),INDIRECT($AF$8)*M$62,""),""),"")),0)</f>
        <v>0</v>
      </c>
      <c r="N40" s="24">
        <f t="shared" ca="1" si="17"/>
        <v>0</v>
      </c>
      <c r="O40" s="25">
        <f t="shared" ca="1" si="11"/>
        <v>0</v>
      </c>
      <c r="P40" s="7"/>
      <c r="Q40" s="43">
        <f t="array" aca="1" ref="Q40" ca="1">IFERROR(SUM(IF($A40=INDIRECT($AE$8),IF(Q$1&lt;=INDIRECT(#REF!),IF(R$1&gt;=INDIRECT(#REF!),INDIRECT($AF$8)*Q$62,""),""),"")),0)</f>
        <v>0</v>
      </c>
      <c r="R40" s="24">
        <f t="shared" ca="1" si="18"/>
        <v>0</v>
      </c>
      <c r="S40" s="25">
        <f t="shared" ca="1" si="12"/>
        <v>0</v>
      </c>
      <c r="T40" s="7"/>
      <c r="U40" s="133">
        <f t="array" aca="1" ref="U40" ca="1">SUM(IF(LEFT($A40,3)=LEFT(INDIRECT($AE$8),3),INDIRECT($AH$8),""))*U$62</f>
        <v>20263.53653846154</v>
      </c>
      <c r="V40" s="24">
        <f t="shared" ca="1" si="13"/>
        <v>31.974715189873422</v>
      </c>
      <c r="W40" s="25">
        <f t="shared" ca="1" si="14"/>
        <v>7.6446928244180206E-3</v>
      </c>
      <c r="X40" s="7"/>
      <c r="Y40" s="133">
        <f ca="1">PRO_FORMA_EMPBEN</f>
        <v>29876.734294788599</v>
      </c>
      <c r="Z40" s="137">
        <f t="shared" ca="1" si="16"/>
        <v>42.926342377569824</v>
      </c>
      <c r="AA40" s="132">
        <f t="shared" ca="1" si="19"/>
        <v>1.0194234847056295E-2</v>
      </c>
      <c r="AB40" s="126" t="s">
        <v>661</v>
      </c>
      <c r="AC40" s="119"/>
      <c r="AD40" s="123"/>
      <c r="AE40" s="118"/>
      <c r="AG40" s="117"/>
    </row>
    <row r="41" spans="1:49">
      <c r="A41" s="70">
        <v>309</v>
      </c>
      <c r="B41" s="7"/>
      <c r="C41" s="136" t="s">
        <v>46</v>
      </c>
      <c r="D41" s="7"/>
      <c r="E41" s="133">
        <f t="array" aca="1" ref="E41" ca="1">SUM(IF(LEFT($A41,3)=LEFT(INDIRECT($AE$8),3),INDIRECT($AF$8),""))*E$62</f>
        <v>6393</v>
      </c>
      <c r="F41" s="24">
        <f t="shared" ca="1" si="7"/>
        <v>10.446078431372548</v>
      </c>
      <c r="G41" s="25">
        <f t="shared" ca="1" si="8"/>
        <v>2.4906334281551857E-3</v>
      </c>
      <c r="H41" s="7"/>
      <c r="I41" s="133">
        <f t="array" aca="1" ref="I41" ca="1">SUM(IF(LEFT($A41,3)=LEFT(INDIRECT($AE$8),3),INDIRECT($AG$8),""))*I$62</f>
        <v>13784</v>
      </c>
      <c r="J41" s="24">
        <f t="shared" ca="1" si="9"/>
        <v>21.370542635658914</v>
      </c>
      <c r="K41" s="25">
        <f t="shared" ca="1" si="10"/>
        <v>5.2116680763767539E-3</v>
      </c>
      <c r="L41" s="7"/>
      <c r="M41" s="43">
        <f t="array" aca="1" ref="M41" ca="1">IFERROR(SUM(IF($A41=INDIRECT($AE$8),IF(M$1&lt;=INDIRECT(#REF!),IF(N$1&gt;=INDIRECT(#REF!),INDIRECT($AF$8)*M$62,""),""),"")),0)</f>
        <v>0</v>
      </c>
      <c r="N41" s="24">
        <f t="shared" ca="1" si="17"/>
        <v>0</v>
      </c>
      <c r="O41" s="25">
        <f t="shared" ca="1" si="11"/>
        <v>0</v>
      </c>
      <c r="P41" s="7"/>
      <c r="Q41" s="43">
        <f t="array" aca="1" ref="Q41" ca="1">IFERROR(SUM(IF($A41=INDIRECT($AE$8),IF(Q$1&lt;=INDIRECT(#REF!),IF(R$1&gt;=INDIRECT(#REF!),INDIRECT($AF$8)*Q$62,""),""),"")),0)</f>
        <v>0</v>
      </c>
      <c r="R41" s="24">
        <f t="shared" ca="1" si="18"/>
        <v>0</v>
      </c>
      <c r="S41" s="25">
        <f t="shared" ca="1" si="12"/>
        <v>0</v>
      </c>
      <c r="T41" s="7"/>
      <c r="U41" s="133">
        <f ca="1">I41</f>
        <v>13784</v>
      </c>
      <c r="V41" s="24">
        <f t="shared" ca="1" si="13"/>
        <v>21.750372810820185</v>
      </c>
      <c r="W41" s="25">
        <f t="shared" ca="1" si="14"/>
        <v>5.2002001571527408E-3</v>
      </c>
      <c r="X41" s="7"/>
      <c r="Y41" s="133">
        <f ca="1">PRO_FORMA_WORKCMP</f>
        <v>12271.67804097278</v>
      </c>
      <c r="Z41" s="137">
        <f t="shared" ca="1" si="16"/>
        <v>17.631721323236754</v>
      </c>
      <c r="AA41" s="132">
        <f t="shared" ca="1" si="19"/>
        <v>4.1872169388660896E-3</v>
      </c>
      <c r="AB41" s="126" t="s">
        <v>661</v>
      </c>
      <c r="AC41" s="119"/>
      <c r="AD41" s="119"/>
      <c r="AE41" s="116"/>
      <c r="AG41" s="117"/>
    </row>
    <row r="42" spans="1:49">
      <c r="A42" s="70">
        <v>310</v>
      </c>
      <c r="B42" s="7"/>
      <c r="C42" s="97" t="s">
        <v>48</v>
      </c>
      <c r="D42" s="7"/>
      <c r="E42" s="133">
        <f t="array" aca="1" ref="E42" ca="1">SUM(IF(LEFT($A42,3)=LEFT(INDIRECT($AE$8),3),INDIRECT($AF$8),""))*E$62</f>
        <v>45577.68</v>
      </c>
      <c r="F42" s="24">
        <f t="shared" ca="1" si="7"/>
        <v>74.473333333333329</v>
      </c>
      <c r="G42" s="25">
        <f ca="1">IFERROR(E42/E$29,0)</f>
        <v>1.775649826149852E-2</v>
      </c>
      <c r="H42" s="7"/>
      <c r="I42" s="133">
        <f t="array" aca="1" ref="I42" ca="1">SUM(IF(LEFT($A42,3)=LEFT(INDIRECT($AE$8),3),INDIRECT($AG$8),""))*I$62</f>
        <v>38858.939999999995</v>
      </c>
      <c r="J42" s="24">
        <f t="shared" ca="1" si="9"/>
        <v>60.246418604651154</v>
      </c>
      <c r="K42" s="25">
        <f t="shared" ca="1" si="10"/>
        <v>1.4692389515368519E-2</v>
      </c>
      <c r="L42" s="7"/>
      <c r="M42" s="43">
        <f t="array" aca="1" ref="M42" ca="1">IFERROR(SUM(IF($A42=INDIRECT($AE$8),IF(M$1&lt;=INDIRECT(#REF!),IF(N$1&gt;=INDIRECT(#REF!),INDIRECT($AF$8)*M$62,""),""),"")),0)</f>
        <v>0</v>
      </c>
      <c r="N42" s="24">
        <f t="shared" ca="1" si="17"/>
        <v>0</v>
      </c>
      <c r="O42" s="25">
        <f t="shared" ca="1" si="11"/>
        <v>0</v>
      </c>
      <c r="P42" s="7"/>
      <c r="Q42" s="43">
        <f t="array" aca="1" ref="Q42" ca="1">IFERROR(SUM(IF($A42=INDIRECT($AE$8),IF(Q$1&lt;=INDIRECT(#REF!),IF(R$1&gt;=INDIRECT(#REF!),INDIRECT($AF$8)*Q$62,""),""),"")),0)</f>
        <v>0</v>
      </c>
      <c r="R42" s="24">
        <f t="shared" ca="1" si="18"/>
        <v>0</v>
      </c>
      <c r="S42" s="25">
        <f t="shared" ca="1" si="12"/>
        <v>0</v>
      </c>
      <c r="T42" s="7"/>
      <c r="U42" s="133">
        <f ca="1">I42</f>
        <v>38858.939999999995</v>
      </c>
      <c r="V42" s="24">
        <f t="shared" ca="1" si="13"/>
        <v>61.317210681463493</v>
      </c>
      <c r="W42" s="25">
        <f t="shared" ca="1" si="14"/>
        <v>1.4660059916917359E-2</v>
      </c>
      <c r="X42" s="7"/>
      <c r="Y42" s="133">
        <f ca="1">I42*INFLATION</f>
        <v>39636.118799999997</v>
      </c>
      <c r="Z42" s="137">
        <f t="shared" ca="1" si="16"/>
        <v>56.948446551724132</v>
      </c>
      <c r="AA42" s="132">
        <f t="shared" ca="1" si="19"/>
        <v>1.3524232584667169E-2</v>
      </c>
      <c r="AB42" s="126" t="s">
        <v>660</v>
      </c>
      <c r="AC42" s="119"/>
      <c r="AD42" s="119"/>
      <c r="AE42" s="116"/>
      <c r="AG42" s="117"/>
    </row>
    <row r="43" spans="1:49">
      <c r="A43" s="70">
        <v>311</v>
      </c>
      <c r="B43" s="7"/>
      <c r="C43" s="97" t="s">
        <v>47</v>
      </c>
      <c r="D43" s="7"/>
      <c r="E43" s="133">
        <v>59000</v>
      </c>
      <c r="F43" s="24">
        <f t="shared" si="7"/>
        <v>96.40522875816994</v>
      </c>
      <c r="G43" s="25">
        <f t="shared" ca="1" si="8"/>
        <v>2.2985667489622393E-2</v>
      </c>
      <c r="H43" s="7"/>
      <c r="I43" s="133">
        <v>59000</v>
      </c>
      <c r="J43" s="24">
        <f t="shared" si="9"/>
        <v>91.47286821705427</v>
      </c>
      <c r="K43" s="25">
        <f t="shared" ca="1" si="10"/>
        <v>2.2307633234636425E-2</v>
      </c>
      <c r="L43" s="7"/>
      <c r="M43" s="43">
        <f t="array" aca="1" ref="M43" ca="1">IFERROR(SUM(IF($A43=INDIRECT($AE$8),IF(M$1&lt;=INDIRECT(#REF!),IF(N$1&gt;=INDIRECT(#REF!),INDIRECT($AF$8)*M$62,""),""),"")),0)</f>
        <v>0</v>
      </c>
      <c r="N43" s="24">
        <f t="shared" ca="1" si="17"/>
        <v>0</v>
      </c>
      <c r="O43" s="25">
        <f t="shared" ca="1" si="11"/>
        <v>0</v>
      </c>
      <c r="P43" s="7"/>
      <c r="Q43" s="43">
        <f t="array" aca="1" ref="Q43" ca="1">IFERROR(SUM(IF($A43=INDIRECT($AE$8),IF(Q$1&lt;=INDIRECT(#REF!),IF(R$1&gt;=INDIRECT(#REF!),INDIRECT($AF$8)*Q$62,""),""),"")),0)</f>
        <v>0</v>
      </c>
      <c r="R43" s="24">
        <f t="shared" ca="1" si="18"/>
        <v>0</v>
      </c>
      <c r="S43" s="25">
        <f t="shared" ca="1" si="12"/>
        <v>0</v>
      </c>
      <c r="T43" s="7"/>
      <c r="U43" s="133">
        <v>59000</v>
      </c>
      <c r="V43" s="137">
        <f t="shared" si="13"/>
        <v>93.098664817062598</v>
      </c>
      <c r="W43" s="132">
        <f t="shared" ref="W43" ca="1" si="20">IFERROR(U43/U$29,0)</f>
        <v>2.2258546813117504E-2</v>
      </c>
      <c r="X43" s="7"/>
      <c r="Y43" s="133">
        <f>59000*INFLATION</f>
        <v>60180</v>
      </c>
      <c r="Z43" s="137">
        <f t="shared" si="16"/>
        <v>86.465517241379317</v>
      </c>
      <c r="AA43" s="132">
        <f t="shared" ca="1" si="19"/>
        <v>2.0534006395834858E-2</v>
      </c>
      <c r="AB43" s="126" t="s">
        <v>578</v>
      </c>
      <c r="AC43" s="119"/>
      <c r="AD43" s="119"/>
      <c r="AE43" s="116"/>
      <c r="AG43" s="117"/>
    </row>
    <row r="44" spans="1:49">
      <c r="A44" s="70">
        <v>312</v>
      </c>
      <c r="B44" s="7"/>
      <c r="C44" s="97" t="s">
        <v>49</v>
      </c>
      <c r="D44" s="7"/>
      <c r="E44" s="133">
        <f t="array" aca="1" ref="E44" ca="1">SUM(IF(LEFT($A44,3)=LEFT(INDIRECT($AE$8),3),INDIRECT($AF$8),""))*E$62</f>
        <v>109330.72</v>
      </c>
      <c r="F44" s="24">
        <f t="shared" ca="1" si="7"/>
        <v>178.64496732026143</v>
      </c>
      <c r="G44" s="25">
        <f t="shared" ca="1" si="8"/>
        <v>4.2593891124084897E-2</v>
      </c>
      <c r="H44" s="7"/>
      <c r="I44" s="133">
        <f t="array" aca="1" ref="I44" ca="1">SUM(IF(LEFT($A44,3)=LEFT(INDIRECT($AE$8),3),INDIRECT($AG$8),""))*I$62</f>
        <v>136944.88</v>
      </c>
      <c r="J44" s="24">
        <f t="shared" ca="1" si="9"/>
        <v>212.31764341085272</v>
      </c>
      <c r="K44" s="25">
        <f t="shared" ca="1" si="10"/>
        <v>5.1778239939005037E-2</v>
      </c>
      <c r="L44" s="7"/>
      <c r="M44" s="43">
        <f t="array" aca="1" ref="M44" ca="1">IFERROR(SUM(IF($A44=INDIRECT($AE$8),IF(M$1&lt;=INDIRECT(#REF!),IF(N$1&gt;=INDIRECT(#REF!),INDIRECT($AF$8)*M$62,""),""),"")),0)</f>
        <v>0</v>
      </c>
      <c r="N44" s="24">
        <f t="shared" ca="1" si="17"/>
        <v>0</v>
      </c>
      <c r="O44" s="25">
        <f t="shared" ca="1" si="11"/>
        <v>0</v>
      </c>
      <c r="P44" s="7"/>
      <c r="Q44" s="43">
        <f t="array" aca="1" ref="Q44" ca="1">IFERROR(SUM(IF($A44=INDIRECT($AE$8),IF(Q$1&lt;=INDIRECT(#REF!),IF(R$1&gt;=INDIRECT(#REF!),INDIRECT($AF$8)*Q$62,""),""),"")),0)</f>
        <v>0</v>
      </c>
      <c r="R44" s="24">
        <f t="shared" ca="1" si="18"/>
        <v>0</v>
      </c>
      <c r="S44" s="25">
        <f t="shared" ca="1" si="12"/>
        <v>0</v>
      </c>
      <c r="T44" s="7"/>
      <c r="U44" s="133">
        <f t="array" aca="1" ref="U44" ca="1">SUM(IF(LEFT($A44,3)=LEFT(INDIRECT($AE$8),3),INDIRECT($AH$8),""))*U$62</f>
        <v>110294.13571428572</v>
      </c>
      <c r="V44" s="24">
        <f t="shared" ca="1" si="13"/>
        <v>174.03791139240508</v>
      </c>
      <c r="W44" s="25">
        <f t="shared" ca="1" si="14"/>
        <v>4.1609952254385831E-2</v>
      </c>
      <c r="X44" s="7"/>
      <c r="Y44" s="133">
        <f ca="1">I44*INFLATION</f>
        <v>139683.7776</v>
      </c>
      <c r="Z44" s="137">
        <f t="shared" ca="1" si="16"/>
        <v>200.69508275862069</v>
      </c>
      <c r="AA44" s="132">
        <f t="shared" ca="1" si="19"/>
        <v>4.766147528469216E-2</v>
      </c>
      <c r="AB44" s="126" t="s">
        <v>660</v>
      </c>
      <c r="AC44" s="119"/>
      <c r="AD44" s="124"/>
      <c r="AE44" s="118"/>
      <c r="AF44" s="116"/>
      <c r="AG44" s="117"/>
    </row>
    <row r="45" spans="1:49">
      <c r="A45" s="70">
        <v>313</v>
      </c>
      <c r="B45" s="7"/>
      <c r="C45" s="97" t="s">
        <v>50</v>
      </c>
      <c r="D45" s="7"/>
      <c r="E45" s="133">
        <f t="array" aca="1" ref="E45" ca="1">SUM(IF(LEFT($A45,3)=LEFT(INDIRECT($AE$8),3),INDIRECT($AF$8),""))*E$62</f>
        <v>179042.57</v>
      </c>
      <c r="F45" s="24">
        <f t="shared" ca="1" si="7"/>
        <v>292.55321895424839</v>
      </c>
      <c r="G45" s="25">
        <f ca="1">IFERROR(E45/E$29,0)</f>
        <v>6.9752762381482064E-2</v>
      </c>
      <c r="H45" s="7"/>
      <c r="I45" s="133">
        <f t="array" aca="1" ref="I45" ca="1">SUM(IF(LEFT($A45,3)=LEFT(INDIRECT($AE$8),3),INDIRECT($AG$8),""))*I$62</f>
        <v>162769.87000000002</v>
      </c>
      <c r="J45" s="24">
        <f t="shared" ca="1" si="9"/>
        <v>252.35638759689925</v>
      </c>
      <c r="K45" s="25">
        <f t="shared" ca="1" si="10"/>
        <v>6.1542551891685608E-2</v>
      </c>
      <c r="L45" s="7"/>
      <c r="M45" s="43">
        <f t="array" aca="1" ref="M45" ca="1">IFERROR(SUM(IF($A45=INDIRECT($AE$8),IF(M$1&lt;=INDIRECT(#REF!),IF(N$1&gt;=INDIRECT(#REF!),INDIRECT($AF$8)*M$62,""),""),"")),0)</f>
        <v>0</v>
      </c>
      <c r="N45" s="24">
        <f t="shared" ca="1" si="17"/>
        <v>0</v>
      </c>
      <c r="O45" s="25">
        <f t="shared" ca="1" si="11"/>
        <v>0</v>
      </c>
      <c r="P45" s="7"/>
      <c r="Q45" s="43">
        <f t="array" aca="1" ref="Q45" ca="1">IFERROR(SUM(IF($A45=INDIRECT($AE$8),IF(Q$1&lt;=INDIRECT(#REF!),IF(R$1&gt;=INDIRECT(#REF!),INDIRECT($AF$8)*Q$62,""),""),"")),0)</f>
        <v>0</v>
      </c>
      <c r="R45" s="24">
        <f t="shared" ca="1" si="18"/>
        <v>0</v>
      </c>
      <c r="S45" s="25">
        <f t="shared" ca="1" si="12"/>
        <v>0</v>
      </c>
      <c r="T45" s="7"/>
      <c r="U45" s="133">
        <f t="array" aca="1" ref="U45" ca="1">SUM(IF(LEFT($A45,3)=LEFT(INDIRECT($AE$8),3),INDIRECT($AH$8),""))*U$62</f>
        <v>147279.64587912089</v>
      </c>
      <c r="V45" s="24">
        <f t="shared" ca="1" si="13"/>
        <v>232.39895569620256</v>
      </c>
      <c r="W45" s="25">
        <f t="shared" ca="1" si="14"/>
        <v>5.5563235464742046E-2</v>
      </c>
      <c r="X45" s="7"/>
      <c r="Y45" s="133">
        <f ca="1">I45*INFLATION</f>
        <v>166025.26740000004</v>
      </c>
      <c r="Z45" s="137">
        <f t="shared" ca="1" si="16"/>
        <v>238.54205086206903</v>
      </c>
      <c r="AA45" s="132">
        <f t="shared" ca="1" si="19"/>
        <v>5.6649450027613721E-2</v>
      </c>
      <c r="AB45" s="126" t="s">
        <v>660</v>
      </c>
      <c r="AC45" s="119"/>
      <c r="AE45" s="116"/>
      <c r="AF45" s="116"/>
      <c r="AG45" s="117"/>
    </row>
    <row r="46" spans="1:49" hidden="1" outlineLevel="1">
      <c r="A46" s="70">
        <v>320</v>
      </c>
      <c r="B46" s="7"/>
      <c r="C46" s="97" t="s">
        <v>52</v>
      </c>
      <c r="D46" s="7"/>
      <c r="E46" s="133">
        <f t="array" aca="1" ref="E46" ca="1">SUM(IF(LEFT($A46,3)=LEFT(INDIRECT($AE$8),3),INDIRECT($AF$8),""))*E$62</f>
        <v>0</v>
      </c>
      <c r="F46" s="24">
        <f t="shared" ca="1" si="7"/>
        <v>0</v>
      </c>
      <c r="G46" s="25">
        <f t="shared" ca="1" si="8"/>
        <v>0</v>
      </c>
      <c r="H46" s="7"/>
      <c r="I46" s="133">
        <f t="array" aca="1" ref="I46" ca="1">SUM(IF(LEFT($A46,3)=LEFT(INDIRECT($AE$8),3),INDIRECT($AG$8),""))*I$62</f>
        <v>0</v>
      </c>
      <c r="J46" s="24">
        <f t="shared" ca="1" si="9"/>
        <v>0</v>
      </c>
      <c r="K46" s="25">
        <f t="shared" ca="1" si="10"/>
        <v>0</v>
      </c>
      <c r="L46" s="7"/>
      <c r="M46" s="43">
        <f t="array" aca="1" ref="M46" ca="1">IFERROR(SUM(IF($A46=INDIRECT($AE$8),IF(M$1&lt;=INDIRECT(#REF!),IF(N$1&gt;=INDIRECT(#REF!),INDIRECT($AF$8)*M$62,""),""),"")),0)</f>
        <v>0</v>
      </c>
      <c r="N46" s="24">
        <f t="shared" ca="1" si="17"/>
        <v>0</v>
      </c>
      <c r="O46" s="25">
        <f t="shared" ca="1" si="11"/>
        <v>0</v>
      </c>
      <c r="P46" s="7"/>
      <c r="Q46" s="43">
        <f t="array" aca="1" ref="Q46" ca="1">IFERROR(SUM(IF($A46=INDIRECT($AE$8),IF(Q$1&lt;=INDIRECT(#REF!),IF(R$1&gt;=INDIRECT(#REF!),INDIRECT($AF$8)*Q$62,""),""),"")),0)</f>
        <v>0</v>
      </c>
      <c r="R46" s="24">
        <f t="shared" ca="1" si="18"/>
        <v>0</v>
      </c>
      <c r="S46" s="25">
        <f t="shared" ca="1" si="12"/>
        <v>0</v>
      </c>
      <c r="T46" s="7"/>
      <c r="U46" s="133">
        <f t="array" aca="1" ref="U46" ca="1">SUM(IF(LEFT($A46,3)=LEFT(INDIRECT($AE$8),3),INDIRECT($AH$8),""))*U$62</f>
        <v>0</v>
      </c>
      <c r="V46" s="24">
        <f t="shared" ca="1" si="13"/>
        <v>0</v>
      </c>
      <c r="W46" s="25">
        <f t="shared" ca="1" si="14"/>
        <v>0</v>
      </c>
      <c r="X46" s="7"/>
      <c r="Y46" s="133">
        <f t="array" aca="1" ref="Y46" ca="1">SUM(IF(LEFT($A46,3)=LEFT(INDIRECT($AE$8),3),INDIRECT($AH$8),""))*Y$62</f>
        <v>0</v>
      </c>
      <c r="Z46" s="137">
        <f t="shared" ca="1" si="16"/>
        <v>0</v>
      </c>
      <c r="AA46" s="132">
        <f t="shared" ca="1" si="19"/>
        <v>0</v>
      </c>
      <c r="AB46" s="125"/>
      <c r="AC46" s="119"/>
      <c r="AD46" s="124"/>
      <c r="AE46" s="118"/>
      <c r="AF46" s="116"/>
      <c r="AG46" s="116"/>
    </row>
    <row r="47" spans="1:49" s="80" customFormat="1" hidden="1" outlineLevel="1">
      <c r="B47" s="76"/>
      <c r="C47" s="99"/>
      <c r="D47" s="7"/>
      <c r="E47" s="133"/>
      <c r="F47" s="34"/>
      <c r="G47" s="56"/>
      <c r="H47" s="7"/>
      <c r="I47" s="55"/>
      <c r="J47" s="34"/>
      <c r="K47" s="56"/>
      <c r="L47" s="7"/>
      <c r="M47" s="55"/>
      <c r="N47" s="34"/>
      <c r="O47" s="56"/>
      <c r="P47" s="7"/>
      <c r="Q47" s="55"/>
      <c r="R47" s="34"/>
      <c r="S47" s="56"/>
      <c r="T47" s="7"/>
      <c r="U47" s="55"/>
      <c r="V47" s="34"/>
      <c r="W47" s="56"/>
      <c r="X47" s="7"/>
      <c r="Y47" s="55"/>
      <c r="Z47" s="34"/>
      <c r="AA47" s="56"/>
      <c r="AB47" s="127"/>
      <c r="AC47" s="119"/>
      <c r="AD47" s="124"/>
      <c r="AE47" s="118"/>
      <c r="AF47" s="116"/>
      <c r="AG47" s="118"/>
      <c r="AI47" s="1"/>
      <c r="AJ47" s="1"/>
      <c r="AK47" s="1"/>
      <c r="AL47" s="1"/>
      <c r="AM47" s="1"/>
      <c r="AN47" s="1"/>
      <c r="AO47" s="1"/>
      <c r="AP47" s="1"/>
      <c r="AQ47" s="1"/>
      <c r="AR47" s="1"/>
      <c r="AS47" s="1"/>
      <c r="AT47" s="1"/>
      <c r="AU47" s="76"/>
      <c r="AV47" s="76"/>
      <c r="AW47" s="76"/>
    </row>
    <row r="48" spans="1:49" hidden="1" outlineLevel="1">
      <c r="A48" s="75">
        <v>1010</v>
      </c>
      <c r="B48" s="7"/>
      <c r="C48" s="100" t="s">
        <v>27</v>
      </c>
      <c r="D48" s="76"/>
      <c r="E48" s="81">
        <f t="array" aca="1" ref="E48" ca="1">SUM(IF(LEFT($A48,3)=LEFT(INDIRECT($AE$8),3),INDIRECT($AF$8),""))*E$62</f>
        <v>0</v>
      </c>
      <c r="F48" s="81">
        <f ca="1">IFERROR(E48/(E$12*E$63*E$62),0)</f>
        <v>0</v>
      </c>
      <c r="G48" s="79">
        <f ca="1">IFERROR(E48/E$27,0)</f>
        <v>0</v>
      </c>
      <c r="H48" s="76"/>
      <c r="I48" s="78">
        <f t="array" aca="1" ref="I48" ca="1">SUM(IF(LEFT($A48,3)=LEFT(INDIRECT($AE$8),3),INDIRECT($AF$8),""))*I$62</f>
        <v>0</v>
      </c>
      <c r="J48" s="81">
        <f ca="1">IFERROR(I48/(I$12*I$63*I$62),0)</f>
        <v>0</v>
      </c>
      <c r="K48" s="79">
        <f ca="1">IFERROR(I48/I$27,0)</f>
        <v>0</v>
      </c>
      <c r="L48" s="76"/>
      <c r="M48" s="78">
        <f t="array" aca="1" ref="M48" ca="1">IFERROR(SUM(IF($A48=INDIRECT($AE$8),IF(M$1&lt;=INDIRECT(#REF!),IF(N$1&gt;=INDIRECT(#REF!),INDIRECT($AF$8)*M$62,""),""),"")),0)</f>
        <v>0</v>
      </c>
      <c r="N48" s="81">
        <f ca="1">IFERROR(M48/(M$12*M$63*M$62),0)</f>
        <v>0</v>
      </c>
      <c r="O48" s="79">
        <f ca="1">IFERROR(M48/M$27,0)</f>
        <v>0</v>
      </c>
      <c r="P48" s="76"/>
      <c r="Q48" s="78">
        <f t="array" aca="1" ref="Q48" ca="1">IFERROR(SUM(IF($A48=INDIRECT($AE$8),IF(Q$1&lt;=INDIRECT(#REF!),IF(R$1&gt;=INDIRECT(#REF!),INDIRECT($AF$8)*Q$62,""),""),"")),0)</f>
        <v>0</v>
      </c>
      <c r="R48" s="81">
        <f ca="1">IFERROR(Q48/(Q$12*Q$63*Q$62),0)</f>
        <v>0</v>
      </c>
      <c r="S48" s="79">
        <f ca="1">IFERROR(Q48/Q$27,0)</f>
        <v>0</v>
      </c>
      <c r="T48" s="76"/>
      <c r="U48" s="78">
        <f t="array" aca="1" ref="U48" ca="1">SUM(IF(LEFT($A48,3)=LEFT(INDIRECT($AE$8),3),INDIRECT($AF$8),""))*U$62</f>
        <v>0</v>
      </c>
      <c r="V48" s="81">
        <f ca="1">IFERROR(U48/(U$12*U$63*U$62),0)</f>
        <v>0</v>
      </c>
      <c r="W48" s="79">
        <f ca="1">IFERROR(U48/U$27,0)</f>
        <v>0</v>
      </c>
      <c r="X48" s="76"/>
      <c r="Y48" s="78">
        <f t="array" aca="1" ref="Y48" ca="1">SUM(IF(LEFT($A48,3)=LEFT(INDIRECT($AE$8),3),INDIRECT($AF$8),""))*Y$62</f>
        <v>0</v>
      </c>
      <c r="Z48" s="81">
        <f ca="1">IFERROR(Y48/(Y$12*Y$63*Y$62),0)</f>
        <v>0</v>
      </c>
      <c r="AA48" s="79">
        <f ca="1">IFERROR(Y48/Y$27,0)</f>
        <v>0</v>
      </c>
      <c r="AB48" s="125"/>
      <c r="AC48" s="119"/>
      <c r="AE48" s="116"/>
      <c r="AF48" s="116"/>
      <c r="AG48" s="116"/>
    </row>
    <row r="49" spans="1:33" hidden="1" outlineLevel="1">
      <c r="A49" s="57">
        <v>990</v>
      </c>
      <c r="B49" s="7"/>
      <c r="C49" s="101" t="s">
        <v>22</v>
      </c>
      <c r="D49" s="7"/>
      <c r="E49" s="60">
        <f t="array" aca="1" ref="E49" ca="1">SUM(IF(LEFT($A49,3)=LEFT(INDIRECT($AE$8),3),INDIRECT($AF$8),""))*E$62</f>
        <v>9015.34</v>
      </c>
      <c r="F49" s="60">
        <f ca="1">IFERROR(E49/(E$12*E$63*E$62),0)</f>
        <v>14.730947712418301</v>
      </c>
      <c r="G49" s="61">
        <f ca="1">IFERROR(E49/E$27,0)</f>
        <v>3.5122645346761417E-3</v>
      </c>
      <c r="H49" s="7"/>
      <c r="I49" s="59">
        <f t="array" aca="1" ref="I49" ca="1">SUM(IF(LEFT($A49,3)=LEFT(INDIRECT($AE$8),3),INDIRECT($AG$8),""))*I$62</f>
        <v>5905.13</v>
      </c>
      <c r="J49" s="60">
        <f ca="1">IFERROR(I49/(I$12*I$63*I$62),0)</f>
        <v>9.1552403100775201</v>
      </c>
      <c r="K49" s="61">
        <f ca="1">IFERROR(I49/I$29,0)</f>
        <v>2.2327029532686203E-3</v>
      </c>
      <c r="L49" s="7"/>
      <c r="M49" s="59">
        <f t="array" aca="1" ref="M49" ca="1">IFERROR(SUM(IF($A49=INDIRECT($AE$8),IF(M$1&lt;=INDIRECT(#REF!),IF(N$1&gt;=INDIRECT(#REF!),INDIRECT($AF$8)*M$62,""),""),"")),0)</f>
        <v>0</v>
      </c>
      <c r="N49" s="60">
        <f ca="1">IFERROR(M49/(M$12*M$63*M$62),0)</f>
        <v>0</v>
      </c>
      <c r="O49" s="61">
        <f ca="1">IFERROR(M49/M$27,0)</f>
        <v>0</v>
      </c>
      <c r="P49" s="7"/>
      <c r="Q49" s="59">
        <f t="array" aca="1" ref="Q49" ca="1">IFERROR(SUM(IF($A49=INDIRECT($AE$8),IF(Q$1&lt;=INDIRECT(#REF!),IF(R$1&gt;=INDIRECT(#REF!),INDIRECT($AF$8)*Q$62,""),""),"")),0)</f>
        <v>0</v>
      </c>
      <c r="R49" s="60">
        <f ca="1">IFERROR(Q49/(Q$12*Q$63*Q$62),0)</f>
        <v>0</v>
      </c>
      <c r="S49" s="61">
        <f ca="1">IFERROR(Q49/Q$27,0)</f>
        <v>0</v>
      </c>
      <c r="T49" s="7"/>
      <c r="U49" s="59">
        <f t="array" aca="1" ref="U49" ca="1">SUM(IF(LEFT($A49,3)=LEFT(INDIRECT($AE$8),3),INDIRECT($AH$8),""))*U$62</f>
        <v>1640.6549450549448</v>
      </c>
      <c r="V49" s="60">
        <f ca="1">IFERROR(U49/(U$12*U$63*U$62),0)</f>
        <v>2.5888607594936706</v>
      </c>
      <c r="W49" s="61">
        <f ca="1">IFERROR(U49/U$29,0)</f>
        <v>6.1895923557081728E-4</v>
      </c>
      <c r="X49" s="7"/>
      <c r="Y49" s="135">
        <f t="array" aca="1" ref="Y49" ca="1">SUM(IF(LEFT($A49,3)=LEFT(INDIRECT($AE$8),3),INDIRECT($AH$8),""))*Y$62</f>
        <v>818.07999999999993</v>
      </c>
      <c r="Z49" s="60">
        <f ca="1">IFERROR(Y49/(Y$12*Y$63*Y$62),0)</f>
        <v>1.1754022988505746</v>
      </c>
      <c r="AA49" s="134">
        <f ca="1">IFERROR(Y49/Y$29,0)</f>
        <v>2.791369217730904E-4</v>
      </c>
      <c r="AB49" s="125"/>
      <c r="AE49" s="116"/>
      <c r="AF49" s="116"/>
      <c r="AG49" s="116"/>
    </row>
    <row r="50" spans="1:33" hidden="1" outlineLevel="1">
      <c r="A50" s="57">
        <v>991</v>
      </c>
      <c r="B50" s="7"/>
      <c r="C50" s="101" t="s">
        <v>53</v>
      </c>
      <c r="D50" s="7"/>
      <c r="E50" s="60">
        <f t="array" aca="1" ref="E50" ca="1">SUM(IF(LEFT($A50,3)=LEFT(INDIRECT($AE$8),3),INDIRECT($AF$8),""))*E$62</f>
        <v>128341</v>
      </c>
      <c r="F50" s="60">
        <f ca="1">IFERROR(E50/(E$12*E$63*E$62),0)</f>
        <v>209.70751633986927</v>
      </c>
      <c r="G50" s="61">
        <f ca="1">IFERROR(E50/E$27,0)</f>
        <v>5.0000060191281823E-2</v>
      </c>
      <c r="H50" s="7"/>
      <c r="I50" s="135">
        <f t="array" aca="1" ref="I50" ca="1">SUM(IF(LEFT($A50,3)=LEFT(INDIRECT($AE$8),3),INDIRECT($AG$8),""))*I$62</f>
        <v>129353</v>
      </c>
      <c r="J50" s="60">
        <f ca="1">IFERROR(I50/(I$12*I$63*I$62),0)</f>
        <v>200.54728682170543</v>
      </c>
      <c r="K50" s="134">
        <f ca="1">IFERROR(I50/I$29,0)</f>
        <v>4.8907784437286876E-2</v>
      </c>
      <c r="L50" s="7"/>
      <c r="M50" s="59">
        <f t="array" aca="1" ref="M50" ca="1">IFERROR(SUM(IF($A50=INDIRECT($AE$8),IF(M$1&lt;=INDIRECT(#REF!),IF(N$1&gt;=INDIRECT(#REF!),INDIRECT($AF$8)*M$62,""),""),"")),0)</f>
        <v>0</v>
      </c>
      <c r="N50" s="60">
        <f ca="1">IFERROR(M50/(M$12*M$63*M$62),0)</f>
        <v>0</v>
      </c>
      <c r="O50" s="61">
        <f ca="1">IFERROR(M50/M$27,0)</f>
        <v>0</v>
      </c>
      <c r="P50" s="7"/>
      <c r="Q50" s="59">
        <f t="array" aca="1" ref="Q50" ca="1">IFERROR(SUM(IF($A50=INDIRECT($AE$8),IF(Q$1&lt;=INDIRECT(#REF!),IF(R$1&gt;=INDIRECT(#REF!),INDIRECT($AF$8)*Q$62,""),""),"")),0)</f>
        <v>0</v>
      </c>
      <c r="R50" s="60">
        <f ca="1">IFERROR(Q50/(Q$12*Q$63*Q$62),0)</f>
        <v>0</v>
      </c>
      <c r="S50" s="61">
        <f ca="1">IFERROR(Q50/Q$27,0)</f>
        <v>0</v>
      </c>
      <c r="T50" s="7"/>
      <c r="U50" s="135">
        <f t="array" aca="1" ref="U50" ca="1">SUM(IF(LEFT($A50,3)=LEFT(INDIRECT($AE$8),3),INDIRECT($AH$8),""))*U$62</f>
        <v>120329.67032967033</v>
      </c>
      <c r="V50" s="60">
        <f ca="1">IFERROR(U50/(U$12*U$63*U$62),0)</f>
        <v>189.87341772151899</v>
      </c>
      <c r="W50" s="134">
        <f ca="1">IFERROR(U50/U$29,0)</f>
        <v>4.5395993221016333E-2</v>
      </c>
      <c r="X50" s="7"/>
      <c r="Y50" s="135">
        <f t="array" aca="1" ref="Y50" ca="1">SUM(IF(LEFT($A50,3)=LEFT(INDIRECT($AE$8),3),INDIRECT($AH$8),""))*Y$62</f>
        <v>60000</v>
      </c>
      <c r="Z50" s="60">
        <f ca="1">IFERROR(Y50/(Y$12*Y$63*Y$62),0)</f>
        <v>86.206896551724142</v>
      </c>
      <c r="AA50" s="134">
        <f ca="1">IFERROR(Y50/Y$29,0)</f>
        <v>2.0472588629945023E-2</v>
      </c>
      <c r="AB50" s="125"/>
      <c r="AC50" s="119"/>
      <c r="AD50" s="119"/>
      <c r="AE50" s="116"/>
      <c r="AF50" s="116"/>
      <c r="AG50" s="116"/>
    </row>
    <row r="51" spans="1:33" hidden="1" outlineLevel="1">
      <c r="A51" s="57">
        <v>992</v>
      </c>
      <c r="B51" s="7"/>
      <c r="C51" s="101" t="s">
        <v>54</v>
      </c>
      <c r="D51" s="7"/>
      <c r="E51" s="60">
        <f t="array" aca="1" ref="E51" ca="1">SUM(IF(LEFT($A51,3)=LEFT(INDIRECT($AE$8),3),INDIRECT($AF$8),""))*E$62</f>
        <v>765123.11</v>
      </c>
      <c r="F51" s="60">
        <f ca="1">IFERROR(E51/(E$12*E$63*E$62),0)</f>
        <v>1250.201160130719</v>
      </c>
      <c r="G51" s="61">
        <f ca="1">IFERROR(E51/E$27,0)</f>
        <v>0.29808246432348773</v>
      </c>
      <c r="H51" s="7"/>
      <c r="I51" s="135">
        <f t="array" aca="1" ref="I51" ca="1">SUM(IF(LEFT($A51,3)=LEFT(INDIRECT($AE$8),3),INDIRECT($AG$8),""))*I$62</f>
        <v>766840.92</v>
      </c>
      <c r="J51" s="60">
        <f ca="1">IFERROR(I51/(I$12*I$63*I$62),0)</f>
        <v>1188.9006511627908</v>
      </c>
      <c r="K51" s="134">
        <f ca="1">IFERROR(I51/I$29,0)</f>
        <v>0.28993908462154533</v>
      </c>
      <c r="L51" s="7"/>
      <c r="M51" s="59">
        <f t="array" aca="1" ref="M51" ca="1">IFERROR(SUM(IF($A51=INDIRECT($AE$8),IF(M$1&lt;=INDIRECT(#REF!),IF(N$1&gt;=INDIRECT(#REF!),INDIRECT($AF$8)*M$62,""),""),"")),0)</f>
        <v>0</v>
      </c>
      <c r="N51" s="60">
        <f ca="1">IFERROR(M51/(M$12*M$63*M$62),0)</f>
        <v>0</v>
      </c>
      <c r="O51" s="61">
        <f ca="1">IFERROR(M51/M$27,0)</f>
        <v>0</v>
      </c>
      <c r="P51" s="7"/>
      <c r="Q51" s="59">
        <f t="array" aca="1" ref="Q51" ca="1">IFERROR(SUM(IF($A51=INDIRECT($AE$8),IF(Q$1&lt;=INDIRECT(#REF!),IF(R$1&gt;=INDIRECT(#REF!),INDIRECT($AF$8)*Q$62,""),""),"")),0)</f>
        <v>0</v>
      </c>
      <c r="R51" s="60">
        <f ca="1">IFERROR(Q51/(Q$12*Q$63*Q$62),0)</f>
        <v>0</v>
      </c>
      <c r="S51" s="61">
        <f ca="1">IFERROR(Q51/Q$27,0)</f>
        <v>0</v>
      </c>
      <c r="T51" s="7"/>
      <c r="U51" s="135">
        <f t="array" aca="1" ref="U51" ca="1">SUM(IF(LEFT($A51,3)=LEFT(INDIRECT($AE$8),3),INDIRECT($AH$8),""))*U$62</f>
        <v>768947.62582417589</v>
      </c>
      <c r="V51" s="60">
        <f ca="1">IFERROR(U51/(U$12*U$63*U$62),0)</f>
        <v>1213.3558860759495</v>
      </c>
      <c r="W51" s="134">
        <f ca="1">IFERROR(U51/U$29,0)</f>
        <v>0.29009587671598275</v>
      </c>
      <c r="X51" s="7"/>
      <c r="Y51" s="135">
        <f t="array" aca="1" ref="Y51" ca="1">SUM(IF(LEFT($A51,3)=LEFT(INDIRECT($AE$8),3),INDIRECT($AH$8),""))*Y$62</f>
        <v>383420.46</v>
      </c>
      <c r="Z51" s="60">
        <f ca="1">IFERROR(Y51/(Y$12*Y$63*Y$62),0)</f>
        <v>550.89146551724139</v>
      </c>
      <c r="AA51" s="134">
        <f ca="1">IFERROR(Y51/Y$29,0)</f>
        <v>0.13082682249807151</v>
      </c>
      <c r="AB51" s="125"/>
      <c r="AC51" s="119"/>
      <c r="AD51" s="121"/>
      <c r="AE51" s="116"/>
      <c r="AF51" s="116"/>
      <c r="AG51" s="116"/>
    </row>
    <row r="52" spans="1:33" hidden="1" outlineLevel="1">
      <c r="A52" s="7"/>
      <c r="B52" s="7"/>
      <c r="C52" s="102" t="s">
        <v>25</v>
      </c>
      <c r="D52" s="7"/>
      <c r="E52" s="64">
        <f t="array" aca="1" ref="E52" ca="1">SUM(E32:E51)</f>
        <v>2941770.8899999997</v>
      </c>
      <c r="F52" s="64">
        <f ca="1">IFERROR(E52/(E$12*E$63*E$62),0)</f>
        <v>4806.8151797385617</v>
      </c>
      <c r="G52" s="65">
        <f ca="1">IFERROR(E52/E$27,0)</f>
        <v>1.1460774153930597</v>
      </c>
      <c r="H52" s="7"/>
      <c r="I52" s="63">
        <f ca="1">SUM(I32:I51)</f>
        <v>2888145.13</v>
      </c>
      <c r="J52" s="64">
        <f ca="1">IFERROR(I52/(I$12*I$63*I$62),0)</f>
        <v>4477.7443875968993</v>
      </c>
      <c r="K52" s="65">
        <f ca="1">IFERROR(I52/I$27,0)</f>
        <v>1.0919946150583277</v>
      </c>
      <c r="L52" s="7"/>
      <c r="M52" s="63">
        <f ca="1">SUM(M32:M51)</f>
        <v>0</v>
      </c>
      <c r="N52" s="64">
        <f ca="1">IFERROR(M52/(M$12*M$63*M$62),0)</f>
        <v>0</v>
      </c>
      <c r="O52" s="65">
        <f ca="1">IFERROR(M52/M$27,0)</f>
        <v>0</v>
      </c>
      <c r="P52" s="7"/>
      <c r="Q52" s="63">
        <f ca="1">SUM(Q32:Q51)</f>
        <v>0</v>
      </c>
      <c r="R52" s="64">
        <f ca="1">IFERROR(Q52/(Q$12*Q$63*Q$62),0)</f>
        <v>0</v>
      </c>
      <c r="S52" s="65">
        <f ca="1">IFERROR(Q52/Q$27,0)</f>
        <v>0</v>
      </c>
      <c r="T52" s="7"/>
      <c r="U52" s="63">
        <f ca="1">SUM(U32:U51)</f>
        <v>2816644.3628021977</v>
      </c>
      <c r="V52" s="64">
        <f ca="1">IFERROR(U52/(U$12*U$63*U$62),0)</f>
        <v>4444.5055837523842</v>
      </c>
      <c r="W52" s="65">
        <f ca="1">IFERROR(U52/U$27,0)</f>
        <v>1.0626171255141736</v>
      </c>
      <c r="X52" s="7"/>
      <c r="Y52" s="63">
        <f ca="1">SUM(Y32:Y51)</f>
        <v>2549635.5252186707</v>
      </c>
      <c r="Z52" s="64">
        <f ca="1">IFERROR(Y52/(Y$12*Y$63*Y$62),0)</f>
        <v>3663.2694327854465</v>
      </c>
      <c r="AA52" s="65">
        <f ca="1">IFERROR(Y52/Y$27,0)</f>
        <v>0.86996065440159442</v>
      </c>
      <c r="AB52" s="125"/>
      <c r="AC52" s="267"/>
      <c r="AD52" s="121"/>
      <c r="AE52" s="117"/>
      <c r="AF52" s="116"/>
      <c r="AG52" s="116"/>
    </row>
    <row r="53" spans="1:33" hidden="1" outlineLevel="1">
      <c r="A53" s="6"/>
      <c r="B53" s="7"/>
      <c r="C53" s="99"/>
      <c r="D53" s="7"/>
      <c r="E53" s="133"/>
      <c r="F53" s="34"/>
      <c r="G53" s="56"/>
      <c r="H53" s="7"/>
      <c r="I53" s="55"/>
      <c r="J53" s="34"/>
      <c r="K53" s="56"/>
      <c r="L53" s="7"/>
      <c r="M53" s="55"/>
      <c r="N53" s="34"/>
      <c r="O53" s="56"/>
      <c r="P53" s="7"/>
      <c r="Q53" s="55"/>
      <c r="R53" s="34"/>
      <c r="S53" s="56"/>
      <c r="T53" s="7"/>
      <c r="U53" s="55"/>
      <c r="V53" s="34"/>
      <c r="W53" s="56"/>
      <c r="X53" s="7"/>
      <c r="Y53" s="55"/>
      <c r="Z53" s="34"/>
      <c r="AA53" s="56"/>
      <c r="AB53" s="126"/>
      <c r="AC53" s="119"/>
      <c r="AD53" s="119"/>
      <c r="AE53" s="117"/>
      <c r="AF53" s="116"/>
      <c r="AG53" s="116"/>
    </row>
    <row r="54" spans="1:33" ht="20.399999999999999" collapsed="1">
      <c r="A54" s="6"/>
      <c r="B54" s="7"/>
      <c r="C54" s="98" t="s">
        <v>670</v>
      </c>
      <c r="D54" s="7"/>
      <c r="E54" s="43">
        <f ca="1">MANAGEMENT_FEE*E$29</f>
        <v>128340.8455</v>
      </c>
      <c r="F54" s="24">
        <f ca="1">IFERROR(E54/(E$12*E$63*E$62),0)</f>
        <v>209.70726388888889</v>
      </c>
      <c r="G54" s="25">
        <f ca="1">IFERROR(E54/E$29,0)</f>
        <v>0.05</v>
      </c>
      <c r="H54" s="7"/>
      <c r="I54" s="43">
        <f ca="1">MANAGEMENT_FEE*I$29</f>
        <v>132241.72949999999</v>
      </c>
      <c r="J54" s="24">
        <f ca="1">IFERROR(I54/(I$12*I$63*I$62),0)</f>
        <v>205.0259372093023</v>
      </c>
      <c r="K54" s="25">
        <f ca="1">IFERROR(I54/I$29,0)</f>
        <v>4.9999999999999996E-2</v>
      </c>
      <c r="L54" s="7"/>
      <c r="M54" s="43">
        <f ca="1">MANAGEMENT_FEE*M$29</f>
        <v>0</v>
      </c>
      <c r="N54" s="24">
        <f ca="1">IFERROR(M54/(M$12*M$63*M$62),0)</f>
        <v>0</v>
      </c>
      <c r="O54" s="25">
        <f ca="1">IFERROR(M54/M$29,0)</f>
        <v>0</v>
      </c>
      <c r="P54" s="7"/>
      <c r="Q54" s="43">
        <f ca="1">MANAGEMENT_FEE*Q$29</f>
        <v>0</v>
      </c>
      <c r="R54" s="24">
        <f ca="1">IFERROR(Q54/(Q$12*Q$63*Q$62),0)</f>
        <v>0</v>
      </c>
      <c r="S54" s="25">
        <f ca="1">IFERROR(Q54/Q$29,0)</f>
        <v>0</v>
      </c>
      <c r="T54" s="7"/>
      <c r="U54" s="43">
        <f ca="1">MANAGEMENT_FEE*U$29</f>
        <v>132533.36009615386</v>
      </c>
      <c r="V54" s="24">
        <f ca="1">IFERROR(U54/(U$12*U$63*U$62),0)</f>
        <v>209.13015031645574</v>
      </c>
      <c r="W54" s="25">
        <f ca="1">IFERROR(U54/U$29,0)</f>
        <v>0.05</v>
      </c>
      <c r="X54" s="7"/>
      <c r="Y54" s="133">
        <f ca="1">MANAGEMENT_FEE*Y$29</f>
        <v>146537.40444000004</v>
      </c>
      <c r="Z54" s="137">
        <f ca="1">IFERROR(Y54/(Y$12*Y$63*Y$62),0)</f>
        <v>210.54224775862076</v>
      </c>
      <c r="AA54" s="132">
        <f ca="1">IFERROR(Y54/Y$29,0)</f>
        <v>0.05</v>
      </c>
      <c r="AB54" s="126"/>
      <c r="AC54" s="122"/>
      <c r="AD54" s="122"/>
      <c r="AE54" s="117"/>
      <c r="AF54" s="117"/>
      <c r="AG54" s="117"/>
    </row>
    <row r="55" spans="1:33">
      <c r="A55" s="7"/>
      <c r="B55" s="7"/>
      <c r="C55" s="103" t="s">
        <v>39</v>
      </c>
      <c r="D55" s="7"/>
      <c r="E55" s="51">
        <f ca="1">SUM(E54,E32:E46)</f>
        <v>2167632.2854999998</v>
      </c>
      <c r="F55" s="52">
        <f ca="1">IFERROR(E55/(E$12*E$63*E$62),0)</f>
        <v>3541.8828194444441</v>
      </c>
      <c r="G55" s="53">
        <f ca="1">IFERROR(E55/E$29,0)</f>
        <v>0.84448262634361404</v>
      </c>
      <c r="H55" s="7"/>
      <c r="I55" s="51">
        <f ca="1">SUM(I54,I32:I46)</f>
        <v>2118287.8095</v>
      </c>
      <c r="J55" s="52">
        <f ca="1">IFERROR(I55/(I$12*I$63*I$62),0)</f>
        <v>3284.1671465116278</v>
      </c>
      <c r="K55" s="53">
        <f ca="1">IFERROR(I55/I$29,0)</f>
        <v>0.80091504304622696</v>
      </c>
      <c r="L55" s="7"/>
      <c r="M55" s="51">
        <f ca="1">SUM(M54,M32:M46)</f>
        <v>0</v>
      </c>
      <c r="N55" s="52">
        <f ca="1">IFERROR(M55/(M$12*M$63*M$62),0)</f>
        <v>0</v>
      </c>
      <c r="O55" s="53">
        <f ca="1">IFERROR(M55/M$29,0)</f>
        <v>0</v>
      </c>
      <c r="P55" s="7"/>
      <c r="Q55" s="51">
        <f ca="1">SUM(Q54,Q32:Q46)</f>
        <v>0</v>
      </c>
      <c r="R55" s="52">
        <f ca="1">IFERROR(Q55/(Q$12*Q$63*Q$62),0)</f>
        <v>0</v>
      </c>
      <c r="S55" s="53">
        <f ca="1">IFERROR(Q55/Q$29,0)</f>
        <v>0</v>
      </c>
      <c r="T55" s="7"/>
      <c r="U55" s="51">
        <f ca="1">SUM(U54,U32:U46)</f>
        <v>2058259.77179945</v>
      </c>
      <c r="V55" s="52">
        <f ca="1">IFERROR(U55/(U$12*U$63*U$62),0)</f>
        <v>3247.8175695118771</v>
      </c>
      <c r="W55" s="53">
        <f ca="1">IFERROR(U55/U$29,0)</f>
        <v>0.77650629634160362</v>
      </c>
      <c r="X55" s="7"/>
      <c r="Y55" s="51">
        <f ca="1">SUM(Y54,Y32:Y46)</f>
        <v>2251934.3896586709</v>
      </c>
      <c r="Z55" s="52">
        <f ca="1">IFERROR(Y55/(Y$12*Y$63*Y$62),0)</f>
        <v>3235.5379161762512</v>
      </c>
      <c r="AA55" s="53">
        <f ca="1">IFERROR(Y55/Y$29,0)</f>
        <v>0.76838210635180493</v>
      </c>
      <c r="AB55" s="125"/>
      <c r="AD55" s="374"/>
      <c r="AE55" s="375"/>
      <c r="AF55" s="117"/>
      <c r="AG55" s="117"/>
    </row>
    <row r="56" spans="1:33" hidden="1" outlineLevel="1">
      <c r="A56" s="7"/>
      <c r="B56" s="7"/>
      <c r="C56" s="54"/>
      <c r="D56" s="7"/>
      <c r="E56" s="55"/>
      <c r="F56" s="34"/>
      <c r="G56" s="56"/>
      <c r="H56" s="7"/>
      <c r="I56" s="55"/>
      <c r="J56" s="34"/>
      <c r="K56" s="56"/>
      <c r="L56" s="7"/>
      <c r="M56" s="55"/>
      <c r="N56" s="34"/>
      <c r="O56" s="56"/>
      <c r="P56" s="7"/>
      <c r="Q56" s="55"/>
      <c r="R56" s="34"/>
      <c r="S56" s="56"/>
      <c r="T56" s="7"/>
      <c r="U56" s="55"/>
      <c r="V56" s="34"/>
      <c r="W56" s="56"/>
      <c r="X56" s="7"/>
      <c r="Y56" s="55"/>
      <c r="Z56" s="34"/>
      <c r="AA56" s="56"/>
      <c r="AB56" s="125"/>
      <c r="AC56" s="119"/>
      <c r="AD56" s="119"/>
      <c r="AE56" s="117"/>
      <c r="AF56" s="117"/>
      <c r="AG56" s="117"/>
    </row>
    <row r="57" spans="1:33" hidden="1" outlineLevel="1">
      <c r="A57" s="7"/>
      <c r="B57" s="7"/>
      <c r="C57" s="62" t="s">
        <v>26</v>
      </c>
      <c r="D57" s="7"/>
      <c r="E57" s="63">
        <f ca="1">E27-E52</f>
        <v>-374953.98</v>
      </c>
      <c r="F57" s="64">
        <f ca="1">IFERROR(E57/(E$12*E$63*E$62),0)</f>
        <v>-612.66990196078427</v>
      </c>
      <c r="G57" s="65">
        <f ca="1">IFERROR(E57/E$27,0)</f>
        <v>-0.14607741539305974</v>
      </c>
      <c r="H57" s="7"/>
      <c r="I57" s="63">
        <f ca="1">I27-I52</f>
        <v>-243310.54000000004</v>
      </c>
      <c r="J57" s="64">
        <f ca="1">IFERROR(I57/(I$12*I$63*I$62),0)</f>
        <v>-377.2256434108528</v>
      </c>
      <c r="K57" s="65">
        <f ca="1">IFERROR(I57/I$27,0)</f>
        <v>-9.1994615058327733E-2</v>
      </c>
      <c r="L57" s="7"/>
      <c r="M57" s="63" t="e">
        <f ca="1">M27-M52+#REF!</f>
        <v>#REF!</v>
      </c>
      <c r="N57" s="64">
        <f ca="1">IFERROR(M57/(M$12*M$63*M$62),0)</f>
        <v>0</v>
      </c>
      <c r="O57" s="65">
        <f ca="1">IFERROR(M57/M$27,0)</f>
        <v>0</v>
      </c>
      <c r="P57" s="7"/>
      <c r="Q57" s="63" t="e">
        <f ca="1">Q27-Q52+#REF!</f>
        <v>#REF!</v>
      </c>
      <c r="R57" s="64">
        <f ca="1">IFERROR(Q57/(Q$12*Q$63*Q$62),0)</f>
        <v>0</v>
      </c>
      <c r="S57" s="65">
        <f ca="1">IFERROR(Q57/Q$27,0)</f>
        <v>0</v>
      </c>
      <c r="T57" s="7"/>
      <c r="U57" s="63">
        <f ca="1">U27-U52</f>
        <v>-165977.1608791207</v>
      </c>
      <c r="V57" s="64">
        <f ca="1">IFERROR(U57/(U$12*U$63*U$62),0)</f>
        <v>-261.90257742327003</v>
      </c>
      <c r="W57" s="65">
        <f ca="1">IFERROR(U57/U$27,0)</f>
        <v>-6.2617125514173616E-2</v>
      </c>
      <c r="X57" s="7"/>
      <c r="Y57" s="63">
        <f ca="1">Y27-Y52</f>
        <v>381112.56358132977</v>
      </c>
      <c r="Z57" s="64">
        <f ca="1">IFERROR(Y57/(Y$12*Y$63*Y$62),0)</f>
        <v>547.57552238696803</v>
      </c>
      <c r="AA57" s="65">
        <f ca="1">IFERROR(Y57/Y$27,0)</f>
        <v>0.13003934559840552</v>
      </c>
      <c r="AB57" s="125"/>
      <c r="AC57" s="119"/>
      <c r="AD57" s="119"/>
      <c r="AE57" s="117"/>
      <c r="AF57" s="117"/>
      <c r="AG57" s="117"/>
    </row>
    <row r="58" spans="1:33" collapsed="1">
      <c r="A58" s="6"/>
      <c r="B58" s="7"/>
      <c r="C58" s="54"/>
      <c r="D58" s="7"/>
      <c r="E58" s="55"/>
      <c r="F58" s="34"/>
      <c r="G58" s="56"/>
      <c r="H58" s="7"/>
      <c r="I58" s="55"/>
      <c r="J58" s="34"/>
      <c r="K58" s="56"/>
      <c r="L58" s="7"/>
      <c r="M58" s="55"/>
      <c r="N58" s="34"/>
      <c r="O58" s="56"/>
      <c r="P58" s="7"/>
      <c r="Q58" s="55"/>
      <c r="R58" s="34"/>
      <c r="S58" s="56"/>
      <c r="T58" s="7"/>
      <c r="U58" s="55"/>
      <c r="V58" s="34"/>
      <c r="W58" s="56"/>
      <c r="X58" s="7"/>
      <c r="Y58" s="55"/>
      <c r="Z58" s="34"/>
      <c r="AA58" s="56"/>
      <c r="AB58" s="126"/>
      <c r="AC58" s="121"/>
      <c r="AD58" s="121"/>
      <c r="AE58" s="117"/>
      <c r="AF58" s="117"/>
      <c r="AG58" s="117"/>
    </row>
    <row r="59" spans="1:33">
      <c r="A59" s="71"/>
      <c r="B59" s="7"/>
      <c r="C59" s="50" t="s">
        <v>18</v>
      </c>
      <c r="D59" s="7"/>
      <c r="E59" s="51">
        <f ca="1">E29-E55</f>
        <v>399184.62449999992</v>
      </c>
      <c r="F59" s="52">
        <f ca="1">IFERROR(E59/(E$12*E$63*E$62),0)</f>
        <v>652.26245833333314</v>
      </c>
      <c r="G59" s="53">
        <f ca="1">IFERROR(E59/E$29,0)</f>
        <v>0.15551737365638593</v>
      </c>
      <c r="H59" s="7"/>
      <c r="I59" s="51">
        <f ca="1">I29-I55</f>
        <v>526546.78049999988</v>
      </c>
      <c r="J59" s="52">
        <f ca="1">IFERROR(I59/(I$12*I$63*I$62),0)</f>
        <v>816.35159767441837</v>
      </c>
      <c r="K59" s="53">
        <f ca="1">IFERROR(I59/I$29,0)</f>
        <v>0.19908495695377301</v>
      </c>
      <c r="L59" s="7"/>
      <c r="M59" s="51" t="e">
        <f ca="1">M29-M55+#REF!</f>
        <v>#REF!</v>
      </c>
      <c r="N59" s="52">
        <f ca="1">IFERROR(M59/(M$12*M$63*M$62),0)</f>
        <v>0</v>
      </c>
      <c r="O59" s="53">
        <f ca="1">IFERROR(M59/M$29,0)</f>
        <v>0</v>
      </c>
      <c r="P59" s="7"/>
      <c r="Q59" s="51" t="e">
        <f ca="1">Q29-Q55+#REF!</f>
        <v>#REF!</v>
      </c>
      <c r="R59" s="52">
        <f ca="1">IFERROR(Q59/(Q$12*Q$63*Q$62),0)</f>
        <v>0</v>
      </c>
      <c r="S59" s="53">
        <f ca="1">IFERROR(Q59/Q$29,0)</f>
        <v>0</v>
      </c>
      <c r="T59" s="7"/>
      <c r="U59" s="51">
        <f ca="1">U29-U55</f>
        <v>592407.43012362695</v>
      </c>
      <c r="V59" s="52">
        <f ca="1">IFERROR(U59/(U$12*U$63*U$62),0)</f>
        <v>934.78543681723693</v>
      </c>
      <c r="W59" s="53">
        <f ca="1">IFERROR(U59/U$29,0)</f>
        <v>0.22349370365839641</v>
      </c>
      <c r="X59" s="7"/>
      <c r="Y59" s="51">
        <f ca="1">Y29-Y55</f>
        <v>678813.69914132962</v>
      </c>
      <c r="Z59" s="52">
        <f ca="1">IFERROR(Y59/(Y$12*Y$63*Y$62),0)</f>
        <v>975.30703899616321</v>
      </c>
      <c r="AA59" s="53">
        <f ca="1">IFERROR(Y59/Y$29,0)</f>
        <v>0.23161789364819513</v>
      </c>
      <c r="AB59" s="125"/>
      <c r="AC59" s="119"/>
      <c r="AD59" s="119"/>
      <c r="AE59" s="117"/>
      <c r="AF59" s="117"/>
      <c r="AG59" s="117"/>
    </row>
    <row r="60" spans="1:33">
      <c r="A60" s="71"/>
      <c r="B60" s="7"/>
      <c r="C60" s="71"/>
      <c r="D60" s="7"/>
      <c r="E60" s="71"/>
      <c r="F60" s="72"/>
      <c r="G60" s="71"/>
      <c r="H60" s="7"/>
      <c r="I60" s="71"/>
      <c r="J60" s="72"/>
      <c r="K60" s="71"/>
      <c r="L60" s="7"/>
      <c r="M60" s="71"/>
      <c r="N60" s="72"/>
      <c r="O60" s="71"/>
      <c r="P60" s="7"/>
      <c r="Q60" s="71"/>
      <c r="R60" s="72"/>
      <c r="S60" s="71"/>
      <c r="T60" s="7"/>
      <c r="U60" s="71"/>
      <c r="V60" s="72"/>
      <c r="W60" s="71"/>
      <c r="X60" s="7"/>
      <c r="Y60" s="71"/>
      <c r="Z60" s="72"/>
      <c r="AA60" s="71"/>
      <c r="AB60" s="125"/>
      <c r="AC60" s="119"/>
      <c r="AD60" s="119"/>
      <c r="AE60" s="117"/>
      <c r="AF60" s="117"/>
      <c r="AG60" s="117"/>
    </row>
    <row r="61" spans="1:33">
      <c r="A61" s="71"/>
      <c r="B61" s="7"/>
      <c r="C61" s="73" t="s">
        <v>19</v>
      </c>
      <c r="D61" s="7"/>
      <c r="E61" s="73">
        <f>F$1-E$1+1</f>
        <v>365</v>
      </c>
      <c r="F61" s="71"/>
      <c r="G61" s="71"/>
      <c r="H61" s="7"/>
      <c r="I61" s="73">
        <f>J$1-I$1+1</f>
        <v>365</v>
      </c>
      <c r="J61" s="71"/>
      <c r="K61" s="71"/>
      <c r="L61" s="7"/>
      <c r="M61" s="73">
        <f>N$1-M$1+1</f>
        <v>181</v>
      </c>
      <c r="N61" s="71"/>
      <c r="O61" s="71"/>
      <c r="P61" s="7"/>
      <c r="Q61" s="73">
        <f>R$1-Q$1+1</f>
        <v>91</v>
      </c>
      <c r="R61" s="71"/>
      <c r="S61" s="71"/>
      <c r="T61" s="7"/>
      <c r="U61" s="73">
        <f>V$1-U$1+1</f>
        <v>182</v>
      </c>
      <c r="V61" s="71"/>
      <c r="W61" s="71"/>
      <c r="X61" s="7"/>
      <c r="Y61" s="73">
        <f>Z$1-Y$1+1</f>
        <v>365</v>
      </c>
      <c r="Z61" s="71"/>
      <c r="AA61" s="71"/>
      <c r="AB61" s="125"/>
      <c r="AC61" s="119"/>
      <c r="AD61" s="119"/>
      <c r="AE61" s="117"/>
      <c r="AF61" s="117"/>
      <c r="AG61" s="117"/>
    </row>
    <row r="62" spans="1:33">
      <c r="A62" s="71"/>
      <c r="B62" s="7"/>
      <c r="C62" s="73" t="s">
        <v>20</v>
      </c>
      <c r="D62" s="7"/>
      <c r="E62" s="74">
        <f>365/E61</f>
        <v>1</v>
      </c>
      <c r="F62" s="71"/>
      <c r="G62" s="71"/>
      <c r="H62" s="7"/>
      <c r="I62" s="74">
        <f>365/I61</f>
        <v>1</v>
      </c>
      <c r="J62" s="71"/>
      <c r="K62" s="71"/>
      <c r="L62" s="7"/>
      <c r="M62" s="74">
        <f>365/M61</f>
        <v>2.0165745856353592</v>
      </c>
      <c r="N62" s="71"/>
      <c r="O62" s="71"/>
      <c r="P62" s="7"/>
      <c r="Q62" s="74">
        <f>365/Q61</f>
        <v>4.0109890109890109</v>
      </c>
      <c r="R62" s="71"/>
      <c r="S62" s="71"/>
      <c r="T62" s="7"/>
      <c r="U62" s="74">
        <f>365/U61</f>
        <v>2.0054945054945055</v>
      </c>
      <c r="V62" s="71"/>
      <c r="W62" s="71"/>
      <c r="X62" s="7"/>
      <c r="Y62" s="74">
        <f>365/365</f>
        <v>1</v>
      </c>
      <c r="Z62" s="71"/>
      <c r="AA62" s="71"/>
      <c r="AB62" s="125"/>
      <c r="AC62" s="119"/>
      <c r="AD62" s="119"/>
      <c r="AE62" s="117"/>
      <c r="AF62" s="117"/>
      <c r="AG62" s="117"/>
    </row>
    <row r="63" spans="1:33">
      <c r="A63" s="71"/>
      <c r="B63" s="7"/>
      <c r="C63" s="73" t="s">
        <v>21</v>
      </c>
      <c r="D63" s="7"/>
      <c r="E63" s="73">
        <f>ROUND((F$1-E$1+15)/30.5,0)</f>
        <v>12</v>
      </c>
      <c r="F63" s="71"/>
      <c r="G63" s="71"/>
      <c r="H63" s="7"/>
      <c r="I63" s="73">
        <f>ROUND((J$1-I$1+15)/30.5,0)</f>
        <v>12</v>
      </c>
      <c r="J63" s="71"/>
      <c r="K63" s="71"/>
      <c r="L63" s="7"/>
      <c r="M63" s="73">
        <f>ROUND((N$1-M$1+15)/30.5,0)</f>
        <v>6</v>
      </c>
      <c r="N63" s="71"/>
      <c r="O63" s="71"/>
      <c r="P63" s="7"/>
      <c r="Q63" s="73">
        <f>ROUND((R$1-Q$1+15)/30.5,0)</f>
        <v>3</v>
      </c>
      <c r="R63" s="71"/>
      <c r="S63" s="71"/>
      <c r="T63" s="7"/>
      <c r="U63" s="73">
        <f>ROUND((V$1-U$1+15)/30.5,0)</f>
        <v>6</v>
      </c>
      <c r="V63" s="71"/>
      <c r="W63" s="228"/>
      <c r="X63" s="7"/>
      <c r="Y63" s="73">
        <f>ROUND((Z$1-Y$1+15)/30.5,0)</f>
        <v>12</v>
      </c>
      <c r="Z63" s="71"/>
      <c r="AA63" s="228"/>
      <c r="AB63" s="125"/>
      <c r="AC63" s="119"/>
      <c r="AD63" s="119"/>
      <c r="AE63" s="117"/>
      <c r="AF63" s="117"/>
      <c r="AG63" s="117"/>
    </row>
    <row r="64" spans="1:33">
      <c r="A64" s="71"/>
      <c r="B64" s="7"/>
      <c r="C64" s="7"/>
      <c r="D64" s="7"/>
      <c r="E64" s="7"/>
      <c r="F64" s="71"/>
      <c r="G64" s="71"/>
      <c r="H64" s="7"/>
      <c r="I64" s="7"/>
      <c r="J64" s="71"/>
      <c r="K64" s="71"/>
      <c r="L64" s="7"/>
      <c r="M64" s="7"/>
      <c r="N64" s="71"/>
      <c r="O64" s="71"/>
      <c r="P64" s="7"/>
      <c r="Q64" s="7"/>
      <c r="R64" s="71"/>
      <c r="S64" s="71"/>
      <c r="T64" s="7"/>
      <c r="U64" s="7"/>
      <c r="V64" s="71"/>
      <c r="W64" s="71"/>
      <c r="X64" s="7"/>
      <c r="Y64" s="7"/>
      <c r="Z64" s="71"/>
      <c r="AA64" s="71"/>
      <c r="AB64" s="125"/>
      <c r="AC64" s="119"/>
      <c r="AD64" s="119"/>
      <c r="AE64" s="117"/>
      <c r="AF64" s="117"/>
      <c r="AG64" s="117"/>
    </row>
    <row r="65" spans="1:33">
      <c r="B65" s="178"/>
      <c r="C65" s="7"/>
      <c r="D65" s="7"/>
      <c r="F65" s="71"/>
      <c r="G65" s="7" t="s">
        <v>90</v>
      </c>
      <c r="H65" s="7"/>
      <c r="I65" s="7"/>
      <c r="J65" s="71"/>
      <c r="K65" s="71"/>
      <c r="L65" s="7"/>
      <c r="M65" s="7"/>
      <c r="N65" s="71"/>
      <c r="O65" s="71"/>
      <c r="P65" s="7"/>
      <c r="Q65" s="7"/>
      <c r="R65" s="71"/>
      <c r="S65" s="71"/>
      <c r="T65" s="7"/>
      <c r="U65" s="7"/>
      <c r="V65" s="71"/>
      <c r="W65" s="71"/>
      <c r="X65" s="7"/>
      <c r="Y65" s="7"/>
      <c r="Z65" s="71"/>
      <c r="AA65" s="71"/>
      <c r="AB65" s="125"/>
      <c r="AC65" s="119"/>
      <c r="AD65" s="119"/>
      <c r="AE65" s="117"/>
      <c r="AF65" s="117"/>
      <c r="AG65" s="117"/>
    </row>
    <row r="66" spans="1:33">
      <c r="A66" s="144">
        <v>222</v>
      </c>
      <c r="B66" s="177"/>
      <c r="C66" s="145" t="s">
        <v>87</v>
      </c>
      <c r="D66" s="146"/>
      <c r="E66" s="147">
        <f t="array" aca="1" ref="E66" ca="1">SUM(IF(LEFT($A66,3)=LEFT(INDIRECT($AE$8),3),INDIRECT($AF$8),""))*E$62</f>
        <v>2566816.91</v>
      </c>
      <c r="F66" s="148"/>
      <c r="G66" s="145" t="s">
        <v>87</v>
      </c>
      <c r="H66" s="149"/>
      <c r="I66" s="150">
        <f t="array" aca="1" ref="I66" ca="1">SUM(IF(LEFT($A66,3)=LEFT(INDIRECT($AE$8),3),INDIRECT($AG$8),""))*I$62</f>
        <v>2644834.59</v>
      </c>
      <c r="J66" s="148"/>
      <c r="K66" s="148"/>
      <c r="L66" s="149"/>
      <c r="M66" s="149"/>
      <c r="N66" s="148"/>
      <c r="O66" s="148"/>
      <c r="P66" s="149"/>
      <c r="Q66" s="149"/>
      <c r="R66" s="148"/>
      <c r="S66" s="148"/>
      <c r="T66" s="149"/>
      <c r="U66" s="151">
        <f t="array" aca="1" ref="U66" ca="1">SUM(IF(LEFT($A66,3)=LEFT(INDIRECT($AE$8),3),INDIRECT($AH$8),""))*U$62</f>
        <v>2650665.1964285714</v>
      </c>
      <c r="V66" s="71"/>
      <c r="W66" s="71"/>
      <c r="X66" s="180"/>
      <c r="Y66" s="419"/>
      <c r="Z66" s="420"/>
      <c r="AA66" s="420"/>
      <c r="AB66" s="125"/>
      <c r="AC66" s="119"/>
      <c r="AD66" s="119"/>
      <c r="AE66" s="117"/>
      <c r="AF66" s="117"/>
      <c r="AG66" s="117"/>
    </row>
    <row r="67" spans="1:33">
      <c r="A67" s="152">
        <v>333</v>
      </c>
      <c r="B67" s="178"/>
      <c r="C67" s="153" t="s">
        <v>82</v>
      </c>
      <c r="D67" s="154"/>
      <c r="E67" s="155">
        <f t="array" aca="1" ref="E67" ca="1">SUM(IF(LEFT($A67,3)=LEFT(INDIRECT($AE$8),3),INDIRECT($AF$8),""))*E$62</f>
        <v>2879718.9</v>
      </c>
      <c r="F67" s="156"/>
      <c r="G67" s="153" t="s">
        <v>82</v>
      </c>
      <c r="H67" s="34"/>
      <c r="I67" s="157">
        <f t="array" aca="1" ref="I67" ca="1">SUM(IF(LEFT($A67,3)=LEFT(INDIRECT($AE$8),3),INDIRECT($AG$8),""))*I$62</f>
        <v>2828241.13</v>
      </c>
      <c r="J67" s="158"/>
      <c r="K67" s="158"/>
      <c r="L67" s="34"/>
      <c r="M67" s="34"/>
      <c r="N67" s="158"/>
      <c r="O67" s="158"/>
      <c r="P67" s="34"/>
      <c r="Q67" s="34"/>
      <c r="R67" s="158"/>
      <c r="S67" s="158"/>
      <c r="T67" s="34"/>
      <c r="U67" s="159">
        <f t="array" aca="1" ref="U67" ca="1">SUM(IF(LEFT($A67,3)=LEFT(INDIRECT($AE$8),3),INDIRECT($AH$8),""))*U$62</f>
        <v>2704089.64478022</v>
      </c>
      <c r="V67" s="71"/>
      <c r="W67" s="71"/>
      <c r="X67" s="180"/>
      <c r="Y67" s="419"/>
      <c r="Z67" s="420"/>
      <c r="AA67" s="420"/>
      <c r="AB67" s="125"/>
      <c r="AC67" s="119"/>
      <c r="AD67" s="119"/>
      <c r="AE67" s="117"/>
      <c r="AF67" s="117"/>
      <c r="AG67" s="117"/>
    </row>
    <row r="68" spans="1:33">
      <c r="A68" s="160">
        <v>444</v>
      </c>
      <c r="B68" s="180"/>
      <c r="C68" s="161" t="s">
        <v>88</v>
      </c>
      <c r="D68" s="162"/>
      <c r="E68" s="163">
        <f t="array" aca="1" ref="E68" ca="1">SUM(IF(LEFT($A68,3)=LEFT(INDIRECT($AE$8),3),INDIRECT($AF$8),""))*E$62</f>
        <v>-315953.99</v>
      </c>
      <c r="F68" s="164"/>
      <c r="G68" s="161" t="s">
        <v>88</v>
      </c>
      <c r="H68" s="165"/>
      <c r="I68" s="166">
        <f t="array" aca="1" ref="I68" ca="1">SUM(IF(LEFT($A68,3)=LEFT(INDIRECT($AE$8),3),INDIRECT($AG$8),""))*I$62</f>
        <v>-184310.5</v>
      </c>
      <c r="J68" s="164"/>
      <c r="K68" s="164"/>
      <c r="L68" s="165"/>
      <c r="M68" s="165"/>
      <c r="N68" s="164"/>
      <c r="O68" s="164"/>
      <c r="P68" s="165"/>
      <c r="Q68" s="165"/>
      <c r="R68" s="164"/>
      <c r="S68" s="164"/>
      <c r="T68" s="165"/>
      <c r="U68" s="167">
        <f t="array" aca="1" ref="U68" ca="1">SUM(IF(LEFT($A68,3)=LEFT(INDIRECT($AE$8),3),INDIRECT($AH$8),""))*U$62</f>
        <v>-54330.891758241756</v>
      </c>
      <c r="V68" s="71"/>
      <c r="W68" s="71"/>
      <c r="X68" s="180"/>
      <c r="Y68" s="419"/>
      <c r="Z68" s="420"/>
      <c r="AA68" s="420"/>
      <c r="AB68" s="125"/>
      <c r="AC68" s="119"/>
      <c r="AD68" s="119"/>
      <c r="AE68" s="117"/>
      <c r="AF68" s="117"/>
      <c r="AG68" s="117"/>
    </row>
    <row r="69" spans="1:33">
      <c r="A69" s="168"/>
      <c r="B69" s="179"/>
      <c r="C69" s="170" t="s">
        <v>89</v>
      </c>
      <c r="D69" s="169"/>
      <c r="E69" s="171">
        <f ca="1">E68-E57</f>
        <v>58999.989999999991</v>
      </c>
      <c r="F69" s="172"/>
      <c r="G69" s="170" t="s">
        <v>89</v>
      </c>
      <c r="H69" s="169"/>
      <c r="I69" s="171">
        <f ca="1">I68-I57-I43</f>
        <v>4.0000000037252903E-2</v>
      </c>
      <c r="J69" s="172"/>
      <c r="K69" s="172"/>
      <c r="L69" s="169"/>
      <c r="M69" s="169"/>
      <c r="N69" s="172"/>
      <c r="O69" s="172"/>
      <c r="P69" s="169"/>
      <c r="Q69" s="169"/>
      <c r="R69" s="172"/>
      <c r="S69" s="172"/>
      <c r="T69" s="169"/>
      <c r="U69" s="173">
        <f ca="1">U68-U57-SUM(U41,U42,U43)</f>
        <v>3.3291208789451048</v>
      </c>
      <c r="V69" s="71" t="s">
        <v>579</v>
      </c>
      <c r="W69" s="71"/>
      <c r="X69" s="180"/>
      <c r="Y69" s="419"/>
      <c r="Z69" s="420"/>
      <c r="AA69" s="420"/>
      <c r="AB69" s="125"/>
      <c r="AC69" s="119"/>
      <c r="AD69" s="119"/>
      <c r="AE69" s="117"/>
      <c r="AF69" s="117"/>
      <c r="AG69" s="117"/>
    </row>
    <row r="70" spans="1:33">
      <c r="A70" s="71"/>
      <c r="B70" s="7"/>
      <c r="C70" s="7"/>
      <c r="D70" s="7"/>
      <c r="E70" s="7"/>
      <c r="F70" s="71"/>
      <c r="G70" s="71"/>
      <c r="H70" s="7"/>
      <c r="I70" s="7"/>
      <c r="J70" s="71"/>
      <c r="K70" s="71"/>
      <c r="L70" s="7"/>
      <c r="M70" s="7"/>
      <c r="N70" s="71"/>
      <c r="O70" s="71"/>
      <c r="P70" s="7"/>
      <c r="Q70" s="7"/>
      <c r="R70" s="71"/>
      <c r="S70" s="71"/>
      <c r="T70" s="7"/>
      <c r="U70" s="7"/>
      <c r="V70" s="71"/>
      <c r="W70" s="71"/>
      <c r="X70" s="180"/>
      <c r="Y70" s="180"/>
      <c r="Z70" s="420"/>
      <c r="AA70" s="420"/>
      <c r="AB70" s="125"/>
      <c r="AC70" s="119"/>
      <c r="AD70" s="119"/>
      <c r="AE70" s="117"/>
      <c r="AF70" s="117"/>
      <c r="AG70" s="117"/>
    </row>
    <row r="71" spans="1:33">
      <c r="A71" s="71"/>
      <c r="B71" s="7"/>
      <c r="C71" s="7"/>
      <c r="D71" s="7"/>
      <c r="E71" s="7"/>
      <c r="F71" s="71"/>
      <c r="G71" s="71"/>
      <c r="H71" s="7"/>
      <c r="I71" s="7"/>
      <c r="J71" s="71"/>
      <c r="K71" s="71"/>
      <c r="L71" s="7"/>
      <c r="M71" s="7"/>
      <c r="N71" s="71"/>
      <c r="O71" s="71"/>
      <c r="P71" s="7"/>
      <c r="Q71" s="7"/>
      <c r="R71" s="71"/>
      <c r="S71" s="71"/>
      <c r="T71" s="7"/>
      <c r="U71" s="7"/>
      <c r="V71" s="71"/>
      <c r="W71" s="71"/>
      <c r="X71" s="7"/>
      <c r="Y71" s="7"/>
      <c r="Z71" s="71"/>
      <c r="AA71" s="71"/>
      <c r="AB71" s="125"/>
      <c r="AC71" s="119"/>
      <c r="AD71" s="119"/>
      <c r="AE71" s="117"/>
      <c r="AF71" s="117"/>
      <c r="AG71" s="117"/>
    </row>
    <row r="72" spans="1:33">
      <c r="A72" s="71"/>
      <c r="B72" s="7"/>
      <c r="C72" s="7"/>
      <c r="D72" s="7"/>
      <c r="E72" s="7"/>
      <c r="F72" s="71"/>
      <c r="G72" s="71"/>
      <c r="H72" s="7"/>
      <c r="I72" s="7"/>
      <c r="J72" s="71"/>
      <c r="K72" s="71"/>
      <c r="L72" s="7"/>
      <c r="M72" s="7"/>
      <c r="N72" s="71"/>
      <c r="O72" s="71"/>
      <c r="P72" s="7"/>
      <c r="Q72" s="7"/>
      <c r="R72" s="71"/>
      <c r="S72" s="71"/>
      <c r="T72" s="7"/>
      <c r="U72" s="7"/>
      <c r="V72" s="71"/>
      <c r="W72" s="71"/>
      <c r="X72" s="7"/>
      <c r="Y72" s="7"/>
      <c r="Z72" s="71"/>
      <c r="AA72" s="71"/>
      <c r="AB72" s="125"/>
      <c r="AC72" s="119"/>
      <c r="AD72" s="119"/>
      <c r="AE72" s="117"/>
      <c r="AF72" s="117"/>
      <c r="AG72" s="117"/>
    </row>
    <row r="73" spans="1:33">
      <c r="C73" s="7"/>
      <c r="D73" s="7"/>
      <c r="E73" s="7"/>
      <c r="F73" s="71"/>
      <c r="G73" s="71"/>
      <c r="H73" s="7"/>
      <c r="I73" s="7"/>
      <c r="J73" s="71"/>
      <c r="K73" s="71"/>
      <c r="L73" s="7"/>
      <c r="M73" s="7"/>
      <c r="N73" s="71"/>
      <c r="O73" s="71"/>
      <c r="P73" s="7"/>
      <c r="Q73" s="7"/>
      <c r="R73" s="71"/>
      <c r="S73" s="71"/>
      <c r="T73" s="7"/>
      <c r="U73" s="7"/>
      <c r="V73" s="71"/>
      <c r="W73" s="71"/>
      <c r="X73" s="7"/>
      <c r="Y73" s="125" t="s">
        <v>577</v>
      </c>
      <c r="Z73" s="71"/>
      <c r="AA73" s="71"/>
      <c r="AE73" s="116"/>
      <c r="AF73" s="116"/>
      <c r="AG73" s="116"/>
    </row>
    <row r="74" spans="1:33">
      <c r="Y74" s="125" t="s">
        <v>575</v>
      </c>
    </row>
    <row r="75" spans="1:33">
      <c r="Y75" s="125" t="s">
        <v>576</v>
      </c>
    </row>
    <row r="77" spans="1:33">
      <c r="C77" s="131" t="s">
        <v>64</v>
      </c>
    </row>
    <row r="78" spans="1:33">
      <c r="C78" s="1" t="s">
        <v>65</v>
      </c>
    </row>
    <row r="79" spans="1:33">
      <c r="C79" s="1" t="s">
        <v>66</v>
      </c>
    </row>
    <row r="80" spans="1:33">
      <c r="C80" s="1" t="s">
        <v>67</v>
      </c>
    </row>
    <row r="81" spans="3:3">
      <c r="C81" s="1" t="s">
        <v>68</v>
      </c>
    </row>
    <row r="82" spans="3:3">
      <c r="C82" s="1" t="s">
        <v>69</v>
      </c>
    </row>
    <row r="84" spans="3:3">
      <c r="C84" s="1" t="s">
        <v>70</v>
      </c>
    </row>
  </sheetData>
  <mergeCells count="2">
    <mergeCell ref="Y2:AA3"/>
    <mergeCell ref="AC10:AE10"/>
  </mergeCells>
  <pageMargins left="0.7" right="0.7" top="0.75" bottom="0.75" header="0.3" footer="0.3"/>
  <pageSetup orientation="portrait" verticalDpi="0" r:id="rId1"/>
  <ignoredErrors>
    <ignoredError sqref="E12:F12 F13:F15 F19:H19 F16:W18 E20:H20 E48:W51 E24:W28 E54:H55 I53:K55 F52:W52 E66:I68 U66:U69 F57:G58 J57:K58 G5:I5 K5:U5 W5 F7:W7 E60:W62 L53:W55 AE8:AH8 I20:W20 U22:W22 I22:K22 E22:G22 E23:W23 H22 L22:T22 L21:T21 E21:K21 U21:W21 E44:W46 E41:T41 V41:W41 E42:T42 V42:W42 U41:U42 E63:V63 W11 W10 L43:T43 E30:W40 V29:W29 J29:T29 F29:H29 E29 I29 U29 E69:H69 AA18 AA17 Z19:AA19 Y12:AA16 Y21:AA21 Y61:Y63 V43:W43 Z43:AA43 Z39:AA39 Z40:AA40 Z41:AA41 Y39:Y42 Z38:AA38 Z7 Z20:AA20 Y24:AA31 Z22:AA22 Z23:AA23 Y19 Y17:Y18 Y20 Y22:Y23 Y32:Z32 AA32 AA35 AA33 Z36:AA36 Y33 Y35:Y36 Z42:AA42 Y44:AA44 Z37:AA37 Z10:AA11 Y45:AA58 Z17:Z18 Y10:Y11 Y59:AA59 H59:I59 L59:T59 V59:W59 J59:K59 F59 E59 G59 U59" unlockedFormula="1"/>
    <ignoredError sqref="E13:E18 G13:K15 G12:K12 L13:W15 L12:W12" evalError="1" unlockedFormula="1"/>
    <ignoredError sqref="E19" evalError="1" formula="1" unlockedFormula="1"/>
    <ignoredError sqref="I19:K19 L19:W19 J43:K43 F43:H43 Z33:Z34 Y43 Y37:Y38 AA34 Y34 Z35" formula="1" unlockedFormula="1"/>
    <ignoredError sqref="E10:E11 U10:V10 I10:I11 J11:V11 J10:T10 F10:H10 F11:H11" formulaRange="1"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2:M7"/>
  <sheetViews>
    <sheetView zoomScale="70" zoomScaleNormal="70" workbookViewId="0">
      <selection activeCell="F17" sqref="F17"/>
    </sheetView>
  </sheetViews>
  <sheetFormatPr defaultRowHeight="14.4"/>
  <cols>
    <col min="1" max="1" width="8.88671875" style="334"/>
    <col min="2" max="2" width="39" style="334" customWidth="1"/>
    <col min="3" max="3" width="17.88671875" style="334" customWidth="1"/>
    <col min="4" max="4" width="15.44140625" style="334" customWidth="1"/>
    <col min="5" max="5" width="13.6640625" style="334" customWidth="1"/>
    <col min="6" max="6" width="14.5546875" style="334" customWidth="1"/>
    <col min="7" max="7" width="13.44140625" style="334" customWidth="1"/>
    <col min="8" max="8" width="13.88671875" style="334" customWidth="1"/>
    <col min="9" max="9" width="16" style="334" customWidth="1"/>
    <col min="10" max="10" width="18.109375" style="334" customWidth="1"/>
    <col min="11" max="11" width="19.88671875" style="334" customWidth="1"/>
    <col min="12" max="12" width="53.44140625" style="334" customWidth="1"/>
    <col min="13" max="13" width="92.5546875" style="334" customWidth="1"/>
    <col min="14" max="16384" width="8.88671875" style="334"/>
  </cols>
  <sheetData>
    <row r="2" spans="1:13">
      <c r="B2" s="437" t="s">
        <v>603</v>
      </c>
      <c r="C2" s="437"/>
      <c r="D2" s="437"/>
      <c r="E2" s="437" t="s">
        <v>604</v>
      </c>
      <c r="F2" s="437"/>
      <c r="G2" s="437"/>
      <c r="H2" s="437"/>
      <c r="I2" s="438" t="s">
        <v>605</v>
      </c>
      <c r="J2" s="439"/>
      <c r="K2" s="439"/>
      <c r="L2" s="335"/>
      <c r="M2" s="335"/>
    </row>
    <row r="3" spans="1:13" ht="26.4">
      <c r="A3" s="336"/>
      <c r="B3" s="337" t="s">
        <v>606</v>
      </c>
      <c r="C3" s="338" t="s">
        <v>607</v>
      </c>
      <c r="D3" s="339" t="s">
        <v>608</v>
      </c>
      <c r="E3" s="340" t="s">
        <v>609</v>
      </c>
      <c r="F3" s="340" t="s">
        <v>610</v>
      </c>
      <c r="G3" s="340" t="s">
        <v>611</v>
      </c>
      <c r="H3" s="340" t="s">
        <v>612</v>
      </c>
      <c r="I3" s="340" t="s">
        <v>613</v>
      </c>
      <c r="J3" s="340" t="s">
        <v>614</v>
      </c>
      <c r="K3" s="340" t="s">
        <v>615</v>
      </c>
      <c r="L3" s="339" t="s">
        <v>616</v>
      </c>
      <c r="M3" s="339" t="s">
        <v>617</v>
      </c>
    </row>
    <row r="4" spans="1:13" ht="115.05" customHeight="1">
      <c r="A4" s="341">
        <v>1</v>
      </c>
      <c r="B4" s="387" t="s">
        <v>618</v>
      </c>
      <c r="C4" s="388" t="s">
        <v>619</v>
      </c>
      <c r="D4" s="388" t="s">
        <v>620</v>
      </c>
      <c r="E4" s="389" t="s">
        <v>547</v>
      </c>
      <c r="F4" s="390">
        <v>112</v>
      </c>
      <c r="G4" s="391">
        <v>1989</v>
      </c>
      <c r="H4" s="390">
        <v>46786</v>
      </c>
      <c r="I4" s="392">
        <v>42321</v>
      </c>
      <c r="J4" s="393">
        <v>10000000</v>
      </c>
      <c r="K4" s="394">
        <f>J4/F4</f>
        <v>89285.71428571429</v>
      </c>
      <c r="L4" s="395" t="s">
        <v>621</v>
      </c>
      <c r="M4" s="364" t="s">
        <v>622</v>
      </c>
    </row>
    <row r="5" spans="1:13" ht="115.05" customHeight="1">
      <c r="A5" s="341">
        <f>A4+1</f>
        <v>2</v>
      </c>
      <c r="B5" s="396" t="s">
        <v>633</v>
      </c>
      <c r="C5" s="397" t="s">
        <v>634</v>
      </c>
      <c r="D5" s="397" t="s">
        <v>620</v>
      </c>
      <c r="E5" s="398" t="s">
        <v>625</v>
      </c>
      <c r="F5" s="399">
        <v>61</v>
      </c>
      <c r="G5" s="400">
        <v>1997</v>
      </c>
      <c r="H5" s="399">
        <v>39579</v>
      </c>
      <c r="I5" s="401">
        <v>41926</v>
      </c>
      <c r="J5" s="402">
        <v>5600000</v>
      </c>
      <c r="K5" s="403">
        <f t="shared" ref="K5:K6" si="0">J5/F5</f>
        <v>91803.278688524588</v>
      </c>
      <c r="L5" s="404" t="s">
        <v>635</v>
      </c>
      <c r="M5" s="365" t="s">
        <v>636</v>
      </c>
    </row>
    <row r="6" spans="1:13" ht="115.05" customHeight="1">
      <c r="A6" s="341">
        <f>A5+1</f>
        <v>3</v>
      </c>
      <c r="B6" s="387" t="s">
        <v>644</v>
      </c>
      <c r="C6" s="388" t="s">
        <v>645</v>
      </c>
      <c r="D6" s="388" t="s">
        <v>620</v>
      </c>
      <c r="E6" s="389" t="s">
        <v>547</v>
      </c>
      <c r="F6" s="390">
        <v>64</v>
      </c>
      <c r="G6" s="391">
        <v>2002</v>
      </c>
      <c r="H6" s="390">
        <v>11470</v>
      </c>
      <c r="I6" s="392">
        <v>41522</v>
      </c>
      <c r="J6" s="393">
        <v>8100000</v>
      </c>
      <c r="K6" s="394">
        <f t="shared" si="0"/>
        <v>126562.5</v>
      </c>
      <c r="L6" s="395" t="s">
        <v>621</v>
      </c>
      <c r="M6" s="364" t="s">
        <v>646</v>
      </c>
    </row>
    <row r="7" spans="1:13" ht="17.399999999999999">
      <c r="B7" s="337"/>
      <c r="C7" s="360"/>
      <c r="D7" s="360"/>
      <c r="E7" s="340"/>
      <c r="F7" s="361"/>
      <c r="G7" s="361"/>
      <c r="H7" s="361"/>
      <c r="I7" s="340"/>
      <c r="J7" s="405" t="s">
        <v>650</v>
      </c>
      <c r="K7" s="406">
        <f>AVERAGE(K4:K6)</f>
        <v>102550.49765807962</v>
      </c>
      <c r="L7" s="339"/>
      <c r="M7" s="339"/>
    </row>
  </sheetData>
  <mergeCells count="3">
    <mergeCell ref="B2:D2"/>
    <mergeCell ref="E2:H2"/>
    <mergeCell ref="I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M13"/>
  <sheetViews>
    <sheetView topLeftCell="A2" zoomScale="70" zoomScaleNormal="70" workbookViewId="0">
      <selection activeCell="K6" sqref="K6"/>
    </sheetView>
  </sheetViews>
  <sheetFormatPr defaultRowHeight="14.4"/>
  <cols>
    <col min="1" max="1" width="8.88671875" style="334"/>
    <col min="2" max="2" width="39" style="334" customWidth="1"/>
    <col min="3" max="3" width="13.109375" style="334" bestFit="1" customWidth="1"/>
    <col min="4" max="8" width="8.88671875" style="334"/>
    <col min="9" max="9" width="11.44140625" style="334" bestFit="1" customWidth="1"/>
    <col min="10" max="10" width="16.5546875" style="334" bestFit="1" customWidth="1"/>
    <col min="11" max="11" width="12.77734375" style="334" bestFit="1" customWidth="1"/>
    <col min="12" max="12" width="53.44140625" style="334" customWidth="1"/>
    <col min="13" max="13" width="92.5546875" style="334" customWidth="1"/>
    <col min="14" max="16384" width="8.88671875" style="334"/>
  </cols>
  <sheetData>
    <row r="2" spans="1:13">
      <c r="B2" s="437" t="s">
        <v>603</v>
      </c>
      <c r="C2" s="437"/>
      <c r="D2" s="437"/>
      <c r="E2" s="437" t="s">
        <v>604</v>
      </c>
      <c r="F2" s="437"/>
      <c r="G2" s="437"/>
      <c r="H2" s="437"/>
      <c r="I2" s="438" t="s">
        <v>605</v>
      </c>
      <c r="J2" s="439"/>
      <c r="K2" s="439"/>
      <c r="L2" s="335"/>
      <c r="M2" s="335"/>
    </row>
    <row r="3" spans="1:13" ht="26.4">
      <c r="A3" s="336"/>
      <c r="B3" s="337" t="s">
        <v>606</v>
      </c>
      <c r="C3" s="338" t="s">
        <v>607</v>
      </c>
      <c r="D3" s="339" t="s">
        <v>608</v>
      </c>
      <c r="E3" s="340" t="s">
        <v>609</v>
      </c>
      <c r="F3" s="340" t="s">
        <v>610</v>
      </c>
      <c r="G3" s="340" t="s">
        <v>611</v>
      </c>
      <c r="H3" s="340" t="s">
        <v>612</v>
      </c>
      <c r="I3" s="340" t="s">
        <v>613</v>
      </c>
      <c r="J3" s="340" t="s">
        <v>614</v>
      </c>
      <c r="K3" s="340" t="s">
        <v>615</v>
      </c>
      <c r="L3" s="339" t="s">
        <v>616</v>
      </c>
      <c r="M3" s="339" t="s">
        <v>617</v>
      </c>
    </row>
    <row r="4" spans="1:13" ht="85.05" customHeight="1">
      <c r="A4" s="341">
        <v>1</v>
      </c>
      <c r="B4" s="342" t="s">
        <v>618</v>
      </c>
      <c r="C4" s="343" t="s">
        <v>619</v>
      </c>
      <c r="D4" s="343" t="s">
        <v>620</v>
      </c>
      <c r="E4" s="344" t="s">
        <v>547</v>
      </c>
      <c r="F4" s="345">
        <v>112</v>
      </c>
      <c r="G4" s="346">
        <v>1989</v>
      </c>
      <c r="H4" s="345">
        <v>46786</v>
      </c>
      <c r="I4" s="347">
        <v>42321</v>
      </c>
      <c r="J4" s="348">
        <v>10000000</v>
      </c>
      <c r="K4" s="349">
        <f>J4/F4</f>
        <v>89285.71428571429</v>
      </c>
      <c r="L4" s="350" t="s">
        <v>621</v>
      </c>
      <c r="M4" s="350" t="s">
        <v>622</v>
      </c>
    </row>
    <row r="5" spans="1:13" ht="85.05" customHeight="1">
      <c r="A5" s="341">
        <f>A4+1</f>
        <v>2</v>
      </c>
      <c r="B5" s="351" t="s">
        <v>623</v>
      </c>
      <c r="C5" s="352" t="s">
        <v>624</v>
      </c>
      <c r="D5" s="352" t="s">
        <v>620</v>
      </c>
      <c r="E5" s="353" t="s">
        <v>625</v>
      </c>
      <c r="F5" s="354">
        <v>89</v>
      </c>
      <c r="G5" s="355">
        <v>1999</v>
      </c>
      <c r="H5" s="354">
        <v>79648</v>
      </c>
      <c r="I5" s="356">
        <v>42034</v>
      </c>
      <c r="J5" s="357">
        <v>18000000</v>
      </c>
      <c r="K5" s="358">
        <f t="shared" ref="K5:K12" si="0">J5/F5</f>
        <v>202247.19101123596</v>
      </c>
      <c r="L5" s="359" t="s">
        <v>626</v>
      </c>
      <c r="M5" s="359" t="s">
        <v>627</v>
      </c>
    </row>
    <row r="6" spans="1:13" ht="85.05" customHeight="1">
      <c r="A6" s="341">
        <f t="shared" ref="A6:A12" si="1">A5+1</f>
        <v>3</v>
      </c>
      <c r="B6" s="342" t="s">
        <v>628</v>
      </c>
      <c r="C6" s="343" t="s">
        <v>629</v>
      </c>
      <c r="D6" s="343" t="s">
        <v>620</v>
      </c>
      <c r="E6" s="344" t="s">
        <v>625</v>
      </c>
      <c r="F6" s="345">
        <v>48</v>
      </c>
      <c r="G6" s="346">
        <v>2014</v>
      </c>
      <c r="H6" s="345" t="s">
        <v>630</v>
      </c>
      <c r="I6" s="347">
        <v>41982</v>
      </c>
      <c r="J6" s="348">
        <v>9650000</v>
      </c>
      <c r="K6" s="349">
        <f t="shared" si="0"/>
        <v>201041.66666666666</v>
      </c>
      <c r="L6" s="350" t="s">
        <v>631</v>
      </c>
      <c r="M6" s="350" t="s">
        <v>632</v>
      </c>
    </row>
    <row r="7" spans="1:13" ht="85.05" customHeight="1">
      <c r="A7" s="341">
        <f>A6+1</f>
        <v>4</v>
      </c>
      <c r="B7" s="351" t="s">
        <v>633</v>
      </c>
      <c r="C7" s="352" t="s">
        <v>634</v>
      </c>
      <c r="D7" s="352" t="s">
        <v>620</v>
      </c>
      <c r="E7" s="353" t="s">
        <v>625</v>
      </c>
      <c r="F7" s="354">
        <v>61</v>
      </c>
      <c r="G7" s="355">
        <v>1997</v>
      </c>
      <c r="H7" s="354">
        <v>39579</v>
      </c>
      <c r="I7" s="356">
        <v>41926</v>
      </c>
      <c r="J7" s="357">
        <v>5600000</v>
      </c>
      <c r="K7" s="358">
        <f t="shared" si="0"/>
        <v>91803.278688524588</v>
      </c>
      <c r="L7" s="359" t="s">
        <v>635</v>
      </c>
      <c r="M7" s="359" t="s">
        <v>636</v>
      </c>
    </row>
    <row r="8" spans="1:13" ht="85.05" customHeight="1">
      <c r="A8" s="341">
        <f t="shared" si="1"/>
        <v>5</v>
      </c>
      <c r="B8" s="342" t="s">
        <v>637</v>
      </c>
      <c r="C8" s="343" t="s">
        <v>638</v>
      </c>
      <c r="D8" s="343" t="s">
        <v>620</v>
      </c>
      <c r="E8" s="344" t="s">
        <v>547</v>
      </c>
      <c r="F8" s="345">
        <v>32</v>
      </c>
      <c r="G8" s="346">
        <v>2001</v>
      </c>
      <c r="H8" s="345" t="s">
        <v>630</v>
      </c>
      <c r="I8" s="347">
        <v>41703</v>
      </c>
      <c r="J8" s="348">
        <v>2400000</v>
      </c>
      <c r="K8" s="349">
        <f t="shared" si="0"/>
        <v>75000</v>
      </c>
      <c r="L8" s="350" t="s">
        <v>626</v>
      </c>
      <c r="M8" s="350" t="s">
        <v>630</v>
      </c>
    </row>
    <row r="9" spans="1:13" ht="85.05" customHeight="1">
      <c r="A9" s="341">
        <f t="shared" si="1"/>
        <v>6</v>
      </c>
      <c r="B9" s="351" t="s">
        <v>639</v>
      </c>
      <c r="C9" s="352" t="s">
        <v>640</v>
      </c>
      <c r="D9" s="352" t="s">
        <v>620</v>
      </c>
      <c r="E9" s="353" t="s">
        <v>547</v>
      </c>
      <c r="F9" s="354">
        <v>63</v>
      </c>
      <c r="G9" s="355">
        <v>2000</v>
      </c>
      <c r="H9" s="354">
        <v>43747</v>
      </c>
      <c r="I9" s="356">
        <v>41578</v>
      </c>
      <c r="J9" s="357">
        <v>9000000</v>
      </c>
      <c r="K9" s="358">
        <f t="shared" si="0"/>
        <v>142857.14285714287</v>
      </c>
      <c r="L9" s="359" t="s">
        <v>621</v>
      </c>
      <c r="M9" s="359" t="s">
        <v>641</v>
      </c>
    </row>
    <row r="10" spans="1:13" ht="85.05" customHeight="1">
      <c r="A10" s="341">
        <f t="shared" si="1"/>
        <v>7</v>
      </c>
      <c r="B10" s="342" t="s">
        <v>642</v>
      </c>
      <c r="C10" s="343" t="s">
        <v>643</v>
      </c>
      <c r="D10" s="343" t="s">
        <v>620</v>
      </c>
      <c r="E10" s="344" t="s">
        <v>547</v>
      </c>
      <c r="F10" s="345">
        <v>32</v>
      </c>
      <c r="G10" s="346">
        <v>1999</v>
      </c>
      <c r="H10" s="345" t="s">
        <v>630</v>
      </c>
      <c r="I10" s="347">
        <v>41540</v>
      </c>
      <c r="J10" s="348">
        <v>2735000</v>
      </c>
      <c r="K10" s="349">
        <f t="shared" si="0"/>
        <v>85468.75</v>
      </c>
      <c r="L10" s="350" t="s">
        <v>626</v>
      </c>
      <c r="M10" s="350" t="s">
        <v>630</v>
      </c>
    </row>
    <row r="11" spans="1:13" ht="85.05" customHeight="1">
      <c r="A11" s="341">
        <f t="shared" si="1"/>
        <v>8</v>
      </c>
      <c r="B11" s="351" t="s">
        <v>644</v>
      </c>
      <c r="C11" s="352" t="s">
        <v>645</v>
      </c>
      <c r="D11" s="352" t="s">
        <v>620</v>
      </c>
      <c r="E11" s="353" t="s">
        <v>547</v>
      </c>
      <c r="F11" s="354">
        <v>64</v>
      </c>
      <c r="G11" s="355">
        <v>2002</v>
      </c>
      <c r="H11" s="354">
        <v>11470</v>
      </c>
      <c r="I11" s="356">
        <v>41522</v>
      </c>
      <c r="J11" s="357">
        <v>8100000</v>
      </c>
      <c r="K11" s="358">
        <f t="shared" si="0"/>
        <v>126562.5</v>
      </c>
      <c r="L11" s="359" t="s">
        <v>621</v>
      </c>
      <c r="M11" s="359" t="s">
        <v>646</v>
      </c>
    </row>
    <row r="12" spans="1:13" ht="85.05" customHeight="1">
      <c r="A12" s="341">
        <f t="shared" si="1"/>
        <v>9</v>
      </c>
      <c r="B12" s="342" t="s">
        <v>647</v>
      </c>
      <c r="C12" s="343" t="s">
        <v>648</v>
      </c>
      <c r="D12" s="343" t="s">
        <v>620</v>
      </c>
      <c r="E12" s="344" t="s">
        <v>547</v>
      </c>
      <c r="F12" s="345">
        <v>74</v>
      </c>
      <c r="G12" s="346">
        <v>2000</v>
      </c>
      <c r="H12" s="345" t="s">
        <v>630</v>
      </c>
      <c r="I12" s="347">
        <v>41088</v>
      </c>
      <c r="J12" s="348">
        <v>12700000</v>
      </c>
      <c r="K12" s="349">
        <f t="shared" si="0"/>
        <v>171621.62162162163</v>
      </c>
      <c r="L12" s="350" t="s">
        <v>621</v>
      </c>
      <c r="M12" s="350" t="s">
        <v>649</v>
      </c>
    </row>
    <row r="13" spans="1:13">
      <c r="B13" s="337"/>
      <c r="C13" s="360"/>
      <c r="D13" s="360"/>
      <c r="E13" s="340"/>
      <c r="F13" s="361"/>
      <c r="G13" s="361"/>
      <c r="H13" s="361"/>
      <c r="I13" s="340"/>
      <c r="J13" s="362" t="s">
        <v>650</v>
      </c>
      <c r="K13" s="363">
        <f>AVERAGE(K4:K12)</f>
        <v>131765.31834787843</v>
      </c>
      <c r="L13" s="339"/>
      <c r="M13" s="339"/>
    </row>
  </sheetData>
  <mergeCells count="3">
    <mergeCell ref="B2:D2"/>
    <mergeCell ref="E2:H2"/>
    <mergeCell ref="I2:K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Y67"/>
  <sheetViews>
    <sheetView workbookViewId="0">
      <selection activeCell="H20" sqref="H20"/>
    </sheetView>
  </sheetViews>
  <sheetFormatPr defaultRowHeight="13.8"/>
  <cols>
    <col min="2" max="2" width="15.6640625" customWidth="1"/>
    <col min="3" max="4" width="10.6640625" customWidth="1"/>
    <col min="5" max="5" width="20.6640625" customWidth="1"/>
    <col min="6" max="6" width="10.6640625" customWidth="1"/>
    <col min="7" max="7" width="20.6640625" customWidth="1"/>
    <col min="8" max="8" width="15.6640625" customWidth="1"/>
    <col min="9" max="9" width="22.5546875" customWidth="1"/>
    <col min="10" max="10" width="19.88671875" customWidth="1"/>
  </cols>
  <sheetData>
    <row r="1" spans="1:25">
      <c r="A1" s="283"/>
      <c r="B1" s="283"/>
      <c r="C1" s="283"/>
      <c r="D1" s="283"/>
      <c r="E1" s="283"/>
      <c r="F1" s="283"/>
      <c r="G1" s="283"/>
      <c r="H1" s="283"/>
      <c r="I1" s="284"/>
      <c r="J1" s="284"/>
      <c r="K1" s="284"/>
      <c r="L1" s="284"/>
      <c r="M1" s="284"/>
      <c r="N1" s="284"/>
      <c r="O1" s="284"/>
      <c r="P1" s="284"/>
      <c r="Q1" s="284"/>
      <c r="R1" s="284"/>
      <c r="S1" s="284"/>
      <c r="T1" s="284"/>
      <c r="U1" s="284"/>
      <c r="V1" s="284"/>
      <c r="W1" s="284"/>
      <c r="X1" s="284"/>
      <c r="Y1" s="284"/>
    </row>
    <row r="2" spans="1:25" ht="14.4">
      <c r="A2" s="285"/>
      <c r="B2" s="283"/>
      <c r="C2" s="283"/>
      <c r="D2" s="283"/>
      <c r="E2" s="283"/>
      <c r="F2" s="283"/>
      <c r="G2" s="283"/>
      <c r="H2" s="283"/>
      <c r="I2" s="284"/>
      <c r="J2" s="284"/>
      <c r="K2" s="284"/>
      <c r="L2" s="284"/>
      <c r="M2" s="284"/>
      <c r="N2" s="284"/>
      <c r="O2" s="284"/>
      <c r="P2" s="284"/>
      <c r="Q2" s="284"/>
      <c r="R2" s="284"/>
      <c r="S2" s="284"/>
      <c r="T2" s="284"/>
      <c r="U2" s="284"/>
      <c r="V2" s="284"/>
      <c r="W2" s="284"/>
      <c r="X2" s="284"/>
      <c r="Y2" s="284"/>
    </row>
    <row r="3" spans="1:25" ht="14.4">
      <c r="A3" s="285"/>
      <c r="B3" s="286"/>
      <c r="C3" s="287"/>
      <c r="D3" s="288"/>
      <c r="E3" s="288" t="s">
        <v>596</v>
      </c>
      <c r="F3" s="316"/>
      <c r="G3" s="325" t="s">
        <v>597</v>
      </c>
      <c r="H3" s="283"/>
      <c r="I3" s="443" t="s">
        <v>674</v>
      </c>
      <c r="J3" s="284"/>
      <c r="K3" s="284"/>
      <c r="L3" s="284"/>
      <c r="M3" s="284"/>
      <c r="N3" s="284"/>
      <c r="O3" s="284"/>
      <c r="P3" s="284"/>
      <c r="Q3" s="284"/>
      <c r="R3" s="284"/>
      <c r="S3" s="284"/>
      <c r="T3" s="284"/>
      <c r="U3" s="284"/>
      <c r="V3" s="284"/>
      <c r="W3" s="284"/>
      <c r="X3" s="284"/>
      <c r="Y3" s="284"/>
    </row>
    <row r="4" spans="1:25" ht="17.399999999999999">
      <c r="A4" s="285"/>
      <c r="B4" s="317" t="s">
        <v>662</v>
      </c>
      <c r="C4" s="318"/>
      <c r="D4" s="319"/>
      <c r="E4" s="320">
        <f>E8*E9</f>
        <v>6400000</v>
      </c>
      <c r="F4" s="321"/>
      <c r="G4" s="326">
        <f ca="1">ROUND(G13/G14,-5)</f>
        <v>7100000</v>
      </c>
      <c r="H4" s="283"/>
      <c r="I4" s="444">
        <v>3.5000000000000003E-2</v>
      </c>
      <c r="J4" s="284"/>
      <c r="K4" s="284"/>
      <c r="L4" s="284"/>
      <c r="M4" s="284"/>
      <c r="N4" s="284"/>
      <c r="O4" s="284"/>
      <c r="P4" s="284"/>
      <c r="Q4" s="284"/>
      <c r="R4" s="284"/>
      <c r="S4" s="284"/>
      <c r="T4" s="284"/>
      <c r="U4" s="284"/>
      <c r="V4" s="284"/>
      <c r="W4" s="284"/>
      <c r="X4" s="284"/>
      <c r="Y4" s="284"/>
    </row>
    <row r="5" spans="1:25" ht="13.95" customHeight="1">
      <c r="A5" s="285"/>
      <c r="B5" s="293" t="s">
        <v>591</v>
      </c>
      <c r="C5" s="289"/>
      <c r="D5" s="290"/>
      <c r="E5" s="291"/>
      <c r="F5" s="291"/>
      <c r="G5" s="292"/>
      <c r="H5" s="283"/>
      <c r="I5" s="284"/>
      <c r="J5" s="284"/>
      <c r="K5" s="284"/>
      <c r="L5" s="421"/>
      <c r="M5" s="284"/>
      <c r="N5" s="284"/>
      <c r="O5" s="284"/>
      <c r="P5" s="284"/>
      <c r="Q5" s="284"/>
      <c r="R5" s="284"/>
      <c r="S5" s="284"/>
      <c r="T5" s="284"/>
      <c r="U5" s="284"/>
      <c r="V5" s="284"/>
      <c r="W5" s="284"/>
      <c r="X5" s="284"/>
      <c r="Y5" s="284"/>
    </row>
    <row r="6" spans="1:25" ht="1.05" customHeight="1">
      <c r="A6" s="285"/>
      <c r="B6" s="293"/>
      <c r="C6" s="289"/>
      <c r="D6" s="290"/>
      <c r="E6" s="291"/>
      <c r="F6" s="291"/>
      <c r="G6" s="292"/>
      <c r="H6" s="283"/>
      <c r="I6" s="284"/>
      <c r="J6" s="284"/>
      <c r="K6" s="284"/>
      <c r="L6" s="284"/>
      <c r="M6" s="284"/>
      <c r="N6" s="284"/>
      <c r="O6" s="284"/>
      <c r="P6" s="284"/>
      <c r="Q6" s="284"/>
      <c r="R6" s="284"/>
      <c r="S6" s="284"/>
      <c r="T6" s="284"/>
      <c r="U6" s="284"/>
      <c r="V6" s="284"/>
      <c r="W6" s="284"/>
      <c r="X6" s="284"/>
      <c r="Y6" s="284"/>
    </row>
    <row r="7" spans="1:25" ht="4.95" customHeight="1">
      <c r="A7" s="285"/>
      <c r="B7" s="293"/>
      <c r="C7" s="289"/>
      <c r="D7" s="290"/>
      <c r="E7" s="291"/>
      <c r="F7" s="291"/>
      <c r="G7" s="292"/>
      <c r="H7" s="283"/>
      <c r="I7" s="284"/>
      <c r="J7" s="284"/>
      <c r="K7" s="284"/>
      <c r="L7" s="284"/>
      <c r="M7" s="284"/>
      <c r="N7" s="284"/>
      <c r="O7" s="284"/>
      <c r="P7" s="284"/>
      <c r="Q7" s="284"/>
      <c r="R7" s="284"/>
      <c r="S7" s="284"/>
      <c r="T7" s="284"/>
      <c r="U7" s="284"/>
      <c r="V7" s="284"/>
      <c r="W7" s="284"/>
      <c r="X7" s="284"/>
      <c r="Y7" s="284"/>
    </row>
    <row r="8" spans="1:25" ht="13.95" customHeight="1">
      <c r="A8" s="285"/>
      <c r="B8" s="293" t="s">
        <v>601</v>
      </c>
      <c r="C8" s="289"/>
      <c r="D8" s="290"/>
      <c r="E8" s="414">
        <v>64</v>
      </c>
      <c r="F8" s="291"/>
      <c r="G8" s="413">
        <v>64</v>
      </c>
      <c r="H8" s="283"/>
      <c r="I8" s="284"/>
      <c r="J8" s="284"/>
      <c r="K8" s="284"/>
      <c r="L8" s="284"/>
      <c r="M8" s="284"/>
      <c r="N8" s="284"/>
      <c r="O8" s="284"/>
      <c r="P8" s="284"/>
      <c r="Q8" s="284"/>
      <c r="R8" s="284"/>
      <c r="S8" s="284"/>
      <c r="T8" s="284"/>
      <c r="U8" s="284"/>
      <c r="V8" s="284"/>
      <c r="W8" s="284"/>
      <c r="X8" s="284"/>
      <c r="Y8" s="284"/>
    </row>
    <row r="9" spans="1:25" ht="13.95" customHeight="1">
      <c r="A9" s="285"/>
      <c r="B9" s="293" t="s">
        <v>592</v>
      </c>
      <c r="C9" s="289"/>
      <c r="D9" s="290"/>
      <c r="E9" s="415">
        <v>100000</v>
      </c>
      <c r="F9" s="291"/>
      <c r="G9" s="328">
        <f ca="1">G4/G8</f>
        <v>110937.5</v>
      </c>
      <c r="H9" s="283"/>
      <c r="I9" s="284"/>
      <c r="J9" s="284"/>
      <c r="K9" s="284"/>
      <c r="L9" s="284"/>
      <c r="M9" s="284"/>
      <c r="N9" s="284"/>
      <c r="O9" s="284"/>
      <c r="P9" s="284"/>
      <c r="Q9" s="284"/>
      <c r="R9" s="284"/>
      <c r="S9" s="284"/>
      <c r="T9" s="284"/>
      <c r="U9" s="284"/>
      <c r="V9" s="284"/>
      <c r="W9" s="284"/>
      <c r="X9" s="284"/>
      <c r="Y9" s="284"/>
    </row>
    <row r="10" spans="1:25" ht="4.95" customHeight="1">
      <c r="A10" s="285"/>
      <c r="B10" s="293"/>
      <c r="C10" s="289"/>
      <c r="D10" s="290"/>
      <c r="E10" s="291"/>
      <c r="F10" s="291"/>
      <c r="G10" s="292"/>
      <c r="H10" s="283"/>
      <c r="I10" s="284"/>
      <c r="J10" s="284"/>
      <c r="K10" s="284"/>
      <c r="L10" s="284"/>
      <c r="M10" s="284"/>
      <c r="N10" s="284"/>
      <c r="O10" s="284"/>
      <c r="P10" s="284"/>
      <c r="Q10" s="284"/>
      <c r="R10" s="284"/>
      <c r="S10" s="284"/>
      <c r="T10" s="284"/>
      <c r="U10" s="284"/>
      <c r="V10" s="284"/>
      <c r="W10" s="284"/>
      <c r="X10" s="284"/>
      <c r="Y10" s="284"/>
    </row>
    <row r="11" spans="1:25" ht="13.95" customHeight="1">
      <c r="A11" s="285"/>
      <c r="B11" s="323" t="s">
        <v>580</v>
      </c>
      <c r="C11" s="289"/>
      <c r="D11" s="290"/>
      <c r="E11" s="294"/>
      <c r="F11" s="294"/>
      <c r="G11" s="327"/>
      <c r="H11" s="283"/>
      <c r="I11" s="284"/>
      <c r="J11" s="284"/>
      <c r="K11" s="284"/>
      <c r="L11" s="284"/>
      <c r="M11" s="284"/>
      <c r="N11" s="284"/>
      <c r="O11" s="284"/>
      <c r="P11" s="284"/>
      <c r="Q11" s="284"/>
      <c r="R11" s="284"/>
      <c r="S11" s="284"/>
      <c r="T11" s="284"/>
      <c r="U11" s="284"/>
      <c r="V11" s="284"/>
      <c r="W11" s="284"/>
      <c r="X11" s="284"/>
      <c r="Y11" s="284"/>
    </row>
    <row r="12" spans="1:25" ht="4.95" customHeight="1">
      <c r="A12" s="285"/>
      <c r="B12" s="322"/>
      <c r="C12" s="289"/>
      <c r="D12" s="290"/>
      <c r="E12" s="296"/>
      <c r="F12" s="294"/>
      <c r="G12" s="328"/>
      <c r="H12" s="283"/>
      <c r="I12" s="284"/>
      <c r="J12" s="284"/>
      <c r="K12" s="284"/>
      <c r="L12" s="284"/>
      <c r="M12" s="284"/>
      <c r="N12" s="284"/>
      <c r="O12" s="284"/>
      <c r="P12" s="284"/>
      <c r="Q12" s="284"/>
      <c r="R12" s="284"/>
      <c r="S12" s="284"/>
      <c r="T12" s="284"/>
      <c r="U12" s="284"/>
      <c r="V12" s="284"/>
      <c r="W12" s="284"/>
      <c r="X12" s="284"/>
      <c r="Y12" s="284"/>
    </row>
    <row r="13" spans="1:25" ht="13.95" customHeight="1">
      <c r="A13" s="285"/>
      <c r="B13" s="322" t="s">
        <v>18</v>
      </c>
      <c r="C13" s="289"/>
      <c r="D13" s="290"/>
      <c r="E13" s="296">
        <f ca="1">'Quail Run - UW'!Y59</f>
        <v>678813.69914132962</v>
      </c>
      <c r="F13" s="295"/>
      <c r="G13" s="416">
        <f ca="1">E13</f>
        <v>678813.69914132962</v>
      </c>
      <c r="H13" s="283"/>
      <c r="I13" s="284"/>
      <c r="J13" s="284"/>
      <c r="K13" s="284"/>
      <c r="L13" s="284"/>
      <c r="M13" s="284"/>
      <c r="N13" s="284"/>
      <c r="O13" s="284"/>
      <c r="P13" s="284"/>
      <c r="Q13" s="284"/>
      <c r="R13" s="284"/>
      <c r="S13" s="284"/>
      <c r="T13" s="284"/>
      <c r="U13" s="284"/>
      <c r="V13" s="284"/>
      <c r="W13" s="284"/>
      <c r="X13" s="284"/>
      <c r="Y13" s="284"/>
    </row>
    <row r="14" spans="1:25" ht="13.95" customHeight="1">
      <c r="A14" s="285"/>
      <c r="B14" s="322" t="s">
        <v>598</v>
      </c>
      <c r="C14" s="289"/>
      <c r="D14" s="290"/>
      <c r="E14" s="407">
        <f ca="1">E13/E4</f>
        <v>0.10606464049083275</v>
      </c>
      <c r="F14" s="297"/>
      <c r="G14" s="417">
        <v>9.5000000000000001E-2</v>
      </c>
      <c r="H14" s="314"/>
      <c r="I14" s="284"/>
      <c r="J14" s="284"/>
      <c r="K14" s="284"/>
      <c r="L14" s="284"/>
      <c r="M14" s="284"/>
      <c r="N14" s="284"/>
      <c r="O14" s="284"/>
      <c r="P14" s="284"/>
      <c r="Q14" s="284"/>
      <c r="R14" s="284"/>
      <c r="S14" s="284"/>
      <c r="T14" s="284"/>
      <c r="U14" s="284"/>
      <c r="V14" s="284"/>
      <c r="W14" s="284"/>
      <c r="X14" s="284"/>
      <c r="Y14" s="284"/>
    </row>
    <row r="15" spans="1:25" ht="13.95" customHeight="1">
      <c r="A15" s="285"/>
      <c r="B15" s="322" t="s">
        <v>599</v>
      </c>
      <c r="C15" s="299"/>
      <c r="D15" s="299"/>
      <c r="E15" s="411" t="str">
        <f ca="1">ROUND(E4/'Quail Run - UW'!Y29,2)&amp;"x"</f>
        <v>2.18x</v>
      </c>
      <c r="F15" s="411"/>
      <c r="G15" s="418" t="str">
        <f ca="1">ROUND(G4/'Quail Run - UW'!Y29,2)&amp;"x"</f>
        <v>2.42x</v>
      </c>
      <c r="H15" s="283"/>
      <c r="I15" s="284"/>
      <c r="J15" s="284"/>
      <c r="K15" s="284"/>
      <c r="L15" s="284"/>
      <c r="M15" s="284"/>
      <c r="N15" s="284"/>
      <c r="O15" s="284"/>
      <c r="P15" s="284"/>
      <c r="Q15" s="284"/>
      <c r="R15" s="284"/>
      <c r="S15" s="284"/>
      <c r="T15" s="284"/>
      <c r="U15" s="284"/>
      <c r="V15" s="284"/>
      <c r="W15" s="284"/>
      <c r="X15" s="284"/>
      <c r="Y15" s="284"/>
    </row>
    <row r="16" spans="1:25" ht="13.95" customHeight="1">
      <c r="A16" s="285"/>
      <c r="B16" s="322" t="s">
        <v>600</v>
      </c>
      <c r="C16" s="299"/>
      <c r="D16" s="299"/>
      <c r="E16" s="407">
        <f ca="1">'Quail Run - UW'!AA59</f>
        <v>0.23161789364819513</v>
      </c>
      <c r="F16" s="301"/>
      <c r="G16" s="417">
        <f ca="1">E16</f>
        <v>0.23161789364819513</v>
      </c>
      <c r="H16" s="283"/>
      <c r="I16" s="284"/>
      <c r="J16" s="284"/>
      <c r="K16" s="284"/>
      <c r="L16" s="284"/>
      <c r="M16" s="284"/>
      <c r="N16" s="284"/>
      <c r="O16" s="284"/>
      <c r="P16" s="284"/>
      <c r="Q16" s="284"/>
      <c r="R16" s="284"/>
      <c r="S16" s="284"/>
      <c r="T16" s="284"/>
      <c r="U16" s="284"/>
      <c r="V16" s="284"/>
      <c r="W16" s="284"/>
      <c r="X16" s="284"/>
      <c r="Y16" s="284"/>
    </row>
    <row r="17" spans="1:25" ht="4.95" customHeight="1">
      <c r="A17" s="285"/>
      <c r="B17" s="298"/>
      <c r="C17" s="299"/>
      <c r="D17" s="299"/>
      <c r="E17" s="300"/>
      <c r="F17" s="301"/>
      <c r="G17" s="329"/>
      <c r="H17" s="283"/>
      <c r="I17" s="284"/>
      <c r="J17" s="284"/>
      <c r="K17" s="284"/>
      <c r="L17" s="284"/>
      <c r="M17" s="284"/>
      <c r="N17" s="284"/>
      <c r="O17" s="284"/>
      <c r="P17" s="284"/>
      <c r="Q17" s="284"/>
      <c r="R17" s="284"/>
      <c r="S17" s="284"/>
      <c r="T17" s="284"/>
      <c r="U17" s="284"/>
      <c r="V17" s="284"/>
      <c r="W17" s="284"/>
      <c r="X17" s="284"/>
      <c r="Y17" s="284"/>
    </row>
    <row r="18" spans="1:25" ht="13.95" customHeight="1">
      <c r="A18" s="285"/>
      <c r="B18" s="298">
        <v>2015</v>
      </c>
      <c r="C18" s="299"/>
      <c r="D18" s="299"/>
      <c r="E18" s="300"/>
      <c r="F18" s="301"/>
      <c r="G18" s="329"/>
      <c r="H18" s="283"/>
      <c r="I18" s="284"/>
      <c r="J18" s="284"/>
      <c r="K18" s="284"/>
      <c r="L18" s="284"/>
      <c r="M18" s="284"/>
      <c r="N18" s="284"/>
      <c r="O18" s="284"/>
      <c r="P18" s="284"/>
      <c r="Q18" s="284"/>
      <c r="R18" s="284"/>
      <c r="S18" s="284"/>
      <c r="T18" s="284"/>
      <c r="U18" s="284"/>
      <c r="V18" s="284"/>
      <c r="W18" s="284"/>
      <c r="X18" s="284"/>
      <c r="Y18" s="284"/>
    </row>
    <row r="19" spans="1:25" ht="4.95" customHeight="1">
      <c r="A19" s="285"/>
      <c r="B19" s="322"/>
      <c r="C19" s="299"/>
      <c r="D19" s="299"/>
      <c r="E19" s="300"/>
      <c r="F19" s="301"/>
      <c r="G19" s="329"/>
      <c r="H19" s="283"/>
      <c r="I19" s="284"/>
      <c r="J19" s="284"/>
      <c r="K19" s="284"/>
      <c r="L19" s="284"/>
      <c r="M19" s="284"/>
      <c r="N19" s="284"/>
      <c r="O19" s="284"/>
      <c r="P19" s="284"/>
      <c r="Q19" s="284"/>
      <c r="R19" s="284"/>
      <c r="S19" s="284"/>
      <c r="T19" s="284"/>
      <c r="U19" s="284"/>
      <c r="V19" s="284"/>
      <c r="W19" s="284"/>
      <c r="X19" s="284"/>
      <c r="Y19" s="284"/>
    </row>
    <row r="20" spans="1:25" ht="13.95" customHeight="1">
      <c r="A20" s="285"/>
      <c r="B20" s="322" t="s">
        <v>18</v>
      </c>
      <c r="C20" s="299"/>
      <c r="D20" s="299"/>
      <c r="E20" s="296">
        <f ca="1">'Quail Run - UW'!I59</f>
        <v>526546.78049999988</v>
      </c>
      <c r="F20" s="295"/>
      <c r="G20" s="328">
        <f ca="1">E20</f>
        <v>526546.78049999988</v>
      </c>
      <c r="H20" s="283"/>
      <c r="I20" s="284"/>
      <c r="J20" s="284"/>
      <c r="K20" s="284"/>
      <c r="L20" s="284"/>
      <c r="M20" s="284"/>
      <c r="N20" s="284"/>
      <c r="O20" s="284"/>
      <c r="P20" s="284"/>
      <c r="Q20" s="284"/>
      <c r="R20" s="284"/>
      <c r="S20" s="284"/>
      <c r="T20" s="284"/>
      <c r="U20" s="284"/>
      <c r="V20" s="284"/>
      <c r="W20" s="284"/>
      <c r="X20" s="284"/>
      <c r="Y20" s="284"/>
    </row>
    <row r="21" spans="1:25" ht="13.95" customHeight="1">
      <c r="A21" s="285"/>
      <c r="B21" s="322" t="s">
        <v>598</v>
      </c>
      <c r="C21" s="299"/>
      <c r="D21" s="299"/>
      <c r="E21" s="407">
        <f ca="1">E20/E4</f>
        <v>8.2272934453124974E-2</v>
      </c>
      <c r="F21" s="297"/>
      <c r="G21" s="408">
        <f ca="1">G20/G4</f>
        <v>7.4161518380281677E-2</v>
      </c>
      <c r="H21" s="283"/>
      <c r="I21" s="284"/>
      <c r="J21" s="284"/>
      <c r="K21" s="284"/>
      <c r="L21" s="284"/>
      <c r="M21" s="284"/>
      <c r="N21" s="284"/>
      <c r="O21" s="284"/>
      <c r="P21" s="284"/>
      <c r="Q21" s="284"/>
      <c r="R21" s="284"/>
      <c r="S21" s="284"/>
      <c r="T21" s="284"/>
      <c r="U21" s="284"/>
      <c r="V21" s="284"/>
      <c r="W21" s="284"/>
      <c r="X21" s="284"/>
      <c r="Y21" s="284"/>
    </row>
    <row r="22" spans="1:25" ht="13.95" customHeight="1">
      <c r="A22" s="285"/>
      <c r="B22" s="322" t="s">
        <v>599</v>
      </c>
      <c r="C22" s="299"/>
      <c r="D22" s="299"/>
      <c r="E22" s="411" t="str">
        <f ca="1">ROUND(E4/'Quail Run - UW'!I29,2)&amp;"x"</f>
        <v>2.42x</v>
      </c>
      <c r="F22" s="301"/>
      <c r="G22" s="412" t="str">
        <f ca="1">ROUND(G4/'Quail Run - UW'!I29,2)&amp;"x"</f>
        <v>2.68x</v>
      </c>
      <c r="H22" s="283"/>
      <c r="I22" s="284"/>
      <c r="J22" s="284"/>
      <c r="K22" s="284"/>
      <c r="L22" s="284"/>
      <c r="M22" s="284"/>
      <c r="N22" s="284"/>
      <c r="O22" s="284"/>
      <c r="P22" s="284"/>
      <c r="Q22" s="284"/>
      <c r="R22" s="284"/>
      <c r="S22" s="284"/>
      <c r="T22" s="284"/>
      <c r="U22" s="284"/>
      <c r="V22" s="284"/>
      <c r="W22" s="284"/>
      <c r="X22" s="284"/>
      <c r="Y22" s="284"/>
    </row>
    <row r="23" spans="1:25" ht="13.95" customHeight="1">
      <c r="A23" s="285"/>
      <c r="B23" s="322" t="s">
        <v>600</v>
      </c>
      <c r="C23" s="299"/>
      <c r="D23" s="299"/>
      <c r="E23" s="407">
        <f ca="1">'Quail Run - UW'!K59</f>
        <v>0.19908495695377301</v>
      </c>
      <c r="F23" s="301"/>
      <c r="G23" s="408">
        <f ca="1">E23</f>
        <v>0.19908495695377301</v>
      </c>
      <c r="H23" s="283"/>
      <c r="I23" s="284"/>
      <c r="J23" s="284"/>
      <c r="K23" s="284"/>
      <c r="L23" s="284"/>
      <c r="M23" s="284"/>
      <c r="N23" s="284"/>
      <c r="O23" s="284"/>
      <c r="P23" s="284"/>
      <c r="Q23" s="284"/>
      <c r="R23" s="284"/>
      <c r="S23" s="284"/>
      <c r="T23" s="284"/>
      <c r="U23" s="284"/>
      <c r="V23" s="284"/>
      <c r="W23" s="284"/>
      <c r="X23" s="284"/>
      <c r="Y23" s="284"/>
    </row>
    <row r="24" spans="1:25" ht="4.95" customHeight="1">
      <c r="A24" s="285"/>
      <c r="B24" s="322"/>
      <c r="C24" s="299"/>
      <c r="D24" s="299"/>
      <c r="E24" s="300"/>
      <c r="F24" s="301"/>
      <c r="G24" s="329"/>
      <c r="H24" s="283"/>
      <c r="I24" s="284"/>
      <c r="J24" s="284"/>
      <c r="K24" s="284"/>
      <c r="L24" s="284"/>
      <c r="M24" s="284"/>
      <c r="N24" s="284"/>
      <c r="O24" s="284"/>
      <c r="P24" s="284"/>
      <c r="Q24" s="284"/>
      <c r="R24" s="284"/>
      <c r="S24" s="284"/>
      <c r="T24" s="284"/>
      <c r="U24" s="284"/>
      <c r="V24" s="284"/>
      <c r="W24" s="284"/>
      <c r="X24" s="284"/>
      <c r="Y24" s="284"/>
    </row>
    <row r="25" spans="1:25" ht="13.95" customHeight="1">
      <c r="A25" s="283"/>
      <c r="B25" s="302" t="s">
        <v>593</v>
      </c>
      <c r="C25" s="289"/>
      <c r="D25" s="289"/>
      <c r="E25" s="299"/>
      <c r="F25" s="299"/>
      <c r="G25" s="330"/>
      <c r="H25" s="283"/>
      <c r="I25" s="284"/>
      <c r="J25" s="284"/>
      <c r="K25" s="284"/>
      <c r="L25" s="284"/>
      <c r="M25" s="284"/>
      <c r="N25" s="284"/>
      <c r="O25" s="284"/>
      <c r="P25" s="284"/>
      <c r="Q25" s="284"/>
      <c r="R25" s="284"/>
      <c r="S25" s="284"/>
      <c r="T25" s="284"/>
      <c r="U25" s="284"/>
      <c r="V25" s="284"/>
      <c r="W25" s="284"/>
      <c r="X25" s="284"/>
      <c r="Y25" s="284"/>
    </row>
    <row r="26" spans="1:25" ht="13.95" customHeight="1">
      <c r="A26" s="283"/>
      <c r="B26" s="324" t="s">
        <v>594</v>
      </c>
      <c r="C26" s="303"/>
      <c r="D26" s="303"/>
      <c r="E26" s="304">
        <v>15000</v>
      </c>
      <c r="F26" s="305"/>
      <c r="G26" s="331">
        <v>15000</v>
      </c>
      <c r="H26" s="283"/>
      <c r="I26" s="284"/>
      <c r="J26" s="284"/>
      <c r="K26" s="284"/>
      <c r="L26" s="284"/>
      <c r="M26" s="284"/>
      <c r="N26" s="284"/>
      <c r="O26" s="284"/>
      <c r="P26" s="284"/>
      <c r="Q26" s="284"/>
      <c r="R26" s="284"/>
      <c r="S26" s="284"/>
      <c r="T26" s="284"/>
      <c r="U26" s="284"/>
      <c r="V26" s="284"/>
      <c r="W26" s="284"/>
      <c r="X26" s="284"/>
      <c r="Y26" s="284"/>
    </row>
    <row r="27" spans="1:25" ht="13.95" customHeight="1">
      <c r="A27" s="283"/>
      <c r="B27" s="324" t="s">
        <v>666</v>
      </c>
      <c r="C27" s="303"/>
      <c r="D27" s="303"/>
      <c r="E27" s="304">
        <f>0.02*E4</f>
        <v>128000</v>
      </c>
      <c r="F27" s="305"/>
      <c r="G27" s="331">
        <f ca="1">0.02*G4</f>
        <v>142000</v>
      </c>
      <c r="H27" s="283"/>
      <c r="I27" s="284"/>
      <c r="J27" s="284"/>
      <c r="K27" s="284"/>
      <c r="L27" s="284"/>
      <c r="M27" s="284"/>
      <c r="N27" s="284"/>
      <c r="O27" s="284"/>
      <c r="P27" s="284"/>
      <c r="Q27" s="284"/>
      <c r="R27" s="284"/>
      <c r="S27" s="284"/>
      <c r="T27" s="284"/>
      <c r="U27" s="284"/>
      <c r="V27" s="284"/>
      <c r="W27" s="284"/>
      <c r="X27" s="284"/>
      <c r="Y27" s="284"/>
    </row>
    <row r="28" spans="1:25" ht="13.95" customHeight="1">
      <c r="A28" s="283"/>
      <c r="B28" s="324" t="s">
        <v>673</v>
      </c>
      <c r="C28" s="303"/>
      <c r="D28" s="303"/>
      <c r="E28" s="304">
        <f>ADVISOR_FEE*E4</f>
        <v>224000.00000000003</v>
      </c>
      <c r="F28" s="305"/>
      <c r="G28" s="331">
        <f ca="1">ADVISOR_FEE*G4</f>
        <v>248500.00000000003</v>
      </c>
      <c r="H28" s="283"/>
      <c r="I28" s="284"/>
      <c r="J28" s="284"/>
      <c r="K28" s="284"/>
      <c r="L28" s="284"/>
      <c r="M28" s="284"/>
      <c r="N28" s="284"/>
      <c r="O28" s="284"/>
      <c r="P28" s="284"/>
      <c r="Q28" s="284"/>
      <c r="R28" s="284"/>
      <c r="S28" s="284"/>
      <c r="T28" s="284"/>
      <c r="U28" s="284"/>
      <c r="V28" s="284"/>
      <c r="W28" s="284"/>
      <c r="X28" s="284"/>
      <c r="Y28" s="284"/>
    </row>
    <row r="29" spans="1:25" ht="13.95" customHeight="1">
      <c r="A29" s="283"/>
      <c r="B29" s="324" t="s">
        <v>602</v>
      </c>
      <c r="C29" s="303"/>
      <c r="D29" s="303"/>
      <c r="E29" s="304">
        <v>4100000</v>
      </c>
      <c r="F29" s="305"/>
      <c r="G29" s="331">
        <v>4100000</v>
      </c>
      <c r="H29" s="283"/>
      <c r="I29" s="284"/>
      <c r="J29" s="284"/>
      <c r="K29" s="284"/>
      <c r="L29" s="284"/>
      <c r="M29" s="284"/>
      <c r="N29" s="284"/>
      <c r="O29" s="284"/>
      <c r="P29" s="284"/>
      <c r="Q29" s="284"/>
      <c r="R29" s="284"/>
      <c r="S29" s="284"/>
      <c r="T29" s="284"/>
      <c r="U29" s="284"/>
      <c r="V29" s="284"/>
      <c r="W29" s="284"/>
      <c r="X29" s="284"/>
      <c r="Y29" s="284"/>
    </row>
    <row r="30" spans="1:25" ht="4.95" customHeight="1">
      <c r="A30" s="283"/>
      <c r="B30" s="324"/>
      <c r="C30" s="303"/>
      <c r="D30" s="303"/>
      <c r="E30" s="304"/>
      <c r="F30" s="305"/>
      <c r="G30" s="331"/>
      <c r="H30" s="283"/>
      <c r="I30" s="284"/>
      <c r="J30" s="284"/>
      <c r="K30" s="284"/>
      <c r="L30" s="284"/>
      <c r="M30" s="284"/>
      <c r="N30" s="284"/>
      <c r="O30" s="284"/>
      <c r="P30" s="284"/>
      <c r="Q30" s="284"/>
      <c r="R30" s="284"/>
      <c r="S30" s="284"/>
      <c r="T30" s="284"/>
      <c r="U30" s="284"/>
      <c r="V30" s="284"/>
      <c r="W30" s="284"/>
      <c r="X30" s="284"/>
      <c r="Y30" s="284"/>
    </row>
    <row r="31" spans="1:25" ht="13.95" customHeight="1">
      <c r="A31" s="283"/>
      <c r="B31" s="306" t="s">
        <v>664</v>
      </c>
      <c r="C31" s="307"/>
      <c r="D31" s="307"/>
      <c r="E31" s="308">
        <f>SUM(E26:E29)</f>
        <v>4467000</v>
      </c>
      <c r="F31" s="309"/>
      <c r="G31" s="332">
        <f ca="1">SUM(G26:G29)</f>
        <v>4505500</v>
      </c>
      <c r="H31" s="283"/>
      <c r="I31" s="284"/>
      <c r="J31" s="284"/>
      <c r="K31" s="284"/>
      <c r="L31" s="284"/>
      <c r="M31" s="284"/>
      <c r="N31" s="284"/>
      <c r="O31" s="284"/>
      <c r="P31" s="284"/>
      <c r="Q31" s="284"/>
      <c r="R31" s="284"/>
      <c r="S31" s="284"/>
      <c r="T31" s="284"/>
      <c r="U31" s="284"/>
      <c r="V31" s="284"/>
      <c r="W31" s="284"/>
      <c r="X31" s="284"/>
      <c r="Y31" s="284"/>
    </row>
    <row r="32" spans="1:25" ht="4.95" customHeight="1">
      <c r="A32" s="283"/>
      <c r="B32" s="306"/>
      <c r="C32" s="307"/>
      <c r="D32" s="307"/>
      <c r="E32" s="308"/>
      <c r="F32" s="309"/>
      <c r="G32" s="332"/>
      <c r="H32" s="283"/>
      <c r="I32" s="284"/>
      <c r="J32" s="284"/>
      <c r="K32" s="284"/>
      <c r="L32" s="284"/>
      <c r="M32" s="284"/>
      <c r="N32" s="284"/>
      <c r="O32" s="284"/>
      <c r="P32" s="284"/>
      <c r="Q32" s="284"/>
      <c r="R32" s="284"/>
      <c r="S32" s="284"/>
      <c r="T32" s="284"/>
      <c r="U32" s="284"/>
      <c r="V32" s="284"/>
      <c r="W32" s="284"/>
      <c r="X32" s="284"/>
      <c r="Y32" s="284"/>
    </row>
    <row r="33" spans="1:25">
      <c r="A33" s="283"/>
      <c r="B33" s="310" t="s">
        <v>595</v>
      </c>
      <c r="C33" s="311"/>
      <c r="D33" s="311"/>
      <c r="E33" s="312">
        <f>E4-E31</f>
        <v>1933000</v>
      </c>
      <c r="F33" s="313"/>
      <c r="G33" s="333">
        <f ca="1">G4-G31</f>
        <v>2594500</v>
      </c>
      <c r="H33" s="283"/>
      <c r="I33" s="284"/>
      <c r="J33" s="284"/>
      <c r="K33" s="284"/>
      <c r="L33" s="284"/>
      <c r="M33" s="284"/>
      <c r="N33" s="284"/>
      <c r="O33" s="284"/>
      <c r="P33" s="284"/>
      <c r="Q33" s="284"/>
      <c r="R33" s="284"/>
      <c r="S33" s="284"/>
      <c r="T33" s="284"/>
      <c r="U33" s="284"/>
      <c r="V33" s="284"/>
      <c r="W33" s="284"/>
      <c r="X33" s="284"/>
      <c r="Y33" s="284"/>
    </row>
    <row r="34" spans="1:25" ht="9.6" customHeight="1">
      <c r="A34" s="283"/>
      <c r="B34" s="409" t="s">
        <v>663</v>
      </c>
      <c r="C34" s="409"/>
      <c r="D34" s="409"/>
      <c r="E34" s="409"/>
      <c r="F34" s="409"/>
      <c r="G34" s="409"/>
      <c r="H34" s="283"/>
      <c r="I34" s="284"/>
      <c r="J34" s="284"/>
      <c r="K34" s="284"/>
      <c r="L34" s="284"/>
      <c r="M34" s="284"/>
      <c r="N34" s="284"/>
      <c r="O34" s="284"/>
      <c r="P34" s="284"/>
      <c r="Q34" s="284"/>
      <c r="R34" s="284"/>
      <c r="S34" s="284"/>
      <c r="T34" s="284"/>
      <c r="U34" s="284"/>
      <c r="V34" s="284"/>
      <c r="W34" s="284"/>
      <c r="X34" s="284"/>
      <c r="Y34" s="284"/>
    </row>
    <row r="35" spans="1:25" ht="9.6" customHeight="1">
      <c r="A35" s="283"/>
      <c r="B35" s="410" t="s">
        <v>665</v>
      </c>
      <c r="C35" s="410"/>
      <c r="D35" s="410"/>
      <c r="E35" s="410"/>
      <c r="F35" s="410"/>
      <c r="G35" s="410"/>
      <c r="H35" s="299"/>
      <c r="I35" s="284"/>
      <c r="J35" s="284"/>
      <c r="K35" s="284"/>
      <c r="L35" s="284"/>
      <c r="M35" s="284"/>
      <c r="N35" s="284"/>
      <c r="O35" s="284"/>
      <c r="P35" s="284"/>
      <c r="Q35" s="284"/>
      <c r="R35" s="284"/>
      <c r="S35" s="284"/>
      <c r="T35" s="284"/>
      <c r="U35" s="284"/>
      <c r="V35" s="284"/>
      <c r="W35" s="284"/>
      <c r="X35" s="284"/>
      <c r="Y35" s="284"/>
    </row>
    <row r="36" spans="1:25">
      <c r="A36" s="283"/>
      <c r="B36" s="410"/>
      <c r="C36" s="410"/>
      <c r="D36" s="410"/>
      <c r="E36" s="410"/>
      <c r="F36" s="410"/>
      <c r="G36" s="410"/>
      <c r="H36" s="283"/>
      <c r="I36" s="284"/>
      <c r="J36" s="284"/>
      <c r="K36" s="284"/>
      <c r="L36" s="284"/>
      <c r="M36" s="284"/>
      <c r="N36" s="284"/>
      <c r="O36" s="284"/>
      <c r="P36" s="284"/>
      <c r="Q36" s="284"/>
      <c r="R36" s="284"/>
      <c r="S36" s="284"/>
      <c r="T36" s="284"/>
      <c r="U36" s="284"/>
      <c r="V36" s="284"/>
      <c r="W36" s="284"/>
      <c r="X36" s="284"/>
      <c r="Y36" s="284"/>
    </row>
    <row r="37" spans="1:25">
      <c r="A37" s="283"/>
      <c r="B37" s="283"/>
      <c r="C37" s="283"/>
      <c r="D37" s="283"/>
      <c r="E37" s="283"/>
      <c r="F37" s="283"/>
      <c r="G37" s="283"/>
      <c r="H37" s="283"/>
      <c r="I37" s="284"/>
      <c r="J37" s="284"/>
      <c r="K37" s="284"/>
      <c r="L37" s="284"/>
      <c r="M37" s="284"/>
      <c r="N37" s="284"/>
      <c r="O37" s="284"/>
      <c r="P37" s="284"/>
      <c r="Q37" s="284"/>
      <c r="R37" s="284"/>
      <c r="S37" s="284"/>
      <c r="T37" s="284"/>
      <c r="U37" s="284"/>
      <c r="V37" s="284"/>
      <c r="W37" s="284"/>
      <c r="X37" s="284"/>
      <c r="Y37" s="284"/>
    </row>
    <row r="38" spans="1:25">
      <c r="A38" s="283"/>
      <c r="B38" s="283"/>
      <c r="C38" s="283"/>
      <c r="D38" s="283"/>
      <c r="E38" s="283"/>
      <c r="F38" s="283"/>
      <c r="G38" s="283"/>
      <c r="H38" s="283"/>
      <c r="I38" s="284"/>
      <c r="J38" s="284"/>
      <c r="K38" s="284"/>
      <c r="L38" s="284"/>
      <c r="M38" s="284"/>
      <c r="N38" s="284"/>
      <c r="O38" s="284"/>
      <c r="P38" s="284"/>
      <c r="Q38" s="284"/>
      <c r="R38" s="284"/>
      <c r="S38" s="284"/>
      <c r="T38" s="284"/>
      <c r="U38" s="284"/>
      <c r="V38" s="284"/>
      <c r="W38" s="284"/>
      <c r="X38" s="284"/>
      <c r="Y38" s="284"/>
    </row>
    <row r="39" spans="1:25">
      <c r="A39" s="283"/>
      <c r="B39" s="283"/>
      <c r="C39" s="283"/>
      <c r="D39" s="283"/>
      <c r="E39" s="315"/>
      <c r="F39" s="283"/>
      <c r="G39" s="315"/>
      <c r="H39" s="283"/>
      <c r="I39" s="284"/>
      <c r="J39" s="284"/>
      <c r="K39" s="284"/>
      <c r="L39" s="284"/>
      <c r="M39" s="284"/>
      <c r="N39" s="284"/>
      <c r="O39" s="284"/>
      <c r="P39" s="284"/>
      <c r="Q39" s="284"/>
      <c r="R39" s="284"/>
      <c r="S39" s="284"/>
      <c r="T39" s="284"/>
      <c r="U39" s="284"/>
      <c r="V39" s="284"/>
      <c r="W39" s="284"/>
      <c r="X39" s="284"/>
      <c r="Y39" s="284"/>
    </row>
    <row r="40" spans="1:25">
      <c r="A40" s="283"/>
      <c r="B40" s="283"/>
      <c r="C40" s="283"/>
      <c r="D40" s="283"/>
      <c r="E40" s="283"/>
      <c r="F40" s="283"/>
      <c r="G40" s="283"/>
      <c r="H40" s="283"/>
      <c r="I40" s="284"/>
      <c r="J40" s="284"/>
      <c r="K40" s="284"/>
      <c r="L40" s="284"/>
      <c r="M40" s="284"/>
      <c r="N40" s="284"/>
      <c r="O40" s="284"/>
      <c r="P40" s="284"/>
      <c r="Q40" s="284"/>
      <c r="R40" s="284"/>
      <c r="S40" s="284"/>
      <c r="T40" s="284"/>
      <c r="U40" s="284"/>
      <c r="V40" s="284"/>
      <c r="W40" s="284"/>
      <c r="X40" s="284"/>
      <c r="Y40" s="284"/>
    </row>
    <row r="41" spans="1:25">
      <c r="A41" s="283"/>
      <c r="B41" s="283"/>
      <c r="C41" s="283"/>
      <c r="D41" s="283"/>
      <c r="E41" s="283"/>
      <c r="F41" s="283"/>
      <c r="G41" s="283"/>
      <c r="H41" s="283"/>
      <c r="I41" s="284"/>
      <c r="J41" s="284"/>
      <c r="K41" s="284"/>
      <c r="L41" s="284"/>
      <c r="M41" s="284"/>
      <c r="N41" s="284"/>
      <c r="O41" s="284"/>
      <c r="P41" s="284"/>
      <c r="Q41" s="284"/>
      <c r="R41" s="284"/>
      <c r="S41" s="284"/>
      <c r="T41" s="284"/>
      <c r="U41" s="284"/>
      <c r="V41" s="284"/>
      <c r="W41" s="284"/>
      <c r="X41" s="284"/>
      <c r="Y41" s="284"/>
    </row>
    <row r="42" spans="1:25">
      <c r="A42" s="283"/>
      <c r="B42" s="283"/>
      <c r="C42" s="283"/>
      <c r="D42" s="283"/>
      <c r="E42" s="283"/>
      <c r="F42" s="283"/>
      <c r="G42" s="283"/>
      <c r="H42" s="283"/>
      <c r="I42" s="284"/>
      <c r="J42" s="284"/>
      <c r="K42" s="284"/>
      <c r="L42" s="284"/>
      <c r="M42" s="284"/>
      <c r="N42" s="284"/>
      <c r="O42" s="284"/>
      <c r="P42" s="284"/>
      <c r="Q42" s="284"/>
      <c r="R42" s="284"/>
      <c r="S42" s="284"/>
      <c r="T42" s="284"/>
      <c r="U42" s="284"/>
      <c r="V42" s="284"/>
      <c r="W42" s="284"/>
      <c r="X42" s="284"/>
      <c r="Y42" s="284"/>
    </row>
    <row r="43" spans="1:25">
      <c r="A43" s="283"/>
      <c r="B43" s="283"/>
      <c r="C43" s="283"/>
      <c r="D43" s="283"/>
      <c r="E43" s="283"/>
      <c r="F43" s="283"/>
      <c r="G43" s="283"/>
      <c r="H43" s="283"/>
      <c r="I43" s="284"/>
      <c r="J43" s="284"/>
      <c r="K43" s="284"/>
      <c r="L43" s="284"/>
      <c r="M43" s="284"/>
      <c r="N43" s="284"/>
      <c r="O43" s="284"/>
      <c r="P43" s="284"/>
      <c r="Q43" s="284"/>
      <c r="R43" s="284"/>
      <c r="S43" s="284"/>
      <c r="T43" s="284"/>
      <c r="U43" s="284"/>
      <c r="V43" s="284"/>
      <c r="W43" s="284"/>
      <c r="X43" s="284"/>
      <c r="Y43" s="284"/>
    </row>
    <row r="44" spans="1:25">
      <c r="A44" s="283"/>
      <c r="B44" s="283"/>
      <c r="C44" s="283"/>
      <c r="D44" s="283"/>
      <c r="E44" s="283"/>
      <c r="F44" s="283"/>
      <c r="G44" s="283"/>
      <c r="H44" s="283"/>
      <c r="I44" s="284"/>
      <c r="J44" s="284"/>
      <c r="K44" s="284"/>
      <c r="L44" s="284"/>
      <c r="M44" s="284"/>
      <c r="N44" s="284"/>
      <c r="O44" s="284"/>
      <c r="P44" s="284"/>
      <c r="Q44" s="284"/>
      <c r="R44" s="284"/>
      <c r="S44" s="284"/>
      <c r="T44" s="284"/>
      <c r="U44" s="284"/>
      <c r="V44" s="284"/>
      <c r="W44" s="284"/>
      <c r="X44" s="284"/>
      <c r="Y44" s="284"/>
    </row>
    <row r="45" spans="1:25">
      <c r="A45" s="283"/>
      <c r="B45" s="283"/>
      <c r="C45" s="283"/>
      <c r="D45" s="283"/>
      <c r="E45" s="283"/>
      <c r="F45" s="283"/>
      <c r="G45" s="283"/>
      <c r="H45" s="283"/>
      <c r="I45" s="284"/>
      <c r="J45" s="284"/>
      <c r="K45" s="284"/>
      <c r="L45" s="284"/>
      <c r="M45" s="284"/>
      <c r="N45" s="284"/>
      <c r="O45" s="284"/>
      <c r="P45" s="284"/>
      <c r="Q45" s="284"/>
      <c r="R45" s="284"/>
      <c r="S45" s="284"/>
      <c r="T45" s="284"/>
      <c r="U45" s="284"/>
      <c r="V45" s="284"/>
      <c r="W45" s="284"/>
      <c r="X45" s="284"/>
      <c r="Y45" s="284"/>
    </row>
    <row r="46" spans="1:25">
      <c r="A46" s="283"/>
      <c r="B46" s="283"/>
      <c r="C46" s="283"/>
      <c r="D46" s="283"/>
      <c r="E46" s="283"/>
      <c r="F46" s="283"/>
      <c r="G46" s="283"/>
      <c r="H46" s="283"/>
      <c r="I46" s="284"/>
      <c r="J46" s="284"/>
      <c r="K46" s="284"/>
      <c r="L46" s="284"/>
      <c r="M46" s="284"/>
      <c r="N46" s="284"/>
      <c r="O46" s="284"/>
      <c r="P46" s="284"/>
      <c r="Q46" s="284"/>
      <c r="R46" s="284"/>
      <c r="S46" s="284"/>
      <c r="T46" s="284"/>
      <c r="U46" s="284"/>
      <c r="V46" s="284"/>
      <c r="W46" s="284"/>
      <c r="X46" s="284"/>
      <c r="Y46" s="284"/>
    </row>
    <row r="47" spans="1:25">
      <c r="A47" s="283"/>
      <c r="B47" s="283"/>
      <c r="C47" s="283"/>
      <c r="D47" s="283"/>
      <c r="E47" s="283"/>
      <c r="F47" s="283"/>
      <c r="G47" s="283"/>
      <c r="H47" s="283"/>
      <c r="I47" s="284"/>
      <c r="J47" s="284"/>
      <c r="K47" s="284"/>
      <c r="L47" s="284"/>
      <c r="M47" s="284"/>
      <c r="N47" s="284"/>
      <c r="O47" s="284"/>
      <c r="P47" s="284"/>
      <c r="Q47" s="284"/>
      <c r="R47" s="284"/>
      <c r="S47" s="284"/>
      <c r="T47" s="284"/>
      <c r="U47" s="284"/>
      <c r="V47" s="284"/>
      <c r="W47" s="284"/>
      <c r="X47" s="284"/>
      <c r="Y47" s="284"/>
    </row>
    <row r="48" spans="1:25">
      <c r="A48" s="283"/>
      <c r="B48" s="283"/>
      <c r="C48" s="283"/>
      <c r="D48" s="283"/>
      <c r="E48" s="283"/>
      <c r="F48" s="283"/>
      <c r="G48" s="283"/>
      <c r="H48" s="283"/>
      <c r="I48" s="284"/>
      <c r="J48" s="284"/>
      <c r="K48" s="284"/>
      <c r="L48" s="284"/>
      <c r="M48" s="284"/>
      <c r="N48" s="284"/>
      <c r="O48" s="284"/>
      <c r="P48" s="284"/>
      <c r="Q48" s="284"/>
      <c r="R48" s="284"/>
      <c r="S48" s="284"/>
      <c r="T48" s="284"/>
      <c r="U48" s="284"/>
      <c r="V48" s="284"/>
      <c r="W48" s="284"/>
      <c r="X48" s="284"/>
      <c r="Y48" s="284"/>
    </row>
    <row r="49" spans="1:25">
      <c r="A49" s="283"/>
      <c r="B49" s="283"/>
      <c r="C49" s="283"/>
      <c r="D49" s="283"/>
      <c r="E49" s="283"/>
      <c r="F49" s="283"/>
      <c r="G49" s="283"/>
      <c r="H49" s="283"/>
      <c r="I49" s="284"/>
      <c r="J49" s="284"/>
      <c r="K49" s="284"/>
      <c r="L49" s="284"/>
      <c r="M49" s="284"/>
      <c r="N49" s="284"/>
      <c r="O49" s="284"/>
      <c r="P49" s="284"/>
      <c r="Q49" s="284"/>
      <c r="R49" s="284"/>
      <c r="S49" s="284"/>
      <c r="T49" s="284"/>
      <c r="U49" s="284"/>
      <c r="V49" s="284"/>
      <c r="W49" s="284"/>
      <c r="X49" s="284"/>
      <c r="Y49" s="284"/>
    </row>
    <row r="50" spans="1:25">
      <c r="A50" s="283"/>
      <c r="B50" s="283"/>
      <c r="C50" s="283"/>
      <c r="D50" s="283"/>
      <c r="E50" s="283"/>
      <c r="F50" s="283"/>
      <c r="G50" s="283"/>
      <c r="H50" s="283"/>
      <c r="I50" s="284"/>
      <c r="J50" s="284"/>
      <c r="K50" s="284"/>
      <c r="L50" s="284"/>
      <c r="M50" s="284"/>
      <c r="N50" s="284"/>
      <c r="O50" s="284"/>
      <c r="P50" s="284"/>
      <c r="Q50" s="284"/>
      <c r="R50" s="284"/>
      <c r="S50" s="284"/>
      <c r="T50" s="284"/>
      <c r="U50" s="284"/>
      <c r="V50" s="284"/>
      <c r="W50" s="284"/>
      <c r="X50" s="284"/>
      <c r="Y50" s="284"/>
    </row>
    <row r="51" spans="1:25">
      <c r="A51" s="284"/>
      <c r="B51" s="284"/>
      <c r="C51" s="284"/>
      <c r="D51" s="284"/>
      <c r="E51" s="284"/>
      <c r="F51" s="284"/>
      <c r="G51" s="284"/>
      <c r="H51" s="284"/>
      <c r="I51" s="284"/>
      <c r="J51" s="284"/>
      <c r="K51" s="284"/>
      <c r="L51" s="284"/>
      <c r="M51" s="284"/>
      <c r="N51" s="284"/>
      <c r="O51" s="284"/>
      <c r="P51" s="284"/>
      <c r="Q51" s="284"/>
      <c r="R51" s="284"/>
      <c r="S51" s="284"/>
      <c r="T51" s="284"/>
      <c r="U51" s="284"/>
      <c r="V51" s="284"/>
      <c r="W51" s="284"/>
      <c r="X51" s="284"/>
      <c r="Y51" s="284"/>
    </row>
    <row r="52" spans="1:25">
      <c r="A52" s="284"/>
      <c r="B52" s="284"/>
      <c r="C52" s="284"/>
      <c r="D52" s="284"/>
      <c r="E52" s="284"/>
      <c r="F52" s="284"/>
      <c r="G52" s="284"/>
      <c r="H52" s="284"/>
      <c r="I52" s="284"/>
      <c r="J52" s="284"/>
      <c r="K52" s="284"/>
      <c r="L52" s="284"/>
      <c r="M52" s="284"/>
      <c r="N52" s="284"/>
      <c r="O52" s="284"/>
      <c r="P52" s="284"/>
      <c r="Q52" s="284"/>
      <c r="R52" s="284"/>
      <c r="S52" s="284"/>
      <c r="T52" s="284"/>
      <c r="U52" s="284"/>
      <c r="V52" s="284"/>
      <c r="W52" s="284"/>
      <c r="X52" s="284"/>
      <c r="Y52" s="284"/>
    </row>
    <row r="53" spans="1:25">
      <c r="A53" s="284"/>
      <c r="B53" s="284"/>
      <c r="C53" s="284"/>
      <c r="D53" s="284"/>
      <c r="E53" s="284"/>
      <c r="F53" s="284"/>
      <c r="G53" s="284"/>
      <c r="H53" s="284"/>
      <c r="I53" s="284"/>
      <c r="J53" s="284"/>
      <c r="K53" s="284"/>
      <c r="L53" s="284"/>
      <c r="M53" s="284"/>
      <c r="N53" s="284"/>
      <c r="O53" s="284"/>
      <c r="P53" s="284"/>
      <c r="Q53" s="284"/>
      <c r="R53" s="284"/>
      <c r="S53" s="284"/>
      <c r="T53" s="284"/>
      <c r="U53" s="284"/>
      <c r="V53" s="284"/>
      <c r="W53" s="284"/>
      <c r="X53" s="284"/>
      <c r="Y53" s="284"/>
    </row>
    <row r="54" spans="1:25">
      <c r="A54" s="284"/>
      <c r="B54" s="284"/>
      <c r="C54" s="284"/>
      <c r="D54" s="284"/>
      <c r="E54" s="284"/>
      <c r="F54" s="284"/>
      <c r="G54" s="284"/>
      <c r="H54" s="284"/>
      <c r="I54" s="284"/>
      <c r="J54" s="284"/>
      <c r="K54" s="284"/>
      <c r="L54" s="284"/>
      <c r="M54" s="284"/>
      <c r="N54" s="284"/>
      <c r="O54" s="284"/>
      <c r="P54" s="284"/>
      <c r="Q54" s="284"/>
      <c r="R54" s="284"/>
      <c r="S54" s="284"/>
      <c r="T54" s="284"/>
      <c r="U54" s="284"/>
      <c r="V54" s="284"/>
      <c r="W54" s="284"/>
      <c r="X54" s="284"/>
      <c r="Y54" s="284"/>
    </row>
    <row r="55" spans="1:25">
      <c r="A55" s="284"/>
      <c r="B55" s="284"/>
      <c r="C55" s="284"/>
      <c r="D55" s="284"/>
      <c r="E55" s="284"/>
      <c r="F55" s="284"/>
      <c r="G55" s="284"/>
      <c r="H55" s="284"/>
      <c r="I55" s="284"/>
      <c r="J55" s="284"/>
      <c r="K55" s="284"/>
      <c r="L55" s="284"/>
      <c r="M55" s="284"/>
      <c r="N55" s="284"/>
      <c r="O55" s="284"/>
      <c r="P55" s="284"/>
      <c r="Q55" s="284"/>
      <c r="R55" s="284"/>
      <c r="S55" s="284"/>
      <c r="T55" s="284"/>
      <c r="U55" s="284"/>
      <c r="V55" s="284"/>
      <c r="W55" s="284"/>
      <c r="X55" s="284"/>
      <c r="Y55" s="284"/>
    </row>
    <row r="56" spans="1:25">
      <c r="A56" s="284"/>
      <c r="B56" s="284"/>
      <c r="C56" s="284"/>
      <c r="D56" s="284"/>
      <c r="E56" s="284"/>
      <c r="F56" s="284"/>
      <c r="G56" s="284"/>
      <c r="H56" s="284"/>
      <c r="I56" s="284"/>
      <c r="J56" s="284"/>
      <c r="K56" s="284"/>
      <c r="L56" s="284"/>
      <c r="M56" s="284"/>
      <c r="N56" s="284"/>
      <c r="O56" s="284"/>
      <c r="P56" s="284"/>
      <c r="Q56" s="284"/>
      <c r="R56" s="284"/>
      <c r="S56" s="284"/>
      <c r="T56" s="284"/>
      <c r="U56" s="284"/>
      <c r="V56" s="284"/>
      <c r="W56" s="284"/>
      <c r="X56" s="284"/>
      <c r="Y56" s="284"/>
    </row>
    <row r="57" spans="1:25">
      <c r="A57" s="284"/>
      <c r="B57" s="284"/>
      <c r="C57" s="284"/>
      <c r="D57" s="284"/>
      <c r="E57" s="284"/>
      <c r="F57" s="284"/>
      <c r="G57" s="284"/>
      <c r="H57" s="284"/>
      <c r="I57" s="284"/>
      <c r="J57" s="284"/>
      <c r="K57" s="284"/>
      <c r="L57" s="284"/>
      <c r="M57" s="284"/>
      <c r="N57" s="284"/>
      <c r="O57" s="284"/>
      <c r="P57" s="284"/>
      <c r="Q57" s="284"/>
      <c r="R57" s="284"/>
      <c r="S57" s="284"/>
      <c r="T57" s="284"/>
      <c r="U57" s="284"/>
      <c r="V57" s="284"/>
      <c r="W57" s="284"/>
      <c r="X57" s="284"/>
      <c r="Y57" s="284"/>
    </row>
    <row r="58" spans="1:25">
      <c r="A58" s="284"/>
      <c r="B58" s="284"/>
      <c r="C58" s="284"/>
      <c r="D58" s="284"/>
      <c r="E58" s="284"/>
      <c r="F58" s="284"/>
      <c r="G58" s="284"/>
      <c r="H58" s="284"/>
      <c r="I58" s="284"/>
      <c r="J58" s="284"/>
      <c r="K58" s="284"/>
      <c r="L58" s="284"/>
      <c r="M58" s="284"/>
      <c r="N58" s="284"/>
      <c r="O58" s="284"/>
      <c r="P58" s="284"/>
      <c r="Q58" s="284"/>
      <c r="R58" s="284"/>
      <c r="S58" s="284"/>
      <c r="T58" s="284"/>
      <c r="U58" s="284"/>
      <c r="V58" s="284"/>
      <c r="W58" s="284"/>
      <c r="X58" s="284"/>
      <c r="Y58" s="284"/>
    </row>
    <row r="59" spans="1:25">
      <c r="A59" s="284"/>
      <c r="B59" s="284"/>
      <c r="C59" s="284"/>
      <c r="D59" s="284"/>
      <c r="E59" s="284"/>
      <c r="F59" s="284"/>
      <c r="G59" s="284"/>
      <c r="H59" s="284"/>
      <c r="I59" s="284"/>
      <c r="J59" s="284"/>
      <c r="K59" s="284"/>
      <c r="L59" s="284"/>
      <c r="M59" s="284"/>
      <c r="N59" s="284"/>
      <c r="O59" s="284"/>
      <c r="P59" s="284"/>
      <c r="Q59" s="284"/>
      <c r="R59" s="284"/>
      <c r="S59" s="284"/>
      <c r="T59" s="284"/>
      <c r="U59" s="284"/>
      <c r="V59" s="284"/>
      <c r="W59" s="284"/>
      <c r="X59" s="284"/>
      <c r="Y59" s="284"/>
    </row>
    <row r="60" spans="1:25">
      <c r="A60" s="284"/>
      <c r="B60" s="284"/>
      <c r="C60" s="284"/>
      <c r="D60" s="284"/>
      <c r="E60" s="284"/>
      <c r="F60" s="284"/>
      <c r="G60" s="284"/>
      <c r="H60" s="284"/>
      <c r="I60" s="284"/>
      <c r="J60" s="284"/>
      <c r="K60" s="284"/>
      <c r="L60" s="284"/>
      <c r="M60" s="284"/>
      <c r="N60" s="284"/>
      <c r="O60" s="284"/>
      <c r="P60" s="284"/>
      <c r="Q60" s="284"/>
      <c r="R60" s="284"/>
      <c r="S60" s="284"/>
      <c r="T60" s="284"/>
      <c r="U60" s="284"/>
      <c r="V60" s="284"/>
      <c r="W60" s="284"/>
      <c r="X60" s="284"/>
      <c r="Y60" s="284"/>
    </row>
    <row r="61" spans="1:25">
      <c r="A61" s="284"/>
      <c r="B61" s="284"/>
      <c r="C61" s="284"/>
      <c r="D61" s="284"/>
      <c r="E61" s="284"/>
      <c r="F61" s="284"/>
      <c r="G61" s="284"/>
      <c r="H61" s="284"/>
      <c r="I61" s="284"/>
      <c r="J61" s="284"/>
      <c r="K61" s="284"/>
      <c r="L61" s="284"/>
      <c r="M61" s="284"/>
      <c r="N61" s="284"/>
      <c r="O61" s="284"/>
      <c r="P61" s="284"/>
      <c r="Q61" s="284"/>
      <c r="R61" s="284"/>
      <c r="S61" s="284"/>
      <c r="T61" s="284"/>
      <c r="U61" s="284"/>
      <c r="V61" s="284"/>
      <c r="W61" s="284"/>
      <c r="X61" s="284"/>
      <c r="Y61" s="284"/>
    </row>
    <row r="62" spans="1:25">
      <c r="I62" s="284"/>
      <c r="J62" s="284"/>
      <c r="K62" s="284"/>
      <c r="L62" s="284"/>
      <c r="M62" s="284"/>
      <c r="N62" s="284"/>
      <c r="O62" s="284"/>
      <c r="P62" s="284"/>
      <c r="Q62" s="284"/>
      <c r="R62" s="284"/>
      <c r="S62" s="284"/>
      <c r="T62" s="284"/>
      <c r="U62" s="284"/>
      <c r="V62" s="284"/>
      <c r="W62" s="284"/>
      <c r="X62" s="284"/>
      <c r="Y62" s="284"/>
    </row>
    <row r="63" spans="1:25">
      <c r="I63" s="284"/>
      <c r="J63" s="284"/>
      <c r="K63" s="284"/>
      <c r="L63" s="284"/>
      <c r="M63" s="284"/>
      <c r="N63" s="284"/>
      <c r="O63" s="284"/>
      <c r="P63" s="284"/>
      <c r="Q63" s="284"/>
      <c r="R63" s="284"/>
      <c r="S63" s="284"/>
      <c r="T63" s="284"/>
      <c r="U63" s="284"/>
      <c r="V63" s="284"/>
      <c r="W63" s="284"/>
      <c r="X63" s="284"/>
      <c r="Y63" s="284"/>
    </row>
    <row r="64" spans="1:25">
      <c r="I64" s="284"/>
      <c r="J64" s="284"/>
      <c r="K64" s="284"/>
      <c r="L64" s="284"/>
      <c r="M64" s="284"/>
      <c r="N64" s="284"/>
      <c r="O64" s="284"/>
      <c r="P64" s="284"/>
      <c r="Q64" s="284"/>
      <c r="R64" s="284"/>
      <c r="S64" s="284"/>
      <c r="T64" s="284"/>
      <c r="U64" s="284"/>
      <c r="V64" s="284"/>
      <c r="W64" s="284"/>
      <c r="X64" s="284"/>
      <c r="Y64" s="284"/>
    </row>
    <row r="65" spans="9:25">
      <c r="I65" s="284"/>
      <c r="J65" s="284"/>
      <c r="K65" s="284"/>
      <c r="L65" s="284"/>
      <c r="M65" s="284"/>
      <c r="N65" s="284"/>
      <c r="O65" s="284"/>
      <c r="P65" s="284"/>
      <c r="Q65" s="284"/>
      <c r="R65" s="284"/>
      <c r="S65" s="284"/>
      <c r="T65" s="284"/>
      <c r="U65" s="284"/>
      <c r="V65" s="284"/>
      <c r="W65" s="284"/>
      <c r="X65" s="284"/>
      <c r="Y65" s="284"/>
    </row>
    <row r="66" spans="9:25">
      <c r="I66" s="284"/>
      <c r="J66" s="284"/>
      <c r="K66" s="284"/>
      <c r="L66" s="284"/>
      <c r="M66" s="284"/>
      <c r="N66" s="284"/>
      <c r="O66" s="284"/>
      <c r="P66" s="284"/>
      <c r="Q66" s="284"/>
      <c r="R66" s="284"/>
      <c r="S66" s="284"/>
      <c r="T66" s="284"/>
      <c r="U66" s="284"/>
      <c r="V66" s="284"/>
      <c r="W66" s="284"/>
      <c r="X66" s="284"/>
      <c r="Y66" s="284"/>
    </row>
    <row r="67" spans="9:25">
      <c r="I67" s="284"/>
      <c r="J67" s="284"/>
      <c r="K67" s="284"/>
      <c r="L67" s="284"/>
      <c r="M67" s="284"/>
      <c r="N67" s="284"/>
      <c r="O67" s="284"/>
      <c r="P67" s="284"/>
      <c r="Q67" s="284"/>
      <c r="R67" s="284"/>
      <c r="S67" s="284"/>
      <c r="T67" s="284"/>
      <c r="U67" s="284"/>
      <c r="V67" s="284"/>
      <c r="W67" s="284"/>
      <c r="X67" s="284"/>
      <c r="Y67" s="28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W84"/>
  <sheetViews>
    <sheetView showGridLines="0" zoomScale="60" zoomScaleNormal="60" workbookViewId="0">
      <selection activeCell="Y29" sqref="Y29"/>
    </sheetView>
  </sheetViews>
  <sheetFormatPr defaultRowHeight="18" outlineLevelRow="1" outlineLevelCol="1"/>
  <cols>
    <col min="1" max="1" width="10.77734375" style="1" customWidth="1"/>
    <col min="2" max="2" width="0.88671875" style="1" customWidth="1"/>
    <col min="3" max="3" width="54.77734375" style="1" customWidth="1"/>
    <col min="4" max="4" width="0.88671875" style="1" customWidth="1"/>
    <col min="5" max="7" width="18.77734375" style="1" customWidth="1"/>
    <col min="8" max="8" width="0.88671875" style="1" customWidth="1"/>
    <col min="9" max="11" width="18.77734375" style="1" customWidth="1"/>
    <col min="12" max="12" width="0.88671875" style="1" hidden="1" customWidth="1" outlineLevel="1"/>
    <col min="13" max="15" width="18.77734375" style="1" hidden="1" customWidth="1" outlineLevel="1"/>
    <col min="16" max="16" width="0.88671875" style="1" hidden="1" customWidth="1" outlineLevel="1"/>
    <col min="17" max="19" width="18.77734375" style="1" hidden="1" customWidth="1" outlineLevel="1"/>
    <col min="20" max="20" width="1.77734375" style="1" customWidth="1" collapsed="1"/>
    <col min="21" max="23" width="18.77734375" style="1" customWidth="1"/>
    <col min="24" max="24" width="1.77734375" style="1" customWidth="1"/>
    <col min="25" max="27" width="18.77734375" style="1" customWidth="1"/>
    <col min="28" max="28" width="15" style="128" customWidth="1"/>
    <col min="29" max="29" width="8.5546875" style="120" customWidth="1"/>
    <col min="30" max="30" width="13.109375" style="120" bestFit="1" customWidth="1"/>
    <col min="31" max="31" width="31.6640625" style="1" bestFit="1" customWidth="1"/>
    <col min="32" max="32" width="59.109375" style="1" customWidth="1"/>
    <col min="33" max="33" width="46.33203125" style="1" customWidth="1"/>
    <col min="34" max="34" width="32.21875" style="1" customWidth="1"/>
    <col min="35" max="35" width="33.109375" style="1" customWidth="1"/>
    <col min="36" max="16384" width="8.88671875" style="1"/>
  </cols>
  <sheetData>
    <row r="1" spans="1:34">
      <c r="A1" s="6"/>
      <c r="B1" s="7"/>
      <c r="C1" s="8"/>
      <c r="D1" s="7"/>
      <c r="E1" s="9">
        <v>41640</v>
      </c>
      <c r="F1" s="9">
        <v>42004</v>
      </c>
      <c r="G1" s="10">
        <v>2014</v>
      </c>
      <c r="H1" s="7"/>
      <c r="I1" s="9">
        <v>42005</v>
      </c>
      <c r="J1" s="9">
        <v>42369</v>
      </c>
      <c r="K1" s="10">
        <v>2015</v>
      </c>
      <c r="L1" s="7"/>
      <c r="M1" s="9">
        <v>42005</v>
      </c>
      <c r="N1" s="9">
        <v>42185</v>
      </c>
      <c r="O1" s="10" t="s">
        <v>62</v>
      </c>
      <c r="P1" s="7"/>
      <c r="Q1" s="9">
        <v>42095</v>
      </c>
      <c r="R1" s="9">
        <v>42185</v>
      </c>
      <c r="S1" s="10" t="s">
        <v>60</v>
      </c>
      <c r="T1" s="7"/>
      <c r="U1" s="9">
        <v>42370</v>
      </c>
      <c r="V1" s="9">
        <v>42551</v>
      </c>
      <c r="W1" s="10" t="s">
        <v>62</v>
      </c>
      <c r="X1" s="7"/>
      <c r="Y1" s="9">
        <v>42370</v>
      </c>
      <c r="Z1" s="9">
        <v>42735</v>
      </c>
      <c r="AA1" s="10" t="s">
        <v>580</v>
      </c>
      <c r="AB1" s="125"/>
      <c r="AC1" s="119"/>
      <c r="AD1" s="119"/>
      <c r="AE1" s="11" t="s">
        <v>7</v>
      </c>
    </row>
    <row r="2" spans="1:34">
      <c r="A2" s="6"/>
      <c r="B2" s="7"/>
      <c r="C2" s="12"/>
      <c r="D2" s="7"/>
      <c r="E2" s="106"/>
      <c r="F2" s="130">
        <v>2014</v>
      </c>
      <c r="G2" s="107"/>
      <c r="H2" s="7"/>
      <c r="I2" s="106"/>
      <c r="J2" s="130">
        <v>2015</v>
      </c>
      <c r="K2" s="107"/>
      <c r="L2" s="7"/>
      <c r="M2" s="106"/>
      <c r="N2" s="130" t="s">
        <v>62</v>
      </c>
      <c r="O2" s="107"/>
      <c r="P2" s="7"/>
      <c r="Q2" s="106"/>
      <c r="R2" s="130" t="s">
        <v>60</v>
      </c>
      <c r="S2" s="107"/>
      <c r="T2" s="7"/>
      <c r="U2" s="106"/>
      <c r="V2" s="130" t="s">
        <v>62</v>
      </c>
      <c r="W2" s="107"/>
      <c r="X2" s="7"/>
      <c r="Y2" s="429" t="s">
        <v>580</v>
      </c>
      <c r="Z2" s="430"/>
      <c r="AA2" s="431"/>
      <c r="AB2" s="125"/>
      <c r="AC2" s="119"/>
      <c r="AD2" s="119"/>
      <c r="AE2" s="13" t="s">
        <v>91</v>
      </c>
    </row>
    <row r="3" spans="1:34">
      <c r="A3" s="6"/>
      <c r="B3" s="7"/>
      <c r="C3" s="94"/>
      <c r="D3" s="7"/>
      <c r="E3" s="108"/>
      <c r="F3" s="139" t="s">
        <v>30</v>
      </c>
      <c r="G3" s="109"/>
      <c r="H3" s="7"/>
      <c r="I3" s="108"/>
      <c r="J3" s="139" t="s">
        <v>86</v>
      </c>
      <c r="K3" s="109"/>
      <c r="L3" s="7"/>
      <c r="M3" s="108"/>
      <c r="N3" s="139" t="s">
        <v>56</v>
      </c>
      <c r="O3" s="109"/>
      <c r="P3" s="7"/>
      <c r="Q3" s="108"/>
      <c r="R3" s="139" t="s">
        <v>61</v>
      </c>
      <c r="S3" s="109"/>
      <c r="T3" s="7"/>
      <c r="U3" s="108"/>
      <c r="V3" s="139" t="s">
        <v>532</v>
      </c>
      <c r="W3" s="109"/>
      <c r="X3" s="7"/>
      <c r="Y3" s="432"/>
      <c r="Z3" s="433"/>
      <c r="AA3" s="434"/>
      <c r="AB3" s="125"/>
      <c r="AC3" s="119"/>
      <c r="AD3" s="119"/>
      <c r="AE3" s="11" t="s">
        <v>29</v>
      </c>
      <c r="AF3" s="11" t="s">
        <v>58</v>
      </c>
    </row>
    <row r="4" spans="1:34">
      <c r="A4" s="6"/>
      <c r="B4" s="7"/>
      <c r="C4" s="90"/>
      <c r="D4" s="7"/>
      <c r="E4" s="91"/>
      <c r="F4" s="92"/>
      <c r="G4" s="93"/>
      <c r="H4" s="7"/>
      <c r="I4" s="91"/>
      <c r="J4" s="92"/>
      <c r="K4" s="93"/>
      <c r="L4" s="7"/>
      <c r="M4" s="91"/>
      <c r="N4" s="92"/>
      <c r="O4" s="93"/>
      <c r="P4" s="7"/>
      <c r="Q4" s="91"/>
      <c r="R4" s="92"/>
      <c r="S4" s="93"/>
      <c r="T4" s="7"/>
      <c r="U4" s="91"/>
      <c r="V4" s="92"/>
      <c r="W4" s="93"/>
      <c r="X4" s="7"/>
      <c r="Y4" s="91"/>
      <c r="Z4" s="92"/>
      <c r="AA4" s="93"/>
      <c r="AB4" s="125"/>
      <c r="AC4" s="119"/>
      <c r="AD4" s="119"/>
      <c r="AE4" s="13">
        <v>64</v>
      </c>
      <c r="AF4" s="13"/>
    </row>
    <row r="5" spans="1:34">
      <c r="A5" s="6"/>
      <c r="B5" s="7"/>
      <c r="C5" s="88" t="s">
        <v>527</v>
      </c>
      <c r="D5" s="34"/>
      <c r="E5" s="15"/>
      <c r="F5" s="89">
        <v>48</v>
      </c>
      <c r="G5" s="16"/>
      <c r="H5" s="34"/>
      <c r="I5" s="15"/>
      <c r="J5" s="89">
        <v>48</v>
      </c>
      <c r="K5" s="16"/>
      <c r="L5" s="34"/>
      <c r="M5" s="15"/>
      <c r="N5" s="89">
        <f>$AE$4</f>
        <v>64</v>
      </c>
      <c r="O5" s="16"/>
      <c r="P5" s="34"/>
      <c r="Q5" s="15"/>
      <c r="R5" s="89">
        <f>$AE$4</f>
        <v>64</v>
      </c>
      <c r="S5" s="16"/>
      <c r="T5" s="34"/>
      <c r="U5" s="15"/>
      <c r="V5" s="89">
        <v>48</v>
      </c>
      <c r="W5" s="16"/>
      <c r="X5" s="34"/>
      <c r="Y5" s="15"/>
      <c r="Z5" s="89">
        <v>48</v>
      </c>
      <c r="AA5" s="16"/>
      <c r="AB5" s="125"/>
      <c r="AC5" s="119"/>
      <c r="AD5" s="119"/>
      <c r="AE5" s="11" t="s">
        <v>8</v>
      </c>
      <c r="AF5" s="11" t="s">
        <v>72</v>
      </c>
      <c r="AG5" s="11" t="s">
        <v>84</v>
      </c>
      <c r="AH5" s="11" t="s">
        <v>85</v>
      </c>
    </row>
    <row r="6" spans="1:34">
      <c r="A6" s="6"/>
      <c r="B6" s="7"/>
      <c r="C6" s="88" t="s">
        <v>528</v>
      </c>
      <c r="D6" s="34"/>
      <c r="E6" s="15"/>
      <c r="F6" s="89">
        <v>16</v>
      </c>
      <c r="G6" s="16"/>
      <c r="H6" s="34"/>
      <c r="I6" s="15"/>
      <c r="J6" s="89">
        <v>16</v>
      </c>
      <c r="K6" s="16"/>
      <c r="L6" s="34"/>
      <c r="M6" s="15"/>
      <c r="N6" s="89"/>
      <c r="O6" s="16"/>
      <c r="P6" s="34"/>
      <c r="Q6" s="15"/>
      <c r="R6" s="89"/>
      <c r="S6" s="16"/>
      <c r="T6" s="34"/>
      <c r="U6" s="15"/>
      <c r="V6" s="89">
        <v>16</v>
      </c>
      <c r="W6" s="16"/>
      <c r="X6" s="34"/>
      <c r="Y6" s="15"/>
      <c r="Z6" s="89">
        <v>16</v>
      </c>
      <c r="AA6" s="16"/>
      <c r="AB6" s="125"/>
      <c r="AC6" s="119"/>
      <c r="AD6" s="119"/>
      <c r="AE6" s="13" t="s">
        <v>521</v>
      </c>
      <c r="AF6" s="13" t="s">
        <v>520</v>
      </c>
      <c r="AG6" s="13" t="s">
        <v>522</v>
      </c>
      <c r="AH6" s="13" t="s">
        <v>523</v>
      </c>
    </row>
    <row r="7" spans="1:34">
      <c r="A7" s="6"/>
      <c r="B7" s="7"/>
      <c r="C7" s="19" t="s">
        <v>29</v>
      </c>
      <c r="D7" s="34"/>
      <c r="E7" s="110"/>
      <c r="F7" s="111">
        <f>F6+F5</f>
        <v>64</v>
      </c>
      <c r="G7" s="112"/>
      <c r="H7" s="34"/>
      <c r="I7" s="110"/>
      <c r="J7" s="111">
        <f>J6+J5</f>
        <v>64</v>
      </c>
      <c r="K7" s="112"/>
      <c r="L7" s="34"/>
      <c r="M7" s="110"/>
      <c r="N7" s="111">
        <f>$AF$4</f>
        <v>0</v>
      </c>
      <c r="O7" s="112"/>
      <c r="P7" s="34"/>
      <c r="Q7" s="110"/>
      <c r="R7" s="111">
        <f>$AF$4</f>
        <v>0</v>
      </c>
      <c r="S7" s="112"/>
      <c r="T7" s="34"/>
      <c r="U7" s="110"/>
      <c r="V7" s="111">
        <f>V6+V5</f>
        <v>64</v>
      </c>
      <c r="W7" s="112"/>
      <c r="X7" s="34"/>
      <c r="Y7" s="110"/>
      <c r="Z7" s="111">
        <f>Z6+Z5</f>
        <v>64</v>
      </c>
      <c r="AA7" s="112"/>
      <c r="AB7" s="125"/>
      <c r="AC7" s="119"/>
      <c r="AD7" s="119"/>
      <c r="AE7" s="11" t="s">
        <v>9</v>
      </c>
      <c r="AF7" s="11" t="s">
        <v>10</v>
      </c>
      <c r="AG7" s="11" t="s">
        <v>10</v>
      </c>
      <c r="AH7" s="11" t="s">
        <v>10</v>
      </c>
    </row>
    <row r="8" spans="1:34">
      <c r="A8" s="6"/>
      <c r="B8" s="7"/>
      <c r="C8" s="18"/>
      <c r="D8" s="7"/>
      <c r="E8" s="113"/>
      <c r="F8" s="114"/>
      <c r="G8" s="115"/>
      <c r="H8" s="7"/>
      <c r="I8" s="113"/>
      <c r="J8" s="114"/>
      <c r="K8" s="115"/>
      <c r="L8" s="7"/>
      <c r="M8" s="113"/>
      <c r="N8" s="114"/>
      <c r="O8" s="115"/>
      <c r="P8" s="7"/>
      <c r="Q8" s="113"/>
      <c r="R8" s="114"/>
      <c r="S8" s="115"/>
      <c r="T8" s="7"/>
      <c r="U8" s="113"/>
      <c r="V8" s="114"/>
      <c r="W8" s="115"/>
      <c r="X8" s="7"/>
      <c r="Y8" s="113"/>
      <c r="Z8" s="114"/>
      <c r="AA8" s="115"/>
      <c r="AB8" s="125"/>
      <c r="AC8" s="119"/>
      <c r="AD8" s="119"/>
      <c r="AE8" s="11" t="str">
        <f>"'"&amp;$AE2&amp;"'"&amp;"!"&amp;AE6</f>
        <v>'Quail Run'!$B$2:$B$590</v>
      </c>
      <c r="AF8" s="11" t="str">
        <f>"'"&amp;$AE2&amp;"'"&amp;"!"&amp;AF6</f>
        <v>'Quail Run'!$H$2:$H$590</v>
      </c>
      <c r="AG8" s="11" t="str">
        <f>"'"&amp;$AE2&amp;"'"&amp;"!"&amp;AG6</f>
        <v>'Quail Run'!$I$2:$I$590</v>
      </c>
      <c r="AH8" s="11" t="str">
        <f>"'"&amp;$AE2&amp;"'"&amp;"!"&amp;AH6</f>
        <v>'Quail Run'!$J$2:$J$590</v>
      </c>
    </row>
    <row r="9" spans="1:34">
      <c r="B9" s="7"/>
      <c r="C9" s="18" t="s">
        <v>11</v>
      </c>
      <c r="D9" s="7"/>
      <c r="E9" s="95" t="s">
        <v>12</v>
      </c>
      <c r="F9" s="138" t="s">
        <v>63</v>
      </c>
      <c r="G9" s="21" t="s">
        <v>13</v>
      </c>
      <c r="H9" s="7"/>
      <c r="I9" s="95" t="s">
        <v>12</v>
      </c>
      <c r="J9" s="138" t="s">
        <v>63</v>
      </c>
      <c r="K9" s="21" t="s">
        <v>13</v>
      </c>
      <c r="L9" s="7"/>
      <c r="M9" s="95" t="s">
        <v>12</v>
      </c>
      <c r="N9" s="138" t="s">
        <v>63</v>
      </c>
      <c r="O9" s="21" t="s">
        <v>13</v>
      </c>
      <c r="P9" s="7"/>
      <c r="Q9" s="95" t="s">
        <v>12</v>
      </c>
      <c r="R9" s="138" t="s">
        <v>63</v>
      </c>
      <c r="S9" s="21" t="s">
        <v>13</v>
      </c>
      <c r="T9" s="7"/>
      <c r="U9" s="95" t="s">
        <v>12</v>
      </c>
      <c r="V9" s="138" t="s">
        <v>63</v>
      </c>
      <c r="W9" s="21" t="s">
        <v>13</v>
      </c>
      <c r="X9" s="7"/>
      <c r="Y9" s="95" t="s">
        <v>12</v>
      </c>
      <c r="Z9" s="138" t="s">
        <v>63</v>
      </c>
      <c r="AA9" s="21" t="s">
        <v>13</v>
      </c>
      <c r="AB9" s="125">
        <f>U10/V5</f>
        <v>0.93055555555555547</v>
      </c>
      <c r="AC9" s="119"/>
      <c r="AD9" s="119"/>
      <c r="AE9" s="116"/>
      <c r="AG9" s="116"/>
      <c r="AH9" s="116"/>
    </row>
    <row r="10" spans="1:34">
      <c r="A10" s="17">
        <v>101</v>
      </c>
      <c r="B10" s="7"/>
      <c r="C10" s="22" t="s">
        <v>550</v>
      </c>
      <c r="D10" s="7"/>
      <c r="E10" s="224">
        <f>'Quail Run - UW'!E10</f>
        <v>43</v>
      </c>
      <c r="F10" s="225">
        <f ca="1">F17</f>
        <v>3746.9086627906968</v>
      </c>
      <c r="G10" s="226">
        <f>IFERROR(E10/E$12,0)</f>
        <v>0.84313725490196079</v>
      </c>
      <c r="H10" s="7"/>
      <c r="I10" s="224">
        <f>'Quail Run - UW'!I10</f>
        <v>45.75</v>
      </c>
      <c r="J10" s="225">
        <f ca="1">J17</f>
        <v>3881.2332240437158</v>
      </c>
      <c r="K10" s="226">
        <f>IFERROR(I10/I$12,0)</f>
        <v>0.85116279069767442</v>
      </c>
      <c r="L10" s="7"/>
      <c r="M10" s="23">
        <f t="array" aca="1" ref="M10" ca="1">IFERROR(SUM(IF($A10=INDIRECT($AE$8),IF(M$1&lt;=INDIRECT(#REF!),IF(N$1&gt;=INDIRECT(#REF!),INDIRECT($AF$8)/M$61,""),""),"")),0)</f>
        <v>0</v>
      </c>
      <c r="N10" s="137">
        <f ca="1">N17</f>
        <v>0</v>
      </c>
      <c r="O10" s="132">
        <f ca="1">IFERROR(M10/M$12,0)</f>
        <v>0</v>
      </c>
      <c r="P10" s="7"/>
      <c r="Q10" s="23">
        <f t="array" aca="1" ref="Q10" ca="1">IFERROR(SUM(IF($A10=INDIRECT($AE$8),IF(Q$1&lt;=INDIRECT(#REF!),IF(R$1&gt;=INDIRECT(#REF!),INDIRECT($AF$8)/Q$61,""),""),"")),0)</f>
        <v>0</v>
      </c>
      <c r="R10" s="137">
        <f ca="1">R17</f>
        <v>0</v>
      </c>
      <c r="S10" s="132">
        <f ca="1">IFERROR(Q10/Q$12,0)</f>
        <v>0</v>
      </c>
      <c r="T10" s="7"/>
      <c r="U10" s="224">
        <f>'Quail Run - UW'!U10</f>
        <v>44.666666666666664</v>
      </c>
      <c r="V10" s="225">
        <f ca="1">V17</f>
        <v>3975.6386567164182</v>
      </c>
      <c r="W10" s="226">
        <f>IFERROR(U10/U$12,0)</f>
        <v>0.84810126582278478</v>
      </c>
      <c r="X10" s="7"/>
      <c r="Y10" s="224">
        <v>45</v>
      </c>
      <c r="Z10" s="225">
        <f>Z17</f>
        <v>4000</v>
      </c>
      <c r="AA10" s="226">
        <f>IFERROR(Y10/Y$12,0)</f>
        <v>0.77586206896551724</v>
      </c>
      <c r="AB10" s="125" t="s">
        <v>577</v>
      </c>
      <c r="AC10" s="119"/>
      <c r="AD10" s="119"/>
      <c r="AE10" s="116"/>
      <c r="AG10" s="116"/>
      <c r="AH10" s="116"/>
    </row>
    <row r="11" spans="1:34">
      <c r="A11" s="17">
        <v>102</v>
      </c>
      <c r="B11" s="7"/>
      <c r="C11" s="22" t="s">
        <v>546</v>
      </c>
      <c r="D11" s="7"/>
      <c r="E11" s="224">
        <f>'Quail Run - UW'!E11</f>
        <v>8</v>
      </c>
      <c r="F11" s="225">
        <f ca="1">F18</f>
        <v>5605.1913541666663</v>
      </c>
      <c r="G11" s="226">
        <f>IFERROR(E11/E$12,0)</f>
        <v>0.15686274509803921</v>
      </c>
      <c r="H11" s="7"/>
      <c r="I11" s="224">
        <f>'Quail Run - UW'!I11</f>
        <v>8</v>
      </c>
      <c r="J11" s="225">
        <f ca="1">J18</f>
        <v>4187.0323958333329</v>
      </c>
      <c r="K11" s="226">
        <f>IFERROR(I11/I$12,0)</f>
        <v>0.14883720930232558</v>
      </c>
      <c r="L11" s="7"/>
      <c r="M11" s="23">
        <f t="array" aca="1" ref="M11" ca="1">IFERROR(SUM(IF($A11=INDIRECT($AE$8),IF(M$1&lt;=INDIRECT(#REF!),IF(N$1&gt;=INDIRECT(#REF!),INDIRECT($AF$8)/M$61,""),""),"")),0)</f>
        <v>0</v>
      </c>
      <c r="N11" s="137">
        <f ca="1">N18</f>
        <v>0</v>
      </c>
      <c r="O11" s="132">
        <f ca="1">IFERROR(M11/M$12,0)</f>
        <v>0</v>
      </c>
      <c r="P11" s="7"/>
      <c r="Q11" s="23">
        <f t="array" aca="1" ref="Q11" ca="1">IFERROR(SUM(IF($A11=INDIRECT($AE$8),IF(Q$1&lt;=INDIRECT(#REF!),IF(R$1&gt;=INDIRECT(#REF!),INDIRECT($AF$8)/Q$61,""),""),"")),0)</f>
        <v>0</v>
      </c>
      <c r="R11" s="137">
        <f ca="1">R18</f>
        <v>0</v>
      </c>
      <c r="S11" s="132">
        <f ca="1">IFERROR(Q11/Q$12,0)</f>
        <v>0</v>
      </c>
      <c r="T11" s="7"/>
      <c r="U11" s="224">
        <f>'Quail Run - UW'!U11</f>
        <v>8</v>
      </c>
      <c r="V11" s="225">
        <f ca="1">V18</f>
        <v>4429.7195833333335</v>
      </c>
      <c r="W11" s="226">
        <f>IFERROR(U11/U$12,0)</f>
        <v>0.15189873417721519</v>
      </c>
      <c r="X11" s="7"/>
      <c r="Y11" s="224">
        <v>13</v>
      </c>
      <c r="Z11" s="225">
        <f>Z18</f>
        <v>4450</v>
      </c>
      <c r="AA11" s="226">
        <f>IFERROR(Y11/Y$12,0)</f>
        <v>0.22413793103448276</v>
      </c>
      <c r="AB11" s="125" t="s">
        <v>575</v>
      </c>
      <c r="AC11" s="119"/>
      <c r="AD11" s="119"/>
      <c r="AE11" s="117"/>
      <c r="AG11" s="117"/>
      <c r="AH11" s="116"/>
    </row>
    <row r="12" spans="1:34">
      <c r="A12" s="6"/>
      <c r="B12" s="7"/>
      <c r="C12" s="26" t="s">
        <v>14</v>
      </c>
      <c r="D12" s="7"/>
      <c r="E12" s="27">
        <f>SUM(E10:E11)</f>
        <v>51</v>
      </c>
      <c r="F12" s="28">
        <f ca="1">F$19</f>
        <v>4038.4039869281041</v>
      </c>
      <c r="G12" s="29">
        <f>E12/E$12</f>
        <v>1</v>
      </c>
      <c r="H12" s="7"/>
      <c r="I12" s="27">
        <f>SUM(I10:I11)</f>
        <v>53.75</v>
      </c>
      <c r="J12" s="28">
        <f ca="1">J$19</f>
        <v>3926.747519379845</v>
      </c>
      <c r="K12" s="29">
        <f>I12/I$12</f>
        <v>1</v>
      </c>
      <c r="L12" s="7"/>
      <c r="M12" s="27">
        <f ca="1">SUM(M10:M11)</f>
        <v>0</v>
      </c>
      <c r="N12" s="28">
        <f ca="1">N$19</f>
        <v>0</v>
      </c>
      <c r="O12" s="29" t="e">
        <f ca="1">M12/M$12</f>
        <v>#DIV/0!</v>
      </c>
      <c r="P12" s="7"/>
      <c r="Q12" s="27">
        <f ca="1">SUM(Q10:Q11)</f>
        <v>0</v>
      </c>
      <c r="R12" s="28">
        <f ca="1">R$19</f>
        <v>0</v>
      </c>
      <c r="S12" s="29" t="e">
        <f ca="1">Q12/Q$12</f>
        <v>#DIV/0!</v>
      </c>
      <c r="T12" s="7"/>
      <c r="U12" s="27">
        <f>SUM(U10:U11)</f>
        <v>52.666666666666664</v>
      </c>
      <c r="V12" s="28">
        <f ca="1">V$19</f>
        <v>4044.6129746835445</v>
      </c>
      <c r="W12" s="29">
        <f>U12/U$12</f>
        <v>1</v>
      </c>
      <c r="X12" s="7"/>
      <c r="Y12" s="27">
        <f>SUM(Y10:Y11)</f>
        <v>58</v>
      </c>
      <c r="Z12" s="28">
        <f>Z$19</f>
        <v>4100.8620689655172</v>
      </c>
      <c r="AA12" s="29">
        <f>Y12/Y$12</f>
        <v>1</v>
      </c>
      <c r="AB12" s="125" t="s">
        <v>576</v>
      </c>
      <c r="AC12" s="119"/>
      <c r="AD12" s="119"/>
      <c r="AE12" s="117"/>
      <c r="AG12" s="117"/>
      <c r="AH12" s="116"/>
    </row>
    <row r="13" spans="1:34">
      <c r="A13" s="6"/>
      <c r="B13" s="7"/>
      <c r="C13" s="30" t="s">
        <v>553</v>
      </c>
      <c r="D13" s="7"/>
      <c r="E13" s="31">
        <f>E12/F7</f>
        <v>0.796875</v>
      </c>
      <c r="F13" s="32"/>
      <c r="G13" s="33"/>
      <c r="H13" s="7"/>
      <c r="I13" s="31">
        <f>I12/J7</f>
        <v>0.83984375</v>
      </c>
      <c r="J13" s="32"/>
      <c r="K13" s="33"/>
      <c r="L13" s="7"/>
      <c r="M13" s="31" t="e">
        <f ca="1">M12/N7</f>
        <v>#DIV/0!</v>
      </c>
      <c r="N13" s="32"/>
      <c r="O13" s="33"/>
      <c r="P13" s="7"/>
      <c r="Q13" s="31" t="e">
        <f ca="1">Q12/R7</f>
        <v>#DIV/0!</v>
      </c>
      <c r="R13" s="32"/>
      <c r="S13" s="33"/>
      <c r="T13" s="7"/>
      <c r="U13" s="31">
        <f>U12/V7</f>
        <v>0.82291666666666663</v>
      </c>
      <c r="V13" s="32"/>
      <c r="W13" s="33"/>
      <c r="X13" s="7"/>
      <c r="Y13" s="31">
        <f>Y12/Z7</f>
        <v>0.90625</v>
      </c>
      <c r="Z13" s="32"/>
      <c r="AA13" s="33"/>
      <c r="AB13" s="125"/>
      <c r="AC13" s="119"/>
      <c r="AD13" s="119"/>
      <c r="AE13" s="117"/>
      <c r="AG13" s="117"/>
      <c r="AH13" s="116"/>
    </row>
    <row r="14" spans="1:34">
      <c r="A14" s="6"/>
      <c r="B14" s="7"/>
      <c r="C14" s="14"/>
      <c r="D14" s="34"/>
      <c r="E14" s="35"/>
      <c r="F14" s="36"/>
      <c r="G14" s="37"/>
      <c r="H14" s="34"/>
      <c r="I14" s="35"/>
      <c r="J14" s="36"/>
      <c r="K14" s="37"/>
      <c r="L14" s="34"/>
      <c r="M14" s="35"/>
      <c r="N14" s="36"/>
      <c r="O14" s="37"/>
      <c r="P14" s="34"/>
      <c r="Q14" s="35"/>
      <c r="R14" s="36"/>
      <c r="S14" s="37"/>
      <c r="T14" s="34"/>
      <c r="U14" s="35"/>
      <c r="V14" s="36"/>
      <c r="W14" s="37"/>
      <c r="X14" s="34"/>
      <c r="Y14" s="35"/>
      <c r="Z14" s="36"/>
      <c r="AA14" s="37"/>
      <c r="AB14" s="125"/>
      <c r="AC14" s="119"/>
      <c r="AD14" s="119"/>
      <c r="AE14" s="117"/>
      <c r="AG14" s="117"/>
      <c r="AH14" s="116"/>
    </row>
    <row r="15" spans="1:34">
      <c r="A15" s="6"/>
      <c r="B15" s="7"/>
      <c r="C15" s="38" t="s">
        <v>1</v>
      </c>
      <c r="D15" s="7"/>
      <c r="E15" s="20">
        <f>G$1</f>
        <v>2014</v>
      </c>
      <c r="F15" s="138" t="s">
        <v>63</v>
      </c>
      <c r="G15" s="21" t="s">
        <v>15</v>
      </c>
      <c r="H15" s="7"/>
      <c r="I15" s="20">
        <f>K$1</f>
        <v>2015</v>
      </c>
      <c r="J15" s="138" t="s">
        <v>63</v>
      </c>
      <c r="K15" s="21" t="s">
        <v>15</v>
      </c>
      <c r="L15" s="7"/>
      <c r="M15" s="20" t="str">
        <f>O$1</f>
        <v>T6A</v>
      </c>
      <c r="N15" s="138" t="s">
        <v>63</v>
      </c>
      <c r="O15" s="21" t="s">
        <v>15</v>
      </c>
      <c r="P15" s="7"/>
      <c r="Q15" s="20" t="str">
        <f>S$1</f>
        <v>T3A</v>
      </c>
      <c r="R15" s="138" t="s">
        <v>63</v>
      </c>
      <c r="S15" s="21" t="s">
        <v>15</v>
      </c>
      <c r="T15" s="7"/>
      <c r="U15" s="20" t="str">
        <f>W$1</f>
        <v>T6A</v>
      </c>
      <c r="V15" s="138" t="s">
        <v>63</v>
      </c>
      <c r="W15" s="21" t="s">
        <v>15</v>
      </c>
      <c r="X15" s="7"/>
      <c r="Y15" s="20" t="str">
        <f>AA$1</f>
        <v>Pro Forma</v>
      </c>
      <c r="Z15" s="138" t="s">
        <v>63</v>
      </c>
      <c r="AA15" s="21" t="s">
        <v>15</v>
      </c>
      <c r="AB15" s="125"/>
      <c r="AC15" s="119"/>
      <c r="AD15" s="119"/>
      <c r="AE15" s="117"/>
      <c r="AG15" s="117"/>
      <c r="AH15" s="116"/>
    </row>
    <row r="16" spans="1:34">
      <c r="B16" s="7"/>
      <c r="C16" s="30" t="s">
        <v>37</v>
      </c>
      <c r="D16" s="7"/>
      <c r="E16" s="39"/>
      <c r="F16" s="40"/>
      <c r="G16" s="41"/>
      <c r="H16" s="7"/>
      <c r="I16" s="39"/>
      <c r="J16" s="40"/>
      <c r="K16" s="41"/>
      <c r="L16" s="7"/>
      <c r="M16" s="39"/>
      <c r="N16" s="40"/>
      <c r="O16" s="41"/>
      <c r="P16" s="7"/>
      <c r="Q16" s="39"/>
      <c r="R16" s="40"/>
      <c r="S16" s="41"/>
      <c r="T16" s="7"/>
      <c r="U16" s="39"/>
      <c r="V16" s="40"/>
      <c r="W16" s="41"/>
      <c r="X16" s="7"/>
      <c r="Y16" s="39"/>
      <c r="Z16" s="40"/>
      <c r="AA16" s="41"/>
      <c r="AB16" s="125"/>
      <c r="AC16" s="119"/>
      <c r="AD16" s="119"/>
      <c r="AE16" s="117"/>
      <c r="AG16" s="117"/>
      <c r="AH16" s="116"/>
    </row>
    <row r="17" spans="1:49">
      <c r="A17" s="42">
        <v>201</v>
      </c>
      <c r="B17" s="7"/>
      <c r="C17" s="22" t="s">
        <v>551</v>
      </c>
      <c r="D17" s="7"/>
      <c r="E17" s="133">
        <f ca="1">'Quail Run - UW'!E17</f>
        <v>1933404.8699999996</v>
      </c>
      <c r="F17" s="137">
        <f ca="1">IFERROR(E17/(E10*E$63*E$62),0)</f>
        <v>3746.9086627906968</v>
      </c>
      <c r="G17" s="132">
        <f t="shared" ref="G17:G23" ca="1" si="0">IFERROR(E17/E$29,0)</f>
        <v>0.75323053329892542</v>
      </c>
      <c r="H17" s="7"/>
      <c r="I17" s="133">
        <f ca="1">'Quail Run - UW'!I17</f>
        <v>2130797.04</v>
      </c>
      <c r="J17" s="137">
        <f ca="1">IFERROR(I17/(I10*I$63*I$62),0)</f>
        <v>3881.2332240437158</v>
      </c>
      <c r="K17" s="132">
        <f t="shared" ref="K17:K23" ca="1" si="1">IFERROR(I17/I$29,0)</f>
        <v>0.80564472653845631</v>
      </c>
      <c r="L17" s="7"/>
      <c r="M17" s="133">
        <f t="array" aca="1" ref="M17" ca="1">IFERROR(SUM(IF($A17=INDIRECT($AE$8),IF(M$1&lt;=INDIRECT(#REF!),IF(N$1&gt;=INDIRECT(#REF!),INDIRECT($AF$8)*M$62,""),""),"")),0)</f>
        <v>0</v>
      </c>
      <c r="N17" s="137">
        <f ca="1">IFERROR(M17/(M10*M$63*M$62),0)</f>
        <v>0</v>
      </c>
      <c r="O17" s="132">
        <f ca="1">IFERROR(M17/M$29,0)</f>
        <v>0</v>
      </c>
      <c r="P17" s="7"/>
      <c r="Q17" s="133">
        <f t="array" aca="1" ref="Q17" ca="1">IFERROR(SUM(IF($A17=INDIRECT($AE$8),IF(Q$1&lt;=INDIRECT(#REF!),IF(R$1&gt;=INDIRECT(#REF!),INDIRECT($AF$8)*Q$62,""),""),"")),0)</f>
        <v>0</v>
      </c>
      <c r="R17" s="137">
        <f ca="1">IFERROR(Q17/(Q10*Q$63*Q$62),0)</f>
        <v>0</v>
      </c>
      <c r="S17" s="132">
        <f ca="1">IFERROR(Q17/Q$29,0)</f>
        <v>0</v>
      </c>
      <c r="T17" s="7"/>
      <c r="U17" s="133">
        <f ca="1">'Quail Run - UW'!U17</f>
        <v>2136796.557142857</v>
      </c>
      <c r="V17" s="137">
        <f ca="1">IFERROR(U17/(U10*U$63*U$62),0)</f>
        <v>3975.6386567164182</v>
      </c>
      <c r="W17" s="132">
        <f t="shared" ref="W17:W23" ca="1" si="2">IFERROR(U17/U$29,0)</f>
        <v>0.80613535927580671</v>
      </c>
      <c r="X17" s="7"/>
      <c r="Y17" s="133">
        <f>Y10*Z10*Y63</f>
        <v>2160000</v>
      </c>
      <c r="Z17" s="137">
        <v>4000</v>
      </c>
      <c r="AA17" s="132">
        <f t="shared" ref="AA17:AA23" ca="1" si="3">IFERROR(Y17/Y$29,0)</f>
        <v>0.72818419813050572</v>
      </c>
      <c r="AB17" s="125" t="s">
        <v>581</v>
      </c>
      <c r="AC17" s="119"/>
      <c r="AD17" s="119"/>
      <c r="AE17" s="117"/>
      <c r="AG17" s="117"/>
      <c r="AH17" s="116"/>
    </row>
    <row r="18" spans="1:49">
      <c r="A18" s="42">
        <v>202</v>
      </c>
      <c r="B18" s="7"/>
      <c r="C18" s="22" t="s">
        <v>546</v>
      </c>
      <c r="D18" s="7"/>
      <c r="E18" s="133">
        <f ca="1">'Quail Run - UW'!E18</f>
        <v>538098.37</v>
      </c>
      <c r="F18" s="137">
        <f ca="1">IFERROR(E18/(E11*E$63*E$62),0)</f>
        <v>5605.1913541666663</v>
      </c>
      <c r="G18" s="132">
        <f t="shared" ca="1" si="0"/>
        <v>0.20963644422928476</v>
      </c>
      <c r="H18" s="7"/>
      <c r="I18" s="133">
        <f ca="1">'Quail Run - UW'!I18</f>
        <v>401955.11</v>
      </c>
      <c r="J18" s="137">
        <f ca="1">IFERROR(I18/(I11*I$63*I$62),0)</f>
        <v>4187.0323958333329</v>
      </c>
      <c r="K18" s="132">
        <f t="shared" ca="1" si="1"/>
        <v>0.15197740967233797</v>
      </c>
      <c r="L18" s="7"/>
      <c r="M18" s="133">
        <f t="array" aca="1" ref="M18" ca="1">IFERROR(SUM(IF($A18=INDIRECT($AE$8),IF(M$1&lt;=INDIRECT(#REF!),IF(N$1&gt;=INDIRECT(#REF!),INDIRECT($AF$8)*M$62,""),""),"")),0)</f>
        <v>0</v>
      </c>
      <c r="N18" s="137">
        <f ca="1">IFERROR(M18/(M11*M$63*M$62),0)</f>
        <v>0</v>
      </c>
      <c r="O18" s="132">
        <f ca="1">IFERROR(M18/M$29,0)</f>
        <v>0</v>
      </c>
      <c r="P18" s="7"/>
      <c r="Q18" s="133">
        <f t="array" aca="1" ref="Q18" ca="1">IFERROR(SUM(IF($A18=INDIRECT($AE$8),IF(Q$1&lt;=INDIRECT(#REF!),IF(R$1&gt;=INDIRECT(#REF!),INDIRECT($AF$8)*Q$62,""),""),"")),0)</f>
        <v>0</v>
      </c>
      <c r="R18" s="137">
        <f ca="1">IFERROR(Q18/(Q11*Q$63*Q$62),0)</f>
        <v>0</v>
      </c>
      <c r="S18" s="132">
        <f ca="1">IFERROR(Q18/Q$29,0)</f>
        <v>0</v>
      </c>
      <c r="T18" s="7"/>
      <c r="U18" s="133">
        <f ca="1">'Quail Run - UW'!U18</f>
        <v>426421.35769230768</v>
      </c>
      <c r="V18" s="137">
        <f ca="1">IFERROR(U18/(U11*U$63*U$62),0)</f>
        <v>4429.7195833333335</v>
      </c>
      <c r="W18" s="132">
        <f t="shared" ca="1" si="2"/>
        <v>0.16087321614080263</v>
      </c>
      <c r="X18" s="7"/>
      <c r="Y18" s="133">
        <f>Z18*Y11*Y63</f>
        <v>694200</v>
      </c>
      <c r="Z18" s="137">
        <v>4450</v>
      </c>
      <c r="AA18" s="132">
        <f t="shared" ca="1" si="3"/>
        <v>0.23403031034360977</v>
      </c>
      <c r="AB18" s="125" t="s">
        <v>581</v>
      </c>
      <c r="AC18" s="119"/>
      <c r="AD18" s="119"/>
      <c r="AE18" s="117"/>
      <c r="AG18" s="116"/>
      <c r="AH18" s="116"/>
    </row>
    <row r="19" spans="1:49">
      <c r="A19" s="44"/>
      <c r="B19" s="7"/>
      <c r="C19" s="45" t="s">
        <v>36</v>
      </c>
      <c r="D19" s="7"/>
      <c r="E19" s="46">
        <f ca="1">SUM(E17:E18)</f>
        <v>2471503.2399999998</v>
      </c>
      <c r="F19" s="47">
        <f ca="1">IFERROR(E19/(E$12*E$63*E$62),0)</f>
        <v>4038.4039869281041</v>
      </c>
      <c r="G19" s="48">
        <f t="shared" ca="1" si="0"/>
        <v>0.96286697752821027</v>
      </c>
      <c r="H19" s="7"/>
      <c r="I19" s="46">
        <f ca="1">SUM(I17:I18)</f>
        <v>2532752.15</v>
      </c>
      <c r="J19" s="47">
        <f ca="1">IFERROR(I19/(I$12*I$63*I$62),0)</f>
        <v>3926.747519379845</v>
      </c>
      <c r="K19" s="48">
        <f t="shared" ca="1" si="1"/>
        <v>0.95762213621079417</v>
      </c>
      <c r="L19" s="7"/>
      <c r="M19" s="46">
        <f ca="1">SUM(M17:M18)</f>
        <v>0</v>
      </c>
      <c r="N19" s="47">
        <f ca="1">IFERROR(M19/(M$12*M$63*M$62),0)</f>
        <v>0</v>
      </c>
      <c r="O19" s="48">
        <f ca="1">IFERROR(M19/M$29,0)</f>
        <v>0</v>
      </c>
      <c r="P19" s="7"/>
      <c r="Q19" s="46">
        <f ca="1">SUM(Q17:Q18)</f>
        <v>0</v>
      </c>
      <c r="R19" s="47">
        <f ca="1">IFERROR(Q19/(Q$12*Q$63*Q$62),0)</f>
        <v>0</v>
      </c>
      <c r="S19" s="48">
        <f ca="1">IFERROR(Q19/Q$29,0)</f>
        <v>0</v>
      </c>
      <c r="T19" s="7"/>
      <c r="U19" s="46">
        <f ca="1">SUM(U17:U18)</f>
        <v>2563217.9148351648</v>
      </c>
      <c r="V19" s="47">
        <f ca="1">IFERROR(U19/(U$12*U$63*U$62),0)</f>
        <v>4044.6129746835445</v>
      </c>
      <c r="W19" s="48">
        <f t="shared" ca="1" si="2"/>
        <v>0.96700857541660934</v>
      </c>
      <c r="X19" s="7"/>
      <c r="Y19" s="46">
        <f>SUM(Y17:Y18)</f>
        <v>2854200</v>
      </c>
      <c r="Z19" s="47">
        <f>IFERROR(Y19/(Y$12*Y$63*Y$62),0)</f>
        <v>4100.8620689655172</v>
      </c>
      <c r="AA19" s="48">
        <f t="shared" ca="1" si="3"/>
        <v>0.96221450847411549</v>
      </c>
      <c r="AB19" s="125"/>
      <c r="AC19" s="119"/>
      <c r="AD19" s="119"/>
      <c r="AE19" s="116"/>
      <c r="AG19" s="116"/>
      <c r="AH19" s="116"/>
    </row>
    <row r="20" spans="1:49">
      <c r="A20" s="42">
        <v>203</v>
      </c>
      <c r="B20" s="7"/>
      <c r="C20" s="49" t="s">
        <v>552</v>
      </c>
      <c r="D20" s="7"/>
      <c r="E20" s="133">
        <f ca="1">'Quail Run - UW'!E20</f>
        <v>23350</v>
      </c>
      <c r="F20" s="137">
        <f ca="1">IFERROR(E20/(E$12*E$63*E$62),0)</f>
        <v>38.153594771241828</v>
      </c>
      <c r="G20" s="132">
        <f t="shared" ca="1" si="0"/>
        <v>9.0968700997064895E-3</v>
      </c>
      <c r="H20" s="7"/>
      <c r="I20" s="133">
        <f ca="1">'Quail Run - UW'!I20</f>
        <v>44187</v>
      </c>
      <c r="J20" s="137">
        <f ca="1">IFERROR(I20/(I$12*I$63*I$62),0)</f>
        <v>68.506976744186048</v>
      </c>
      <c r="K20" s="132">
        <f t="shared" ca="1" si="1"/>
        <v>1.670690491082847E-2</v>
      </c>
      <c r="L20" s="7"/>
      <c r="M20" s="133">
        <f t="array" aca="1" ref="M20" ca="1">IFERROR(SUM(IF($A20=INDIRECT($AE$8),IF(M$1&lt;=INDIRECT(#REF!),IF(N$1&gt;=INDIRECT(#REF!),INDIRECT($AF$8)*M$62,""),""),"")),0)</f>
        <v>0</v>
      </c>
      <c r="N20" s="137">
        <f ca="1">IFERROR(M20/(M$12*M$63*M$62),0)</f>
        <v>0</v>
      </c>
      <c r="O20" s="132">
        <f ca="1">IFERROR(M20/M$29,0)</f>
        <v>0</v>
      </c>
      <c r="P20" s="7"/>
      <c r="Q20" s="133">
        <f t="array" aca="1" ref="Q20" ca="1">IFERROR(SUM(IF($A20=INDIRECT($AE$8),IF(Q$1&lt;=INDIRECT(#REF!),IF(R$1&gt;=INDIRECT(#REF!),INDIRECT($AF$8)*Q$62,""),""),"")),0)</f>
        <v>0</v>
      </c>
      <c r="R20" s="137">
        <f ca="1">IFERROR(Q20/(Q$12*Q$63*Q$62),0)</f>
        <v>0</v>
      </c>
      <c r="S20" s="132">
        <f ca="1">IFERROR(Q20/Q$29,0)</f>
        <v>0</v>
      </c>
      <c r="T20" s="7"/>
      <c r="U20" s="133">
        <f ca="1">'Quail Run - UW'!U20</f>
        <v>42686.95054945055</v>
      </c>
      <c r="V20" s="137">
        <f ca="1">IFERROR(U20/(U$12*U$63*U$62),0)</f>
        <v>67.357594936708864</v>
      </c>
      <c r="W20" s="132">
        <f t="shared" ca="1" si="2"/>
        <v>1.6104228595155545E-2</v>
      </c>
      <c r="X20" s="7"/>
      <c r="Y20" s="133">
        <f ca="1">I20</f>
        <v>44187</v>
      </c>
      <c r="Z20" s="137">
        <f ca="1">IFERROR(Y20/(Y$12*Y$63*Y$62),0)</f>
        <v>63.487068965517238</v>
      </c>
      <c r="AA20" s="132">
        <f t="shared" ca="1" si="3"/>
        <v>1.4896423686478082E-2</v>
      </c>
      <c r="AB20" s="125"/>
      <c r="AC20" s="119"/>
      <c r="AD20" s="119"/>
      <c r="AE20" s="116"/>
      <c r="AG20" s="116"/>
      <c r="AH20" s="116"/>
    </row>
    <row r="21" spans="1:49">
      <c r="A21" s="42">
        <v>206</v>
      </c>
      <c r="B21" s="7"/>
      <c r="C21" s="49" t="s">
        <v>57</v>
      </c>
      <c r="D21" s="7"/>
      <c r="E21" s="133">
        <f ca="1">'Quail Run - UW'!E21</f>
        <v>28386.53</v>
      </c>
      <c r="F21" s="137">
        <f ca="1">IFERROR(E21/(E$12*E$63*E$62),0)</f>
        <v>46.383218954248363</v>
      </c>
      <c r="G21" s="132">
        <f t="shared" ca="1" si="0"/>
        <v>1.1059039657020181E-2</v>
      </c>
      <c r="H21" s="7"/>
      <c r="I21" s="133">
        <f ca="1">'Quail Run - UW'!I21</f>
        <v>31102.14</v>
      </c>
      <c r="J21" s="137">
        <f ca="1">IFERROR(I21/(I$12*I$63*I$62),0)</f>
        <v>48.220372093023258</v>
      </c>
      <c r="K21" s="132">
        <f t="shared" ca="1" si="1"/>
        <v>1.1759578507327373E-2</v>
      </c>
      <c r="L21" s="7"/>
      <c r="M21" s="133"/>
      <c r="N21" s="137"/>
      <c r="O21" s="132"/>
      <c r="P21" s="7"/>
      <c r="Q21" s="133"/>
      <c r="R21" s="137"/>
      <c r="S21" s="132"/>
      <c r="T21" s="7"/>
      <c r="U21" s="133">
        <f ca="1">'Quail Run - UW'!U21</f>
        <v>23103.878296703297</v>
      </c>
      <c r="V21" s="137">
        <f ca="1">IFERROR(U21/(U$12*U$63*U$62),0)</f>
        <v>36.456613924050636</v>
      </c>
      <c r="W21" s="132">
        <f t="shared" ca="1" si="2"/>
        <v>8.7162501124023704E-3</v>
      </c>
      <c r="X21" s="7"/>
      <c r="Y21" s="133">
        <f ca="1">I21</f>
        <v>31102.14</v>
      </c>
      <c r="Z21" s="137">
        <f ca="1">IFERROR(Y21/(Y$12*Y$63*Y$62),0)</f>
        <v>44.686982758620687</v>
      </c>
      <c r="AA21" s="132">
        <f t="shared" ca="1" si="3"/>
        <v>1.0485225405575336E-2</v>
      </c>
      <c r="AB21" s="125"/>
      <c r="AC21" s="119"/>
      <c r="AD21" s="119"/>
      <c r="AE21" s="116"/>
      <c r="AG21" s="116"/>
      <c r="AH21" s="116"/>
    </row>
    <row r="22" spans="1:49">
      <c r="A22" s="42">
        <v>204</v>
      </c>
      <c r="B22" s="7"/>
      <c r="C22" s="49" t="s">
        <v>519</v>
      </c>
      <c r="D22" s="7"/>
      <c r="E22" s="133">
        <f ca="1">'Quail Run - UW'!E22</f>
        <v>32746.65</v>
      </c>
      <c r="F22" s="137">
        <f ca="1">IFERROR(E22/(E$12*E$63*E$62),0)</f>
        <v>53.507598039215686</v>
      </c>
      <c r="G22" s="132">
        <f t="shared" ca="1" si="0"/>
        <v>1.2757688276254968E-2</v>
      </c>
      <c r="H22" s="7"/>
      <c r="I22" s="133">
        <f ca="1">'Quail Run - UW'!I22</f>
        <v>29000</v>
      </c>
      <c r="J22" s="137">
        <f ca="1">IFERROR(I22/(I$12*I$63*I$62),0)</f>
        <v>44.961240310077521</v>
      </c>
      <c r="K22" s="132">
        <f t="shared" ca="1" si="1"/>
        <v>1.0964768878041632E-2</v>
      </c>
      <c r="L22" s="7"/>
      <c r="M22" s="133">
        <f t="array" aca="1" ref="M22" ca="1">IFERROR(SUM(IF($A23=INDIRECT($AE$8),IF(M$1&lt;=INDIRECT(#REF!),IF(N$1&gt;=INDIRECT(#REF!),INDIRECT($AF$8)*M$62,""),""),"")),0)</f>
        <v>0</v>
      </c>
      <c r="N22" s="137">
        <f ca="1">IFERROR(M22/(M$12*M$63*M$62),0)</f>
        <v>0</v>
      </c>
      <c r="O22" s="132">
        <f ca="1">IFERROR(M22/M$29,0)</f>
        <v>0</v>
      </c>
      <c r="P22" s="7"/>
      <c r="Q22" s="133">
        <f t="array" aca="1" ref="Q22" ca="1">IFERROR(SUM(IF($A23=INDIRECT($AE$8),IF(Q$1&lt;=INDIRECT(#REF!),IF(R$1&gt;=INDIRECT(#REF!),INDIRECT($AF$8)*Q$62,""),""),"")),0)</f>
        <v>0</v>
      </c>
      <c r="R22" s="137">
        <f ca="1">IFERROR(Q22/(Q$12*Q$63*Q$62),0)</f>
        <v>0</v>
      </c>
      <c r="S22" s="132">
        <f ca="1">IFERROR(Q22/Q$29,0)</f>
        <v>0</v>
      </c>
      <c r="T22" s="7"/>
      <c r="U22" s="133">
        <f ca="1">'Quail Run - UW'!U22</f>
        <v>21057.692307692309</v>
      </c>
      <c r="V22" s="137">
        <f ca="1">IFERROR(U22/(U$12*U$63*U$62),0)</f>
        <v>33.227848101265828</v>
      </c>
      <c r="W22" s="132">
        <f t="shared" ca="1" si="2"/>
        <v>7.9442988136778584E-3</v>
      </c>
      <c r="X22" s="7"/>
      <c r="Y22" s="133">
        <f ca="1">I22</f>
        <v>29000</v>
      </c>
      <c r="Z22" s="137">
        <f ca="1">IFERROR(Y22/(Y$12*Y$63*Y$62),0)</f>
        <v>41.666666666666664</v>
      </c>
      <c r="AA22" s="132">
        <f t="shared" ca="1" si="3"/>
        <v>9.7765471045299385E-3</v>
      </c>
      <c r="AB22" s="125"/>
      <c r="AC22" s="119"/>
      <c r="AD22" s="119"/>
      <c r="AE22" s="116"/>
      <c r="AG22" s="116"/>
      <c r="AH22" s="116"/>
    </row>
    <row r="23" spans="1:49">
      <c r="A23" s="42">
        <v>205</v>
      </c>
      <c r="B23" s="7"/>
      <c r="C23" s="49" t="s">
        <v>51</v>
      </c>
      <c r="D23" s="7"/>
      <c r="E23" s="133">
        <f ca="1">'Quail Run - UW'!E23</f>
        <v>10830.49</v>
      </c>
      <c r="F23" s="137">
        <f ca="1">IFERROR(E23/(E$12*E$63*E$62),0)</f>
        <v>17.696879084967321</v>
      </c>
      <c r="G23" s="132">
        <f t="shared" ca="1" si="0"/>
        <v>4.2194244388081429E-3</v>
      </c>
      <c r="H23" s="7"/>
      <c r="I23" s="133">
        <f ca="1">'Quail Run - UW'!I23</f>
        <v>7793.3</v>
      </c>
      <c r="J23" s="137">
        <f ca="1">IFERROR(I23/(I$12*I$63*I$62),0)</f>
        <v>12.082635658914729</v>
      </c>
      <c r="K23" s="132">
        <f t="shared" ca="1" si="1"/>
        <v>2.9466114930083399E-3</v>
      </c>
      <c r="L23" s="7"/>
      <c r="M23" s="133"/>
      <c r="N23" s="137"/>
      <c r="O23" s="132"/>
      <c r="P23" s="7"/>
      <c r="Q23" s="133"/>
      <c r="R23" s="137"/>
      <c r="S23" s="132"/>
      <c r="T23" s="7"/>
      <c r="U23" s="133">
        <f ca="1">'Quail Run - UW'!U23</f>
        <v>600.76593406593395</v>
      </c>
      <c r="V23" s="137">
        <f ca="1">IFERROR(U23/(U$12*U$63*U$62),0)</f>
        <v>0.9479746835443037</v>
      </c>
      <c r="W23" s="132">
        <f t="shared" ca="1" si="2"/>
        <v>2.2664706215479416E-4</v>
      </c>
      <c r="X23" s="7"/>
      <c r="Y23" s="133">
        <f ca="1">I23</f>
        <v>7793.3</v>
      </c>
      <c r="Z23" s="137">
        <f ca="1">IFERROR(Y23/(Y$12*Y$63*Y$62),0)</f>
        <v>11.19727011494253</v>
      </c>
      <c r="AA23" s="132">
        <f t="shared" ca="1" si="3"/>
        <v>2.6272953293011436E-3</v>
      </c>
      <c r="AB23" s="125"/>
      <c r="AC23" s="119"/>
      <c r="AD23" s="119"/>
      <c r="AE23" s="116"/>
      <c r="AG23" s="116"/>
      <c r="AH23" s="116"/>
    </row>
    <row r="24" spans="1:49" s="80" customFormat="1" hidden="1" outlineLevel="1">
      <c r="B24" s="76"/>
      <c r="C24" s="54"/>
      <c r="D24" s="7"/>
      <c r="E24" s="55"/>
      <c r="F24" s="34"/>
      <c r="G24" s="56"/>
      <c r="H24" s="7"/>
      <c r="I24" s="55"/>
      <c r="J24" s="34"/>
      <c r="K24" s="56"/>
      <c r="L24" s="7"/>
      <c r="M24" s="55"/>
      <c r="N24" s="34"/>
      <c r="O24" s="56"/>
      <c r="P24" s="7"/>
      <c r="Q24" s="55"/>
      <c r="R24" s="34"/>
      <c r="S24" s="56"/>
      <c r="T24" s="7"/>
      <c r="U24" s="55"/>
      <c r="V24" s="34"/>
      <c r="W24" s="56"/>
      <c r="X24" s="7"/>
      <c r="Y24" s="55"/>
      <c r="Z24" s="34"/>
      <c r="AA24" s="56"/>
      <c r="AB24" s="127"/>
      <c r="AC24" s="119"/>
      <c r="AD24" s="121"/>
      <c r="AE24" s="116"/>
      <c r="AG24" s="118"/>
      <c r="AH24" s="118"/>
      <c r="AI24" s="1"/>
      <c r="AJ24" s="1"/>
      <c r="AK24" s="1"/>
      <c r="AL24" s="1"/>
      <c r="AM24" s="1"/>
      <c r="AN24" s="1"/>
      <c r="AO24" s="1"/>
      <c r="AP24" s="1"/>
      <c r="AQ24" s="1"/>
      <c r="AR24" s="1"/>
      <c r="AS24" s="1"/>
      <c r="AT24" s="1"/>
      <c r="AU24" s="76"/>
      <c r="AV24" s="76"/>
      <c r="AW24" s="76"/>
    </row>
    <row r="25" spans="1:49" hidden="1" outlineLevel="1">
      <c r="A25" s="75">
        <v>1000</v>
      </c>
      <c r="B25" s="7"/>
      <c r="C25" s="77" t="s">
        <v>28</v>
      </c>
      <c r="D25" s="76"/>
      <c r="E25" s="78">
        <f t="array" aca="1" ref="E25" ca="1">SUM(IF($A25=INDIRECT($AE$8),INDIRECT(AF$8),""))*E$62</f>
        <v>0</v>
      </c>
      <c r="F25" s="81">
        <f ca="1">IFERROR(E25/(E$12*E$63*E$62),0)</f>
        <v>0</v>
      </c>
      <c r="G25" s="79">
        <f ca="1">IFERROR(E25/E$29,0)</f>
        <v>0</v>
      </c>
      <c r="H25" s="76"/>
      <c r="I25" s="78">
        <f t="array" aca="1" ref="I25" ca="1">SUM(IF($A25=INDIRECT($AE$8),INDIRECT(AG$8),""))*I$62</f>
        <v>0</v>
      </c>
      <c r="J25" s="81">
        <f ca="1">IFERROR(I25/(I$12*I$63*I$62),0)</f>
        <v>0</v>
      </c>
      <c r="K25" s="79">
        <f ca="1">IFERROR(I25/I$29,0)</f>
        <v>0</v>
      </c>
      <c r="L25" s="76"/>
      <c r="M25" s="78">
        <f t="array" aca="1" ref="M25" ca="1">IFERROR(SUM(IF($A25=INDIRECT($AE$8),IF(M$1&lt;=INDIRECT(#REF!),IF(N$1&gt;=INDIRECT(#REF!),INDIRECT($AF$8)*M$62,""),""),"")),0)</f>
        <v>0</v>
      </c>
      <c r="N25" s="81">
        <f ca="1">IFERROR(M25/(M$12*M$63*M$62),0)</f>
        <v>0</v>
      </c>
      <c r="O25" s="79">
        <f ca="1">IFERROR(M25/M$27,0)</f>
        <v>0</v>
      </c>
      <c r="P25" s="76"/>
      <c r="Q25" s="78">
        <f t="array" aca="1" ref="Q25" ca="1">IFERROR(SUM(IF($A25=INDIRECT($AE$8),IF(Q$1&lt;=INDIRECT(#REF!),IF(R$1&gt;=INDIRECT(#REF!),INDIRECT($AF$8)*Q$62,""),""),"")),0)</f>
        <v>0</v>
      </c>
      <c r="R25" s="81">
        <f ca="1">IFERROR(Q25/(Q$12*Q$63*Q$62),0)</f>
        <v>0</v>
      </c>
      <c r="S25" s="79">
        <f ca="1">IFERROR(Q25/Q$27,0)</f>
        <v>0</v>
      </c>
      <c r="T25" s="76"/>
      <c r="U25" s="78">
        <f t="array" aca="1" ref="U25" ca="1">SUM(IF($A25=INDIRECT($AE$8),INDIRECT(AH$8),""))*U$62</f>
        <v>0</v>
      </c>
      <c r="V25" s="81">
        <f ca="1">IFERROR(U25/(U$12*U$63*U$62),0)</f>
        <v>0</v>
      </c>
      <c r="W25" s="79">
        <f ca="1">IFERROR(U25/U$29,0)</f>
        <v>0</v>
      </c>
      <c r="X25" s="76"/>
      <c r="Y25" s="78">
        <f t="array" aca="1" ref="Y25" ca="1">SUM(IF($A25=INDIRECT($AE$8),INDIRECT(AL$8),""))*Y$62</f>
        <v>0</v>
      </c>
      <c r="Z25" s="81">
        <f ca="1">IFERROR(Y25/(Y$12*Y$63*Y$62),0)</f>
        <v>0</v>
      </c>
      <c r="AA25" s="79">
        <f ca="1">IFERROR(Y25/Y$29,0)</f>
        <v>0</v>
      </c>
      <c r="AB25" s="125"/>
      <c r="AC25" s="119"/>
      <c r="AD25" s="121"/>
      <c r="AE25" s="116"/>
      <c r="AG25" s="116"/>
      <c r="AH25" s="116"/>
    </row>
    <row r="26" spans="1:49" hidden="1" outlineLevel="1">
      <c r="A26" s="57">
        <v>980</v>
      </c>
      <c r="B26" s="7"/>
      <c r="C26" s="58" t="s">
        <v>23</v>
      </c>
      <c r="D26" s="7"/>
      <c r="E26" s="135">
        <f t="array" aca="1" ref="E26" ca="1">SUM(IF($A26=INDIRECT($AE$8),INDIRECT(AF$8),""))*E$62</f>
        <v>0</v>
      </c>
      <c r="F26" s="60">
        <f ca="1">IFERROR(E26/(E$12*E$63*E$62),0)</f>
        <v>0</v>
      </c>
      <c r="G26" s="134">
        <f ca="1">IFERROR(E26/E$29,0)</f>
        <v>0</v>
      </c>
      <c r="H26" s="7"/>
      <c r="I26" s="135">
        <f t="array" aca="1" ref="I26" ca="1">SUM(IF($A26=INDIRECT($AE$8),INDIRECT(AG$8),""))*I$62</f>
        <v>0</v>
      </c>
      <c r="J26" s="60">
        <f ca="1">IFERROR(I26/(I$12*I$63*I$62),0)</f>
        <v>0</v>
      </c>
      <c r="K26" s="134">
        <f ca="1">IFERROR(I26/I$29,0)</f>
        <v>0</v>
      </c>
      <c r="L26" s="7"/>
      <c r="M26" s="135">
        <f t="array" aca="1" ref="M26" ca="1">IFERROR(SUM(IF($A26=INDIRECT($AE$8),IF(M$1&lt;=INDIRECT(#REF!),IF(N$1&gt;=INDIRECT(#REF!),INDIRECT($AF$8)*M$62,""),""),"")),0)</f>
        <v>0</v>
      </c>
      <c r="N26" s="60">
        <f ca="1">IFERROR(M26/(M$12*M$63*M$62),0)</f>
        <v>0</v>
      </c>
      <c r="O26" s="134">
        <f ca="1">IFERROR(M26/M$27,0)</f>
        <v>0</v>
      </c>
      <c r="P26" s="7"/>
      <c r="Q26" s="135">
        <f t="array" aca="1" ref="Q26" ca="1">IFERROR(SUM(IF($A26=INDIRECT($AE$8),IF(Q$1&lt;=INDIRECT(#REF!),IF(R$1&gt;=INDIRECT(#REF!),INDIRECT($AF$8)*Q$62,""),""),"")),0)</f>
        <v>0</v>
      </c>
      <c r="R26" s="60">
        <f ca="1">IFERROR(Q26/(Q$12*Q$63*Q$62),0)</f>
        <v>0</v>
      </c>
      <c r="S26" s="134">
        <f ca="1">IFERROR(Q26/Q$27,0)</f>
        <v>0</v>
      </c>
      <c r="T26" s="7"/>
      <c r="U26" s="135">
        <f t="array" aca="1" ref="U26" ca="1">SUM(IF($A26=INDIRECT($AE$8),INDIRECT(AH$8),""))*U$62</f>
        <v>0</v>
      </c>
      <c r="V26" s="60">
        <f ca="1">IFERROR(U26/(U$12*U$63*U$62),0)</f>
        <v>0</v>
      </c>
      <c r="W26" s="134">
        <f ca="1">IFERROR(U26/U$29,0)</f>
        <v>0</v>
      </c>
      <c r="X26" s="7"/>
      <c r="Y26" s="135">
        <f t="array" aca="1" ref="Y26" ca="1">SUM(IF($A26=INDIRECT($AE$8),INDIRECT(AL$8),""))*Y$62</f>
        <v>0</v>
      </c>
      <c r="Z26" s="60">
        <f ca="1">IFERROR(Y26/(Y$12*Y$63*Y$62),0)</f>
        <v>0</v>
      </c>
      <c r="AA26" s="134">
        <f ca="1">IFERROR(Y26/Y$29,0)</f>
        <v>0</v>
      </c>
      <c r="AB26" s="125"/>
      <c r="AC26" s="119"/>
      <c r="AD26" s="119"/>
      <c r="AE26" s="116"/>
      <c r="AG26" s="116"/>
      <c r="AH26" s="116"/>
    </row>
    <row r="27" spans="1:49" hidden="1" outlineLevel="1">
      <c r="A27" s="44"/>
      <c r="B27" s="7"/>
      <c r="C27" s="62" t="s">
        <v>24</v>
      </c>
      <c r="D27" s="7"/>
      <c r="E27" s="63">
        <f ca="1">SUM(E19:E26)</f>
        <v>2566816.9099999997</v>
      </c>
      <c r="F27" s="64">
        <f ca="1">IFERROR(E27/(E$12*E$63*E$62),0)</f>
        <v>4194.1452777777777</v>
      </c>
      <c r="G27" s="65">
        <f ca="1">IFERROR(E27/E$29,0)</f>
        <v>1</v>
      </c>
      <c r="H27" s="7"/>
      <c r="I27" s="63">
        <f ca="1">SUM(I19:I26)</f>
        <v>2644834.59</v>
      </c>
      <c r="J27" s="64">
        <f ca="1">IFERROR(I27/(I$12*I$63*I$62),0)</f>
        <v>4100.5187441860462</v>
      </c>
      <c r="K27" s="65">
        <f ca="1">IFERROR(I27/I$29,0)</f>
        <v>1</v>
      </c>
      <c r="L27" s="7"/>
      <c r="M27" s="63">
        <f ca="1">SUM(M19:M26)</f>
        <v>0</v>
      </c>
      <c r="N27" s="64">
        <f ca="1">IFERROR(M27/(M$12*M$63*M$62),0)</f>
        <v>0</v>
      </c>
      <c r="O27" s="65">
        <f ca="1">IFERROR(M27/M$27,0)</f>
        <v>0</v>
      </c>
      <c r="P27" s="7"/>
      <c r="Q27" s="63">
        <f ca="1">SUM(Q19:Q26)</f>
        <v>0</v>
      </c>
      <c r="R27" s="64">
        <f ca="1">IFERROR(Q27/(Q$12*Q$63*Q$62),0)</f>
        <v>0</v>
      </c>
      <c r="S27" s="65">
        <f ca="1">IFERROR(Q27/Q$27,0)</f>
        <v>0</v>
      </c>
      <c r="T27" s="7"/>
      <c r="U27" s="63">
        <f ca="1">SUM(U19:U26)</f>
        <v>2650667.201923077</v>
      </c>
      <c r="V27" s="64">
        <f ca="1">IFERROR(U27/(U$12*U$63*U$62),0)</f>
        <v>4182.6030063291146</v>
      </c>
      <c r="W27" s="65">
        <f ca="1">IFERROR(U27/U$29,0)</f>
        <v>1</v>
      </c>
      <c r="X27" s="7"/>
      <c r="Y27" s="63">
        <f ca="1">SUM(Y19:Y26)</f>
        <v>2966282.44</v>
      </c>
      <c r="Z27" s="64">
        <f ca="1">IFERROR(Y27/(Y$12*Y$63*Y$62),0)</f>
        <v>4261.9000574712645</v>
      </c>
      <c r="AA27" s="65">
        <f ca="1">IFERROR(Y27/Y$29,0)</f>
        <v>1</v>
      </c>
      <c r="AB27" s="126"/>
      <c r="AC27" s="119"/>
      <c r="AD27" s="119"/>
      <c r="AE27" s="116"/>
      <c r="AG27" s="116"/>
      <c r="AH27" s="116"/>
    </row>
    <row r="28" spans="1:49" hidden="1" outlineLevel="1">
      <c r="A28" s="6"/>
      <c r="B28" s="7"/>
      <c r="C28" s="49"/>
      <c r="D28" s="7"/>
      <c r="E28" s="133"/>
      <c r="F28" s="137"/>
      <c r="G28" s="132"/>
      <c r="H28" s="7"/>
      <c r="I28" s="133"/>
      <c r="J28" s="137"/>
      <c r="K28" s="132"/>
      <c r="L28" s="7"/>
      <c r="M28" s="133"/>
      <c r="N28" s="137"/>
      <c r="O28" s="132"/>
      <c r="P28" s="7"/>
      <c r="Q28" s="133"/>
      <c r="R28" s="137"/>
      <c r="S28" s="132"/>
      <c r="T28" s="7"/>
      <c r="U28" s="133"/>
      <c r="V28" s="137"/>
      <c r="W28" s="132"/>
      <c r="X28" s="7"/>
      <c r="Y28" s="133"/>
      <c r="Z28" s="137"/>
      <c r="AA28" s="132"/>
      <c r="AB28" s="126"/>
      <c r="AC28" s="119"/>
      <c r="AD28" s="121"/>
      <c r="AE28" s="116"/>
      <c r="AG28" s="116"/>
      <c r="AH28" s="116"/>
    </row>
    <row r="29" spans="1:49" collapsed="1">
      <c r="A29" s="6"/>
      <c r="B29" s="7"/>
      <c r="C29" s="50" t="s">
        <v>16</v>
      </c>
      <c r="D29" s="7"/>
      <c r="E29" s="51">
        <f ca="1">SUM(E19:E23)</f>
        <v>2566816.9099999997</v>
      </c>
      <c r="F29" s="52">
        <f ca="1">IFERROR(E29/(E$12*E$63*E$62),0)</f>
        <v>4194.1452777777777</v>
      </c>
      <c r="G29" s="53">
        <f ca="1">IFERROR(E29/E$29,0)</f>
        <v>1</v>
      </c>
      <c r="H29" s="7"/>
      <c r="I29" s="51">
        <f ca="1">SUM(I19:I23)</f>
        <v>2644834.59</v>
      </c>
      <c r="J29" s="52">
        <f ca="1">IFERROR(I29/(I$12*I$63*I$62),0)</f>
        <v>4100.5187441860462</v>
      </c>
      <c r="K29" s="53">
        <f ca="1">IFERROR(I29/I$29,0)</f>
        <v>1</v>
      </c>
      <c r="L29" s="7"/>
      <c r="M29" s="51">
        <f ca="1">SUM(M19:M22)</f>
        <v>0</v>
      </c>
      <c r="N29" s="52">
        <f ca="1">IFERROR(M29/(M$12*M$63*M$62),0)</f>
        <v>0</v>
      </c>
      <c r="O29" s="53">
        <f ca="1">IFERROR(M29/M$29,0)</f>
        <v>0</v>
      </c>
      <c r="P29" s="7"/>
      <c r="Q29" s="51">
        <f ca="1">SUM(Q19:Q22)</f>
        <v>0</v>
      </c>
      <c r="R29" s="52">
        <f ca="1">IFERROR(Q29/(Q$12*Q$63*Q$62),0)</f>
        <v>0</v>
      </c>
      <c r="S29" s="53">
        <f ca="1">IFERROR(Q29/Q$29,0)</f>
        <v>0</v>
      </c>
      <c r="T29" s="7"/>
      <c r="U29" s="51">
        <f ca="1">SUM(U19:U23)</f>
        <v>2650667.201923077</v>
      </c>
      <c r="V29" s="52">
        <f ca="1">IFERROR(U29/(U$12*U$63*U$62),0)</f>
        <v>4182.6030063291146</v>
      </c>
      <c r="W29" s="53">
        <f ca="1">IFERROR(U29/U$29,0)</f>
        <v>1</v>
      </c>
      <c r="X29" s="7"/>
      <c r="Y29" s="51">
        <f ca="1">SUM(Y19:Y23)</f>
        <v>2966282.44</v>
      </c>
      <c r="Z29" s="52">
        <f ca="1">IFERROR(Y29/(Y$12*Y$63*Y$62),0)</f>
        <v>4261.9000574712645</v>
      </c>
      <c r="AA29" s="53">
        <f ca="1">IFERROR(Y29/Y$29,0)</f>
        <v>1</v>
      </c>
      <c r="AB29" s="125"/>
      <c r="AC29" s="119"/>
      <c r="AD29" s="121"/>
      <c r="AE29" s="116"/>
      <c r="AG29" s="116"/>
      <c r="AH29" s="116"/>
    </row>
    <row r="30" spans="1:49">
      <c r="A30" s="6"/>
      <c r="B30" s="7"/>
      <c r="C30" s="66"/>
      <c r="D30" s="7"/>
      <c r="E30" s="67"/>
      <c r="F30" s="68"/>
      <c r="G30" s="69"/>
      <c r="H30" s="7"/>
      <c r="I30" s="67"/>
      <c r="J30" s="68"/>
      <c r="K30" s="69"/>
      <c r="L30" s="7"/>
      <c r="M30" s="67"/>
      <c r="N30" s="68"/>
      <c r="O30" s="69"/>
      <c r="P30" s="7"/>
      <c r="Q30" s="67"/>
      <c r="R30" s="68"/>
      <c r="S30" s="69"/>
      <c r="T30" s="7"/>
      <c r="U30" s="67"/>
      <c r="V30" s="68"/>
      <c r="W30" s="69"/>
      <c r="X30" s="7"/>
      <c r="Y30" s="67"/>
      <c r="Z30" s="68"/>
      <c r="AA30" s="69"/>
      <c r="AB30" s="125"/>
      <c r="AC30" s="119"/>
      <c r="AD30" s="121"/>
      <c r="AE30" s="116"/>
      <c r="AG30" s="116"/>
      <c r="AH30" s="116"/>
    </row>
    <row r="31" spans="1:49">
      <c r="B31" s="7"/>
      <c r="C31" s="38" t="s">
        <v>17</v>
      </c>
      <c r="D31" s="7"/>
      <c r="E31" s="20">
        <f>G$1</f>
        <v>2014</v>
      </c>
      <c r="F31" s="138" t="s">
        <v>63</v>
      </c>
      <c r="G31" s="21" t="s">
        <v>15</v>
      </c>
      <c r="H31" s="7"/>
      <c r="I31" s="20">
        <f>K$1</f>
        <v>2015</v>
      </c>
      <c r="J31" s="138" t="s">
        <v>63</v>
      </c>
      <c r="K31" s="21" t="s">
        <v>15</v>
      </c>
      <c r="L31" s="7"/>
      <c r="M31" s="20" t="str">
        <f>O$1</f>
        <v>T6A</v>
      </c>
      <c r="N31" s="138" t="s">
        <v>63</v>
      </c>
      <c r="O31" s="21" t="s">
        <v>15</v>
      </c>
      <c r="P31" s="7"/>
      <c r="Q31" s="20" t="str">
        <f>S$1</f>
        <v>T3A</v>
      </c>
      <c r="R31" s="138" t="s">
        <v>63</v>
      </c>
      <c r="S31" s="21" t="s">
        <v>15</v>
      </c>
      <c r="T31" s="7"/>
      <c r="U31" s="20" t="str">
        <f>W$1</f>
        <v>T6A</v>
      </c>
      <c r="V31" s="138" t="s">
        <v>63</v>
      </c>
      <c r="W31" s="21" t="s">
        <v>15</v>
      </c>
      <c r="X31" s="7"/>
      <c r="Y31" s="20" t="str">
        <f>AA$1</f>
        <v>Pro Forma</v>
      </c>
      <c r="Z31" s="138" t="s">
        <v>63</v>
      </c>
      <c r="AA31" s="21" t="s">
        <v>15</v>
      </c>
      <c r="AB31" s="126"/>
      <c r="AC31" s="119"/>
      <c r="AD31" s="121"/>
      <c r="AE31" s="116"/>
      <c r="AG31" s="117"/>
      <c r="AH31" s="116"/>
    </row>
    <row r="32" spans="1:49">
      <c r="A32" s="70">
        <v>301</v>
      </c>
      <c r="B32" s="7"/>
      <c r="C32" s="136" t="s">
        <v>57</v>
      </c>
      <c r="D32" s="7"/>
      <c r="E32" s="133">
        <v>991771.92999999993</v>
      </c>
      <c r="F32" s="137">
        <v>1620.5423692810457</v>
      </c>
      <c r="G32" s="132">
        <v>0.38638203065289922</v>
      </c>
      <c r="H32" s="7"/>
      <c r="I32" s="133">
        <v>988108.7</v>
      </c>
      <c r="J32" s="137">
        <v>1531.951472868217</v>
      </c>
      <c r="K32" s="132">
        <v>0.37359943178904054</v>
      </c>
      <c r="L32" s="7"/>
      <c r="M32" s="133">
        <v>0</v>
      </c>
      <c r="N32" s="137">
        <v>0</v>
      </c>
      <c r="O32" s="132">
        <v>0</v>
      </c>
      <c r="P32" s="7"/>
      <c r="Q32" s="133">
        <v>0</v>
      </c>
      <c r="R32" s="137">
        <v>0</v>
      </c>
      <c r="S32" s="132">
        <v>0</v>
      </c>
      <c r="T32" s="7"/>
      <c r="U32" s="133">
        <v>1013987.1269230769</v>
      </c>
      <c r="V32" s="137">
        <v>1600.0143670886077</v>
      </c>
      <c r="W32" s="132">
        <v>0.38254033783925134</v>
      </c>
      <c r="X32" s="7"/>
      <c r="Y32" s="133">
        <f>1066238.22511628*INFLATION</f>
        <v>1087562.9896186055</v>
      </c>
      <c r="Z32" s="137">
        <v>1531.951472868217</v>
      </c>
      <c r="AA32" s="132">
        <v>0.3594526976724034</v>
      </c>
      <c r="AB32" s="126" t="s">
        <v>582</v>
      </c>
      <c r="AC32" s="119"/>
      <c r="AD32" s="121"/>
      <c r="AE32" s="116"/>
      <c r="AG32" s="117"/>
      <c r="AH32" s="116"/>
    </row>
    <row r="33" spans="1:49">
      <c r="A33" s="70">
        <v>321</v>
      </c>
      <c r="B33" s="7"/>
      <c r="C33" s="136" t="s">
        <v>83</v>
      </c>
      <c r="D33" s="7"/>
      <c r="E33" s="133">
        <v>0</v>
      </c>
      <c r="F33" s="137">
        <v>0</v>
      </c>
      <c r="G33" s="132">
        <v>0</v>
      </c>
      <c r="H33" s="7"/>
      <c r="I33" s="133">
        <v>0</v>
      </c>
      <c r="J33" s="137">
        <v>0</v>
      </c>
      <c r="K33" s="132">
        <v>0</v>
      </c>
      <c r="L33" s="7"/>
      <c r="M33" s="133"/>
      <c r="N33" s="137"/>
      <c r="O33" s="132"/>
      <c r="P33" s="7"/>
      <c r="Q33" s="133"/>
      <c r="R33" s="137"/>
      <c r="S33" s="132"/>
      <c r="T33" s="7"/>
      <c r="U33" s="133">
        <v>0</v>
      </c>
      <c r="V33" s="137">
        <v>0</v>
      </c>
      <c r="W33" s="132">
        <v>0</v>
      </c>
      <c r="X33" s="7"/>
      <c r="Y33" s="133">
        <v>0</v>
      </c>
      <c r="Z33" s="137">
        <v>0</v>
      </c>
      <c r="AA33" s="132">
        <v>0</v>
      </c>
      <c r="AB33" s="126" t="s">
        <v>583</v>
      </c>
      <c r="AC33" s="119"/>
      <c r="AD33" s="121"/>
      <c r="AE33" s="116"/>
      <c r="AG33" s="117"/>
      <c r="AH33" s="116"/>
    </row>
    <row r="34" spans="1:49">
      <c r="A34" s="70">
        <v>302</v>
      </c>
      <c r="B34" s="7"/>
      <c r="C34" s="136" t="s">
        <v>40</v>
      </c>
      <c r="D34" s="7"/>
      <c r="E34" s="133">
        <v>0</v>
      </c>
      <c r="F34" s="137">
        <v>0</v>
      </c>
      <c r="G34" s="132">
        <v>0</v>
      </c>
      <c r="H34" s="7"/>
      <c r="I34" s="133">
        <v>0</v>
      </c>
      <c r="J34" s="137">
        <v>0</v>
      </c>
      <c r="K34" s="132">
        <v>0</v>
      </c>
      <c r="L34" s="7"/>
      <c r="M34" s="133">
        <v>0</v>
      </c>
      <c r="N34" s="137">
        <v>0</v>
      </c>
      <c r="O34" s="132">
        <v>0</v>
      </c>
      <c r="P34" s="7"/>
      <c r="Q34" s="133">
        <v>0</v>
      </c>
      <c r="R34" s="137">
        <v>0</v>
      </c>
      <c r="S34" s="132">
        <v>0</v>
      </c>
      <c r="T34" s="7"/>
      <c r="U34" s="133">
        <v>0</v>
      </c>
      <c r="V34" s="137">
        <v>0</v>
      </c>
      <c r="W34" s="132">
        <v>0</v>
      </c>
      <c r="X34" s="7"/>
      <c r="Y34" s="133">
        <v>0</v>
      </c>
      <c r="Z34" s="137">
        <v>0</v>
      </c>
      <c r="AA34" s="132">
        <v>0</v>
      </c>
      <c r="AB34" s="126" t="s">
        <v>582</v>
      </c>
      <c r="AC34" s="119"/>
      <c r="AD34" s="121"/>
      <c r="AE34" s="116"/>
      <c r="AG34" s="117"/>
      <c r="AH34" s="116"/>
    </row>
    <row r="35" spans="1:49">
      <c r="A35" s="70">
        <v>303</v>
      </c>
      <c r="B35" s="7"/>
      <c r="C35" s="136" t="s">
        <v>41</v>
      </c>
      <c r="D35" s="7"/>
      <c r="E35" s="133">
        <v>30354.45</v>
      </c>
      <c r="F35" s="137">
        <v>49.598774509803924</v>
      </c>
      <c r="G35" s="132">
        <v>1.1825716856446924E-2</v>
      </c>
      <c r="H35" s="7"/>
      <c r="I35" s="133">
        <v>30702.720000000001</v>
      </c>
      <c r="J35" s="137">
        <v>47.601116279069771</v>
      </c>
      <c r="K35" s="132">
        <v>1.1608559611283669E-2</v>
      </c>
      <c r="L35" s="7"/>
      <c r="M35" s="133">
        <v>0</v>
      </c>
      <c r="N35" s="137">
        <v>0</v>
      </c>
      <c r="O35" s="132">
        <v>0</v>
      </c>
      <c r="P35" s="7"/>
      <c r="Q35" s="133">
        <v>0</v>
      </c>
      <c r="R35" s="137">
        <v>0</v>
      </c>
      <c r="S35" s="132">
        <v>0</v>
      </c>
      <c r="T35" s="7"/>
      <c r="U35" s="133">
        <v>30965.316483516483</v>
      </c>
      <c r="V35" s="137">
        <v>48.861518987341775</v>
      </c>
      <c r="W35" s="132">
        <v>1.1682083839514419E-2</v>
      </c>
      <c r="X35" s="7"/>
      <c r="Y35" s="133">
        <f>30702.72*INFLATION</f>
        <v>31316.774400000002</v>
      </c>
      <c r="Z35" s="137">
        <v>44.113103448275865</v>
      </c>
      <c r="AA35" s="132">
        <v>1.0350572010937704E-2</v>
      </c>
      <c r="AB35" s="126" t="s">
        <v>583</v>
      </c>
      <c r="AC35" s="119"/>
      <c r="AD35" s="121"/>
      <c r="AE35" s="116"/>
      <c r="AG35" s="117"/>
      <c r="AH35" s="116"/>
    </row>
    <row r="36" spans="1:49">
      <c r="A36" s="70">
        <v>304</v>
      </c>
      <c r="B36" s="7"/>
      <c r="C36" s="136" t="s">
        <v>59</v>
      </c>
      <c r="D36" s="7"/>
      <c r="E36" s="133">
        <v>29978.28</v>
      </c>
      <c r="F36" s="137">
        <v>48.984117647058824</v>
      </c>
      <c r="G36" s="132">
        <v>1.1679165694759274E-2</v>
      </c>
      <c r="H36" s="7"/>
      <c r="I36" s="133">
        <v>31749.43</v>
      </c>
      <c r="J36" s="137">
        <v>49.223922480620153</v>
      </c>
      <c r="K36" s="132">
        <v>1.2004315929640047E-2</v>
      </c>
      <c r="L36" s="7"/>
      <c r="M36" s="133">
        <v>0</v>
      </c>
      <c r="N36" s="137">
        <v>0</v>
      </c>
      <c r="O36" s="132">
        <v>0</v>
      </c>
      <c r="P36" s="7"/>
      <c r="Q36" s="133">
        <v>0</v>
      </c>
      <c r="R36" s="137">
        <v>0</v>
      </c>
      <c r="S36" s="132">
        <v>0</v>
      </c>
      <c r="T36" s="7"/>
      <c r="U36" s="133">
        <v>32371.087912087914</v>
      </c>
      <c r="V36" s="137">
        <v>51.079746835443046</v>
      </c>
      <c r="W36" s="132">
        <v>1.2212430096317815E-2</v>
      </c>
      <c r="X36" s="7"/>
      <c r="Y36" s="133">
        <f>31749.43*INFLATION</f>
        <v>32384.418600000001</v>
      </c>
      <c r="Z36" s="137">
        <v>45.616997126436779</v>
      </c>
      <c r="AA36" s="132">
        <v>1.0703441308171585E-2</v>
      </c>
      <c r="AB36" s="126" t="s">
        <v>583</v>
      </c>
      <c r="AC36" s="119"/>
      <c r="AD36" s="121"/>
      <c r="AE36" s="116"/>
      <c r="AG36" s="117"/>
      <c r="AH36" s="116"/>
    </row>
    <row r="37" spans="1:49">
      <c r="A37" s="70">
        <v>305</v>
      </c>
      <c r="B37" s="7"/>
      <c r="C37" s="136" t="s">
        <v>42</v>
      </c>
      <c r="D37" s="7"/>
      <c r="E37" s="133">
        <v>34906.68</v>
      </c>
      <c r="F37" s="137">
        <v>57.037058823529414</v>
      </c>
      <c r="G37" s="132">
        <v>1.3599209146553427E-2</v>
      </c>
      <c r="H37" s="7"/>
      <c r="I37" s="133">
        <v>22518.83</v>
      </c>
      <c r="J37" s="137">
        <v>34.912914728682175</v>
      </c>
      <c r="K37" s="132">
        <v>8.5142678053072504E-3</v>
      </c>
      <c r="L37" s="7"/>
      <c r="M37" s="133">
        <v>0</v>
      </c>
      <c r="N37" s="137">
        <v>0</v>
      </c>
      <c r="O37" s="132">
        <v>0</v>
      </c>
      <c r="P37" s="7"/>
      <c r="Q37" s="133">
        <v>0</v>
      </c>
      <c r="R37" s="137">
        <v>0</v>
      </c>
      <c r="S37" s="132">
        <v>0</v>
      </c>
      <c r="T37" s="7"/>
      <c r="U37" s="133">
        <v>0</v>
      </c>
      <c r="V37" s="137">
        <v>0</v>
      </c>
      <c r="W37" s="132">
        <v>0</v>
      </c>
      <c r="X37" s="7"/>
      <c r="Y37" s="133">
        <f>22518.83*INFLATION</f>
        <v>22969.206600000001</v>
      </c>
      <c r="Z37" s="137">
        <v>32.3546408045977</v>
      </c>
      <c r="AA37" s="132">
        <v>7.5916000770311007E-3</v>
      </c>
      <c r="AB37" s="126" t="s">
        <v>584</v>
      </c>
      <c r="AC37" s="119"/>
      <c r="AD37" s="121"/>
      <c r="AE37" s="116"/>
      <c r="AG37" s="117"/>
    </row>
    <row r="38" spans="1:49">
      <c r="A38" s="70">
        <v>306</v>
      </c>
      <c r="B38" s="7"/>
      <c r="C38" s="136" t="s">
        <v>43</v>
      </c>
      <c r="D38" s="7"/>
      <c r="E38" s="133">
        <v>45470.239999999998</v>
      </c>
      <c r="F38" s="137">
        <v>74.297777777777767</v>
      </c>
      <c r="G38" s="132">
        <v>1.7714640971412333E-2</v>
      </c>
      <c r="H38" s="7"/>
      <c r="I38" s="133">
        <v>40829.86</v>
      </c>
      <c r="J38" s="137">
        <v>63.302108527131786</v>
      </c>
      <c r="K38" s="132">
        <v>1.5437585455958516E-2</v>
      </c>
      <c r="L38" s="7"/>
      <c r="M38" s="133">
        <v>0</v>
      </c>
      <c r="N38" s="137">
        <v>0</v>
      </c>
      <c r="O38" s="132">
        <v>0</v>
      </c>
      <c r="P38" s="7"/>
      <c r="Q38" s="133">
        <v>0</v>
      </c>
      <c r="R38" s="137">
        <v>0</v>
      </c>
      <c r="S38" s="132">
        <v>0</v>
      </c>
      <c r="T38" s="7"/>
      <c r="U38" s="133">
        <v>44415.847252747255</v>
      </c>
      <c r="V38" s="137">
        <v>70.085696202531651</v>
      </c>
      <c r="W38" s="132">
        <v>1.6756478225755107E-2</v>
      </c>
      <c r="X38" s="7"/>
      <c r="Y38" s="133">
        <f>40829.86*INFLATION</f>
        <v>41646.457200000004</v>
      </c>
      <c r="Z38" s="137">
        <v>58.663591954022991</v>
      </c>
      <c r="AA38" s="132">
        <v>1.3764656881426302E-2</v>
      </c>
      <c r="AB38" s="126" t="s">
        <v>585</v>
      </c>
      <c r="AC38" s="119"/>
      <c r="AD38" s="121"/>
      <c r="AE38" s="116"/>
      <c r="AG38" s="117"/>
    </row>
    <row r="39" spans="1:49">
      <c r="A39" s="70">
        <v>307</v>
      </c>
      <c r="B39" s="7"/>
      <c r="C39" s="136" t="s">
        <v>44</v>
      </c>
      <c r="D39" s="7"/>
      <c r="E39" s="133">
        <v>0</v>
      </c>
      <c r="F39" s="137">
        <v>0</v>
      </c>
      <c r="G39" s="132">
        <v>0</v>
      </c>
      <c r="H39" s="7"/>
      <c r="I39" s="133">
        <v>0</v>
      </c>
      <c r="J39" s="137">
        <v>0</v>
      </c>
      <c r="K39" s="132">
        <v>0</v>
      </c>
      <c r="L39" s="7"/>
      <c r="M39" s="133">
        <v>0</v>
      </c>
      <c r="N39" s="137">
        <v>0</v>
      </c>
      <c r="O39" s="132">
        <v>0</v>
      </c>
      <c r="P39" s="7"/>
      <c r="Q39" s="133">
        <v>0</v>
      </c>
      <c r="R39" s="137">
        <v>0</v>
      </c>
      <c r="S39" s="132">
        <v>0</v>
      </c>
      <c r="T39" s="7"/>
      <c r="U39" s="133">
        <v>0</v>
      </c>
      <c r="V39" s="137">
        <v>0</v>
      </c>
      <c r="W39" s="132">
        <v>0</v>
      </c>
      <c r="X39" s="7"/>
      <c r="Y39" s="133">
        <v>0</v>
      </c>
      <c r="Z39" s="137">
        <v>0</v>
      </c>
      <c r="AA39" s="132">
        <v>0</v>
      </c>
      <c r="AB39" s="126" t="s">
        <v>585</v>
      </c>
      <c r="AC39" s="119"/>
      <c r="AD39" s="119"/>
      <c r="AE39" s="116"/>
      <c r="AG39" s="117"/>
    </row>
    <row r="40" spans="1:49">
      <c r="A40" s="70">
        <v>308</v>
      </c>
      <c r="B40" s="7"/>
      <c r="C40" s="136" t="s">
        <v>45</v>
      </c>
      <c r="D40" s="7"/>
      <c r="E40" s="133">
        <v>0</v>
      </c>
      <c r="F40" s="137">
        <v>0</v>
      </c>
      <c r="G40" s="132">
        <v>0</v>
      </c>
      <c r="H40" s="7"/>
      <c r="I40" s="133">
        <v>0</v>
      </c>
      <c r="J40" s="137">
        <v>0</v>
      </c>
      <c r="K40" s="132">
        <v>0</v>
      </c>
      <c r="L40" s="7"/>
      <c r="M40" s="133">
        <v>0</v>
      </c>
      <c r="N40" s="137">
        <v>0</v>
      </c>
      <c r="O40" s="132">
        <v>0</v>
      </c>
      <c r="P40" s="7"/>
      <c r="Q40" s="133">
        <v>0</v>
      </c>
      <c r="R40" s="137">
        <v>0</v>
      </c>
      <c r="S40" s="132">
        <v>0</v>
      </c>
      <c r="T40" s="7"/>
      <c r="U40" s="133">
        <v>0</v>
      </c>
      <c r="V40" s="137">
        <v>0</v>
      </c>
      <c r="W40" s="132">
        <v>0</v>
      </c>
      <c r="X40" s="7"/>
      <c r="Y40" s="133">
        <v>0</v>
      </c>
      <c r="Z40" s="137">
        <v>0</v>
      </c>
      <c r="AA40" s="132">
        <v>0</v>
      </c>
      <c r="AB40" s="126" t="s">
        <v>585</v>
      </c>
      <c r="AC40" s="119"/>
      <c r="AD40" s="123"/>
      <c r="AE40" s="118"/>
      <c r="AG40" s="117"/>
    </row>
    <row r="41" spans="1:49">
      <c r="A41" s="70">
        <v>309</v>
      </c>
      <c r="B41" s="7"/>
      <c r="C41" s="136" t="s">
        <v>46</v>
      </c>
      <c r="D41" s="7"/>
      <c r="E41" s="133">
        <v>0</v>
      </c>
      <c r="F41" s="137">
        <v>0</v>
      </c>
      <c r="G41" s="132">
        <v>0</v>
      </c>
      <c r="H41" s="7"/>
      <c r="I41" s="133">
        <v>0</v>
      </c>
      <c r="J41" s="137">
        <v>0</v>
      </c>
      <c r="K41" s="132">
        <v>0</v>
      </c>
      <c r="L41" s="7"/>
      <c r="M41" s="133">
        <v>0</v>
      </c>
      <c r="N41" s="137">
        <v>0</v>
      </c>
      <c r="O41" s="132">
        <v>0</v>
      </c>
      <c r="P41" s="7"/>
      <c r="Q41" s="133">
        <v>0</v>
      </c>
      <c r="R41" s="137">
        <v>0</v>
      </c>
      <c r="S41" s="132">
        <v>0</v>
      </c>
      <c r="T41" s="7"/>
      <c r="U41" s="133">
        <v>0</v>
      </c>
      <c r="V41" s="137">
        <v>0</v>
      </c>
      <c r="W41" s="132">
        <v>0</v>
      </c>
      <c r="X41" s="7"/>
      <c r="Y41" s="133">
        <v>0</v>
      </c>
      <c r="Z41" s="137">
        <v>0</v>
      </c>
      <c r="AA41" s="132">
        <v>0</v>
      </c>
      <c r="AB41" s="227" t="s">
        <v>572</v>
      </c>
      <c r="AC41" s="119"/>
      <c r="AD41" s="119"/>
      <c r="AE41" s="116"/>
      <c r="AG41" s="117"/>
    </row>
    <row r="42" spans="1:49">
      <c r="A42" s="70">
        <v>310</v>
      </c>
      <c r="B42" s="7"/>
      <c r="C42" s="136" t="s">
        <v>48</v>
      </c>
      <c r="D42" s="7"/>
      <c r="E42" s="133">
        <v>0</v>
      </c>
      <c r="F42" s="137">
        <v>0</v>
      </c>
      <c r="G42" s="132">
        <v>0</v>
      </c>
      <c r="H42" s="7"/>
      <c r="I42" s="133">
        <v>0</v>
      </c>
      <c r="J42" s="137">
        <v>0</v>
      </c>
      <c r="K42" s="132">
        <v>0</v>
      </c>
      <c r="L42" s="7"/>
      <c r="M42" s="133">
        <v>0</v>
      </c>
      <c r="N42" s="137">
        <v>0</v>
      </c>
      <c r="O42" s="132">
        <v>0</v>
      </c>
      <c r="P42" s="7"/>
      <c r="Q42" s="133">
        <v>0</v>
      </c>
      <c r="R42" s="137">
        <v>0</v>
      </c>
      <c r="S42" s="132">
        <v>0</v>
      </c>
      <c r="T42" s="7"/>
      <c r="U42" s="133">
        <v>0</v>
      </c>
      <c r="V42" s="137">
        <v>0</v>
      </c>
      <c r="W42" s="132">
        <v>0</v>
      </c>
      <c r="X42" s="7"/>
      <c r="Y42" s="133">
        <v>0</v>
      </c>
      <c r="Z42" s="137">
        <v>0</v>
      </c>
      <c r="AA42" s="132">
        <v>0</v>
      </c>
      <c r="AB42" s="227" t="s">
        <v>572</v>
      </c>
      <c r="AC42" s="119"/>
      <c r="AD42" s="119"/>
      <c r="AE42" s="116"/>
      <c r="AG42" s="117"/>
    </row>
    <row r="43" spans="1:49">
      <c r="A43" s="70">
        <v>311</v>
      </c>
      <c r="B43" s="7"/>
      <c r="C43" s="136" t="s">
        <v>47</v>
      </c>
      <c r="D43" s="7"/>
      <c r="E43" s="133">
        <v>59000</v>
      </c>
      <c r="F43" s="137">
        <v>96.40522875816994</v>
      </c>
      <c r="G43" s="132">
        <v>2.2985667489622393E-2</v>
      </c>
      <c r="H43" s="7"/>
      <c r="I43" s="133">
        <v>59000</v>
      </c>
      <c r="J43" s="137">
        <v>91.47286821705427</v>
      </c>
      <c r="K43" s="132">
        <v>2.2307633234636425E-2</v>
      </c>
      <c r="L43" s="7"/>
      <c r="M43" s="133">
        <v>0</v>
      </c>
      <c r="N43" s="137">
        <v>0</v>
      </c>
      <c r="O43" s="132">
        <v>0</v>
      </c>
      <c r="P43" s="7"/>
      <c r="Q43" s="133">
        <v>0</v>
      </c>
      <c r="R43" s="137">
        <v>0</v>
      </c>
      <c r="S43" s="132">
        <v>0</v>
      </c>
      <c r="T43" s="7"/>
      <c r="U43" s="133">
        <v>59000</v>
      </c>
      <c r="V43" s="137">
        <v>93.098664817062598</v>
      </c>
      <c r="W43" s="132">
        <v>2.2258546813117504E-2</v>
      </c>
      <c r="X43" s="7"/>
      <c r="Y43" s="133">
        <v>59000</v>
      </c>
      <c r="Z43" s="137">
        <v>84.770114942528735</v>
      </c>
      <c r="AA43" s="132">
        <v>1.9890216523009183E-2</v>
      </c>
      <c r="AB43" s="126" t="s">
        <v>578</v>
      </c>
      <c r="AC43" s="119"/>
      <c r="AD43" s="119"/>
      <c r="AE43" s="116"/>
      <c r="AG43" s="117"/>
    </row>
    <row r="44" spans="1:49">
      <c r="A44" s="70">
        <v>312</v>
      </c>
      <c r="B44" s="7"/>
      <c r="C44" s="136" t="s">
        <v>49</v>
      </c>
      <c r="D44" s="7"/>
      <c r="E44" s="133">
        <v>41989.22</v>
      </c>
      <c r="F44" s="137">
        <v>68.609836601307194</v>
      </c>
      <c r="G44" s="132">
        <v>1.6358478797772923E-2</v>
      </c>
      <c r="H44" s="7"/>
      <c r="I44" s="133">
        <v>58233.64</v>
      </c>
      <c r="J44" s="137">
        <v>90.284713178294567</v>
      </c>
      <c r="K44" s="132">
        <v>2.2017875983692425E-2</v>
      </c>
      <c r="L44" s="7"/>
      <c r="M44" s="133">
        <v>0</v>
      </c>
      <c r="N44" s="137">
        <v>0</v>
      </c>
      <c r="O44" s="132">
        <v>0</v>
      </c>
      <c r="P44" s="7"/>
      <c r="Q44" s="133">
        <v>0</v>
      </c>
      <c r="R44" s="137">
        <v>0</v>
      </c>
      <c r="S44" s="132">
        <v>0</v>
      </c>
      <c r="T44" s="7"/>
      <c r="U44" s="133">
        <v>47166.964560439555</v>
      </c>
      <c r="V44" s="137">
        <v>74.426803797468352</v>
      </c>
      <c r="W44" s="132">
        <v>1.7794374384766071E-2</v>
      </c>
      <c r="X44" s="7"/>
      <c r="Y44" s="133">
        <f>58233.64*INFLATION</f>
        <v>59398.3128</v>
      </c>
      <c r="Z44" s="137">
        <v>83.669022988505745</v>
      </c>
      <c r="AA44" s="132">
        <v>1.9631859466490993E-2</v>
      </c>
      <c r="AB44" s="126"/>
      <c r="AC44" s="119"/>
      <c r="AD44" s="124"/>
      <c r="AE44" s="118"/>
      <c r="AF44" s="116"/>
      <c r="AG44" s="117"/>
    </row>
    <row r="45" spans="1:49">
      <c r="A45" s="70">
        <v>313</v>
      </c>
      <c r="B45" s="7"/>
      <c r="C45" s="136" t="s">
        <v>50</v>
      </c>
      <c r="D45" s="7"/>
      <c r="E45" s="133">
        <v>0</v>
      </c>
      <c r="F45" s="137">
        <v>0</v>
      </c>
      <c r="G45" s="132">
        <v>0</v>
      </c>
      <c r="H45" s="7"/>
      <c r="I45" s="133">
        <v>0</v>
      </c>
      <c r="J45" s="137">
        <v>0</v>
      </c>
      <c r="K45" s="132">
        <v>0</v>
      </c>
      <c r="L45" s="7"/>
      <c r="M45" s="133">
        <v>0</v>
      </c>
      <c r="N45" s="137">
        <v>0</v>
      </c>
      <c r="O45" s="132">
        <v>0</v>
      </c>
      <c r="P45" s="7"/>
      <c r="Q45" s="133">
        <v>0</v>
      </c>
      <c r="R45" s="137">
        <v>0</v>
      </c>
      <c r="S45" s="132">
        <v>0</v>
      </c>
      <c r="T45" s="7"/>
      <c r="U45" s="133">
        <v>0</v>
      </c>
      <c r="V45" s="137">
        <v>0</v>
      </c>
      <c r="W45" s="132">
        <v>0</v>
      </c>
      <c r="X45" s="7"/>
      <c r="Y45" s="133">
        <v>0</v>
      </c>
      <c r="Z45" s="137">
        <v>0</v>
      </c>
      <c r="AA45" s="132">
        <v>0</v>
      </c>
      <c r="AB45" s="126"/>
      <c r="AC45" s="119"/>
      <c r="AE45" s="116"/>
      <c r="AF45" s="116"/>
      <c r="AG45" s="117"/>
    </row>
    <row r="46" spans="1:49" hidden="1" outlineLevel="1">
      <c r="A46" s="70">
        <v>320</v>
      </c>
      <c r="B46" s="7"/>
      <c r="C46" s="136" t="s">
        <v>52</v>
      </c>
      <c r="D46" s="7"/>
      <c r="E46" s="133">
        <v>0</v>
      </c>
      <c r="F46" s="137">
        <v>0</v>
      </c>
      <c r="G46" s="132">
        <v>0</v>
      </c>
      <c r="H46" s="7"/>
      <c r="I46" s="133">
        <v>0</v>
      </c>
      <c r="J46" s="137">
        <v>0</v>
      </c>
      <c r="K46" s="132">
        <v>0</v>
      </c>
      <c r="L46" s="7"/>
      <c r="M46" s="133">
        <v>0</v>
      </c>
      <c r="N46" s="137">
        <v>0</v>
      </c>
      <c r="O46" s="132">
        <v>0</v>
      </c>
      <c r="P46" s="7"/>
      <c r="Q46" s="133">
        <v>0</v>
      </c>
      <c r="R46" s="137">
        <v>0</v>
      </c>
      <c r="S46" s="132">
        <v>0</v>
      </c>
      <c r="T46" s="7"/>
      <c r="U46" s="133">
        <v>0</v>
      </c>
      <c r="V46" s="137">
        <v>0</v>
      </c>
      <c r="W46" s="132">
        <v>0</v>
      </c>
      <c r="X46" s="7"/>
      <c r="Y46" s="133">
        <v>0</v>
      </c>
      <c r="Z46" s="137">
        <v>0</v>
      </c>
      <c r="AA46" s="132">
        <v>0</v>
      </c>
      <c r="AB46" s="125"/>
      <c r="AC46" s="119"/>
      <c r="AD46" s="124"/>
      <c r="AE46" s="118"/>
      <c r="AF46" s="116"/>
      <c r="AG46" s="116"/>
    </row>
    <row r="47" spans="1:49" s="80" customFormat="1" hidden="1" outlineLevel="1">
      <c r="B47" s="76"/>
      <c r="C47" s="99"/>
      <c r="D47" s="7"/>
      <c r="E47" s="133"/>
      <c r="F47" s="34"/>
      <c r="G47" s="56"/>
      <c r="H47" s="7"/>
      <c r="I47" s="55"/>
      <c r="J47" s="34"/>
      <c r="K47" s="56"/>
      <c r="L47" s="7"/>
      <c r="M47" s="55"/>
      <c r="N47" s="34"/>
      <c r="O47" s="56"/>
      <c r="P47" s="7"/>
      <c r="Q47" s="55"/>
      <c r="R47" s="34"/>
      <c r="S47" s="56"/>
      <c r="T47" s="7"/>
      <c r="U47" s="55"/>
      <c r="V47" s="34"/>
      <c r="W47" s="56"/>
      <c r="X47" s="7"/>
      <c r="Y47" s="55"/>
      <c r="Z47" s="34"/>
      <c r="AA47" s="56"/>
      <c r="AB47" s="127"/>
      <c r="AC47" s="119"/>
      <c r="AD47" s="124"/>
      <c r="AE47" s="118"/>
      <c r="AF47" s="116"/>
      <c r="AG47" s="118"/>
      <c r="AI47" s="1"/>
      <c r="AJ47" s="1"/>
      <c r="AK47" s="1"/>
      <c r="AL47" s="1"/>
      <c r="AM47" s="1"/>
      <c r="AN47" s="1"/>
      <c r="AO47" s="1"/>
      <c r="AP47" s="1"/>
      <c r="AQ47" s="1"/>
      <c r="AR47" s="1"/>
      <c r="AS47" s="1"/>
      <c r="AT47" s="1"/>
      <c r="AU47" s="76"/>
      <c r="AV47" s="76"/>
      <c r="AW47" s="76"/>
    </row>
    <row r="48" spans="1:49" hidden="1" outlineLevel="1">
      <c r="A48" s="75">
        <v>1010</v>
      </c>
      <c r="B48" s="7"/>
      <c r="C48" s="100" t="s">
        <v>27</v>
      </c>
      <c r="D48" s="76"/>
      <c r="E48" s="81">
        <v>0</v>
      </c>
      <c r="F48" s="81">
        <v>0</v>
      </c>
      <c r="G48" s="79">
        <v>0</v>
      </c>
      <c r="H48" s="76"/>
      <c r="I48" s="78">
        <v>0</v>
      </c>
      <c r="J48" s="81">
        <v>0</v>
      </c>
      <c r="K48" s="79">
        <v>0</v>
      </c>
      <c r="L48" s="76"/>
      <c r="M48" s="78">
        <v>0</v>
      </c>
      <c r="N48" s="81">
        <v>0</v>
      </c>
      <c r="O48" s="79">
        <v>0</v>
      </c>
      <c r="P48" s="76"/>
      <c r="Q48" s="78">
        <v>0</v>
      </c>
      <c r="R48" s="81">
        <v>0</v>
      </c>
      <c r="S48" s="79">
        <v>0</v>
      </c>
      <c r="T48" s="76"/>
      <c r="U48" s="78">
        <v>0</v>
      </c>
      <c r="V48" s="81">
        <v>0</v>
      </c>
      <c r="W48" s="79">
        <v>0</v>
      </c>
      <c r="X48" s="76"/>
      <c r="Y48" s="78">
        <v>0</v>
      </c>
      <c r="Z48" s="81">
        <v>0</v>
      </c>
      <c r="AA48" s="79">
        <v>0</v>
      </c>
      <c r="AB48" s="125"/>
      <c r="AC48" s="119"/>
      <c r="AE48" s="116"/>
      <c r="AF48" s="116"/>
      <c r="AG48" s="116"/>
    </row>
    <row r="49" spans="1:33" hidden="1" outlineLevel="1">
      <c r="A49" s="57">
        <v>990</v>
      </c>
      <c r="B49" s="7"/>
      <c r="C49" s="101" t="s">
        <v>22</v>
      </c>
      <c r="D49" s="7"/>
      <c r="E49" s="60">
        <v>9015.34</v>
      </c>
      <c r="F49" s="60">
        <v>14.730947712418301</v>
      </c>
      <c r="G49" s="134">
        <v>3.5122645346761417E-3</v>
      </c>
      <c r="H49" s="7"/>
      <c r="I49" s="135">
        <v>5905.13</v>
      </c>
      <c r="J49" s="60">
        <v>9.1552403100775201</v>
      </c>
      <c r="K49" s="134">
        <v>2.2327029532686203E-3</v>
      </c>
      <c r="L49" s="7"/>
      <c r="M49" s="135">
        <v>0</v>
      </c>
      <c r="N49" s="60">
        <v>0</v>
      </c>
      <c r="O49" s="134">
        <v>0</v>
      </c>
      <c r="P49" s="7"/>
      <c r="Q49" s="135">
        <v>0</v>
      </c>
      <c r="R49" s="60">
        <v>0</v>
      </c>
      <c r="S49" s="134">
        <v>0</v>
      </c>
      <c r="T49" s="7"/>
      <c r="U49" s="135">
        <v>1640.6549450549448</v>
      </c>
      <c r="V49" s="60">
        <v>2.5888607594936706</v>
      </c>
      <c r="W49" s="134">
        <v>6.1895923557081728E-4</v>
      </c>
      <c r="X49" s="7"/>
      <c r="Y49" s="135">
        <v>818.07999999999993</v>
      </c>
      <c r="Z49" s="60">
        <v>1.1754022988505746</v>
      </c>
      <c r="AA49" s="134">
        <v>2.7579302259565005E-4</v>
      </c>
      <c r="AB49" s="125"/>
      <c r="AE49" s="116"/>
      <c r="AF49" s="116"/>
      <c r="AG49" s="116"/>
    </row>
    <row r="50" spans="1:33" hidden="1" outlineLevel="1">
      <c r="A50" s="57">
        <v>991</v>
      </c>
      <c r="B50" s="7"/>
      <c r="C50" s="101" t="s">
        <v>53</v>
      </c>
      <c r="D50" s="7"/>
      <c r="E50" s="60">
        <v>128341</v>
      </c>
      <c r="F50" s="60">
        <v>209.70751633986927</v>
      </c>
      <c r="G50" s="134">
        <v>5.0000060191281823E-2</v>
      </c>
      <c r="H50" s="7"/>
      <c r="I50" s="135">
        <v>129353</v>
      </c>
      <c r="J50" s="60">
        <v>200.54728682170543</v>
      </c>
      <c r="K50" s="134">
        <v>4.8907784437286876E-2</v>
      </c>
      <c r="L50" s="7"/>
      <c r="M50" s="135">
        <v>0</v>
      </c>
      <c r="N50" s="60">
        <v>0</v>
      </c>
      <c r="O50" s="134">
        <v>0</v>
      </c>
      <c r="P50" s="7"/>
      <c r="Q50" s="135">
        <v>0</v>
      </c>
      <c r="R50" s="60">
        <v>0</v>
      </c>
      <c r="S50" s="134">
        <v>0</v>
      </c>
      <c r="T50" s="7"/>
      <c r="U50" s="135">
        <v>120329.67032967033</v>
      </c>
      <c r="V50" s="60">
        <v>189.87341772151899</v>
      </c>
      <c r="W50" s="134">
        <v>4.5395993221016333E-2</v>
      </c>
      <c r="X50" s="7"/>
      <c r="Y50" s="135">
        <v>60000</v>
      </c>
      <c r="Z50" s="60">
        <v>86.206896551724142</v>
      </c>
      <c r="AA50" s="134">
        <v>2.0227338836958493E-2</v>
      </c>
      <c r="AB50" s="125"/>
      <c r="AC50" s="119"/>
      <c r="AD50" s="119"/>
      <c r="AE50" s="116"/>
      <c r="AF50" s="116"/>
      <c r="AG50" s="116"/>
    </row>
    <row r="51" spans="1:33" hidden="1" outlineLevel="1">
      <c r="A51" s="57">
        <v>992</v>
      </c>
      <c r="B51" s="7"/>
      <c r="C51" s="101" t="s">
        <v>54</v>
      </c>
      <c r="D51" s="7"/>
      <c r="E51" s="60">
        <v>765123.11</v>
      </c>
      <c r="F51" s="60">
        <v>1250.201160130719</v>
      </c>
      <c r="G51" s="134">
        <v>0.29808246432348773</v>
      </c>
      <c r="H51" s="7"/>
      <c r="I51" s="135">
        <v>766840.92</v>
      </c>
      <c r="J51" s="60">
        <v>1188.9006511627908</v>
      </c>
      <c r="K51" s="134">
        <v>0.28993908462154533</v>
      </c>
      <c r="L51" s="7"/>
      <c r="M51" s="135">
        <v>0</v>
      </c>
      <c r="N51" s="60">
        <v>0</v>
      </c>
      <c r="O51" s="134">
        <v>0</v>
      </c>
      <c r="P51" s="7"/>
      <c r="Q51" s="135">
        <v>0</v>
      </c>
      <c r="R51" s="60">
        <v>0</v>
      </c>
      <c r="S51" s="134">
        <v>0</v>
      </c>
      <c r="T51" s="7"/>
      <c r="U51" s="135">
        <v>768947.62582417589</v>
      </c>
      <c r="V51" s="60">
        <v>1213.3558860759495</v>
      </c>
      <c r="W51" s="134">
        <v>0.29009587671598275</v>
      </c>
      <c r="X51" s="7"/>
      <c r="Y51" s="135">
        <v>383420.46</v>
      </c>
      <c r="Z51" s="60">
        <v>550.89146551724139</v>
      </c>
      <c r="AA51" s="134">
        <v>0.12925959269070819</v>
      </c>
      <c r="AB51" s="125"/>
      <c r="AC51" s="119"/>
      <c r="AD51" s="121"/>
      <c r="AE51" s="116"/>
      <c r="AF51" s="116"/>
      <c r="AG51" s="116"/>
    </row>
    <row r="52" spans="1:33" hidden="1" outlineLevel="1">
      <c r="A52" s="7"/>
      <c r="B52" s="7"/>
      <c r="C52" s="102" t="s">
        <v>25</v>
      </c>
      <c r="D52" s="7"/>
      <c r="E52" s="64">
        <v>2135950.25</v>
      </c>
      <c r="F52" s="64">
        <v>3490.1147875816991</v>
      </c>
      <c r="G52" s="65">
        <v>0.83213969865891224</v>
      </c>
      <c r="H52" s="7"/>
      <c r="I52" s="63">
        <v>2133242.23</v>
      </c>
      <c r="J52" s="64">
        <v>3307.3522945736436</v>
      </c>
      <c r="K52" s="65">
        <v>0.80656924182165968</v>
      </c>
      <c r="L52" s="7"/>
      <c r="M52" s="63">
        <v>0</v>
      </c>
      <c r="N52" s="64">
        <v>0</v>
      </c>
      <c r="O52" s="65">
        <v>0</v>
      </c>
      <c r="P52" s="7"/>
      <c r="Q52" s="63">
        <v>0</v>
      </c>
      <c r="R52" s="64">
        <v>0</v>
      </c>
      <c r="S52" s="65">
        <v>0</v>
      </c>
      <c r="T52" s="7"/>
      <c r="U52" s="63">
        <v>2118824.2942307694</v>
      </c>
      <c r="V52" s="64">
        <v>3343.3849622854173</v>
      </c>
      <c r="W52" s="65">
        <v>0.79935508037129221</v>
      </c>
      <c r="X52" s="7"/>
      <c r="Y52" s="63">
        <v>1753511.245116279</v>
      </c>
      <c r="Z52" s="64">
        <v>2519.4127085004006</v>
      </c>
      <c r="AA52" s="65">
        <v>0.59114776848973261</v>
      </c>
      <c r="AB52" s="125"/>
      <c r="AC52" s="267"/>
      <c r="AD52" s="121"/>
      <c r="AE52" s="117"/>
      <c r="AF52" s="116"/>
      <c r="AG52" s="116"/>
    </row>
    <row r="53" spans="1:33" hidden="1" outlineLevel="1">
      <c r="A53" s="6"/>
      <c r="B53" s="7"/>
      <c r="C53" s="99"/>
      <c r="D53" s="7"/>
      <c r="E53" s="133"/>
      <c r="F53" s="34"/>
      <c r="G53" s="56"/>
      <c r="H53" s="7"/>
      <c r="I53" s="55"/>
      <c r="J53" s="34"/>
      <c r="K53" s="56"/>
      <c r="L53" s="7"/>
      <c r="M53" s="55"/>
      <c r="N53" s="34"/>
      <c r="O53" s="56"/>
      <c r="P53" s="7"/>
      <c r="Q53" s="55"/>
      <c r="R53" s="34"/>
      <c r="S53" s="56"/>
      <c r="T53" s="7"/>
      <c r="U53" s="55"/>
      <c r="V53" s="34"/>
      <c r="W53" s="56"/>
      <c r="X53" s="7"/>
      <c r="Y53" s="55"/>
      <c r="Z53" s="34"/>
      <c r="AA53" s="56"/>
      <c r="AB53" s="126"/>
      <c r="AC53" s="119"/>
      <c r="AD53" s="119"/>
      <c r="AE53" s="117"/>
      <c r="AF53" s="116"/>
      <c r="AG53" s="116"/>
    </row>
    <row r="54" spans="1:33" collapsed="1">
      <c r="A54" s="6"/>
      <c r="B54" s="7"/>
      <c r="C54" s="98" t="s">
        <v>71</v>
      </c>
      <c r="D54" s="7"/>
      <c r="E54" s="133"/>
      <c r="F54" s="137"/>
      <c r="G54" s="132"/>
      <c r="H54" s="7"/>
      <c r="I54" s="133"/>
      <c r="J54" s="137"/>
      <c r="K54" s="132"/>
      <c r="L54" s="7"/>
      <c r="M54" s="133">
        <v>0</v>
      </c>
      <c r="N54" s="137">
        <v>0</v>
      </c>
      <c r="O54" s="132">
        <v>0</v>
      </c>
      <c r="P54" s="7"/>
      <c r="Q54" s="133">
        <v>0</v>
      </c>
      <c r="R54" s="137">
        <v>0</v>
      </c>
      <c r="S54" s="132">
        <v>0</v>
      </c>
      <c r="T54" s="7"/>
      <c r="U54" s="133"/>
      <c r="V54" s="137"/>
      <c r="W54" s="132"/>
      <c r="X54" s="7"/>
      <c r="Y54" s="133"/>
      <c r="Z54" s="137"/>
      <c r="AA54" s="132"/>
      <c r="AB54" s="126"/>
      <c r="AC54" s="122"/>
      <c r="AD54" s="122"/>
      <c r="AE54" s="117"/>
      <c r="AF54" s="117"/>
      <c r="AG54" s="117"/>
    </row>
    <row r="55" spans="1:33">
      <c r="A55" s="7"/>
      <c r="B55" s="7"/>
      <c r="C55" s="103" t="s">
        <v>39</v>
      </c>
      <c r="D55" s="7"/>
      <c r="E55" s="51">
        <f>SUM(E54,E32:E46)</f>
        <v>1233470.7999999998</v>
      </c>
      <c r="F55" s="52">
        <f>IFERROR(E55/(E$12*E$63*E$62),0)</f>
        <v>2015.4751633986925</v>
      </c>
      <c r="G55" s="53">
        <f ca="1">IFERROR(E55/E$29,0)</f>
        <v>0.48054490960946644</v>
      </c>
      <c r="H55" s="7"/>
      <c r="I55" s="51">
        <f>SUM(I54,I32:I46)</f>
        <v>1231143.18</v>
      </c>
      <c r="J55" s="52">
        <f>IFERROR(I55/(I$12*I$63*I$62),0)</f>
        <v>1908.7491162790698</v>
      </c>
      <c r="K55" s="53">
        <f ca="1">IFERROR(I55/I$29,0)</f>
        <v>0.46548966980955886</v>
      </c>
      <c r="L55" s="7"/>
      <c r="M55" s="51">
        <f>SUM(M54,M32:M46)</f>
        <v>0</v>
      </c>
      <c r="N55" s="52">
        <f ca="1">IFERROR(M55/(M$12*M$63*M$62),0)</f>
        <v>0</v>
      </c>
      <c r="O55" s="53">
        <f ca="1">IFERROR(M55/M$29,0)</f>
        <v>0</v>
      </c>
      <c r="P55" s="7"/>
      <c r="Q55" s="51">
        <f>SUM(Q54,Q32:Q46)</f>
        <v>0</v>
      </c>
      <c r="R55" s="52">
        <f ca="1">IFERROR(Q55/(Q$12*Q$63*Q$62),0)</f>
        <v>0</v>
      </c>
      <c r="S55" s="53">
        <f ca="1">IFERROR(Q55/Q$29,0)</f>
        <v>0</v>
      </c>
      <c r="T55" s="7"/>
      <c r="U55" s="51">
        <f>SUM(U54,U32:U46)</f>
        <v>1227906.3431318682</v>
      </c>
      <c r="V55" s="52">
        <f>IFERROR(U55/(U$12*U$63*U$62),0)</f>
        <v>1937.5667977284552</v>
      </c>
      <c r="W55" s="53">
        <f ca="1">IFERROR(U55/U$29,0)</f>
        <v>0.46324425119872226</v>
      </c>
      <c r="X55" s="7"/>
      <c r="Y55" s="51">
        <f>SUM(Y54,Y32:Y46)</f>
        <v>1334278.1592186054</v>
      </c>
      <c r="Z55" s="52">
        <f>IFERROR(Y55/(Y$12*Y$63*Y$62),0)</f>
        <v>1917.0663207163871</v>
      </c>
      <c r="AA55" s="53">
        <f ca="1">IFERROR(Y55/Y$29,0)</f>
        <v>0.44981494048779974</v>
      </c>
      <c r="AB55" s="125"/>
      <c r="AE55" s="116"/>
      <c r="AF55" s="117"/>
      <c r="AG55" s="117"/>
    </row>
    <row r="56" spans="1:33" hidden="1" outlineLevel="1">
      <c r="A56" s="7"/>
      <c r="B56" s="7"/>
      <c r="C56" s="54"/>
      <c r="D56" s="7"/>
      <c r="E56" s="55"/>
      <c r="F56" s="34"/>
      <c r="G56" s="56"/>
      <c r="H56" s="7"/>
      <c r="I56" s="55"/>
      <c r="J56" s="34"/>
      <c r="K56" s="56"/>
      <c r="L56" s="7"/>
      <c r="M56" s="55"/>
      <c r="N56" s="34"/>
      <c r="O56" s="56"/>
      <c r="P56" s="7"/>
      <c r="Q56" s="55"/>
      <c r="R56" s="34"/>
      <c r="S56" s="56"/>
      <c r="T56" s="7"/>
      <c r="U56" s="55"/>
      <c r="V56" s="34"/>
      <c r="W56" s="56"/>
      <c r="X56" s="7"/>
      <c r="Y56" s="55"/>
      <c r="Z56" s="34"/>
      <c r="AA56" s="56"/>
      <c r="AB56" s="125"/>
      <c r="AC56" s="119"/>
      <c r="AD56" s="119"/>
      <c r="AE56" s="117"/>
      <c r="AF56" s="117"/>
      <c r="AG56" s="117"/>
    </row>
    <row r="57" spans="1:33" hidden="1" outlineLevel="1">
      <c r="A57" s="7"/>
      <c r="B57" s="7"/>
      <c r="C57" s="62" t="s">
        <v>26</v>
      </c>
      <c r="D57" s="7"/>
      <c r="E57" s="63">
        <f ca="1">E27-E52</f>
        <v>430866.65999999968</v>
      </c>
      <c r="F57" s="64">
        <f ca="1">IFERROR(E57/(E$12*E$63*E$62),0)</f>
        <v>704.03049019607795</v>
      </c>
      <c r="G57" s="65">
        <f ca="1">IFERROR(E57/E$27,0)</f>
        <v>0.16786030134108776</v>
      </c>
      <c r="H57" s="7"/>
      <c r="I57" s="63">
        <f ca="1">I27-I52</f>
        <v>511592.35999999987</v>
      </c>
      <c r="J57" s="64">
        <f ca="1">IFERROR(I57/(I$12*I$63*I$62),0)</f>
        <v>793.16644961240286</v>
      </c>
      <c r="K57" s="65">
        <f ca="1">IFERROR(I57/I$27,0)</f>
        <v>0.19343075817834032</v>
      </c>
      <c r="L57" s="7"/>
      <c r="M57" s="63" t="e">
        <f ca="1">M27-M52+#REF!</f>
        <v>#REF!</v>
      </c>
      <c r="N57" s="64">
        <f ca="1">IFERROR(M57/(M$12*M$63*M$62),0)</f>
        <v>0</v>
      </c>
      <c r="O57" s="65">
        <f ca="1">IFERROR(M57/M$27,0)</f>
        <v>0</v>
      </c>
      <c r="P57" s="7"/>
      <c r="Q57" s="63" t="e">
        <f ca="1">Q27-Q52+#REF!</f>
        <v>#REF!</v>
      </c>
      <c r="R57" s="64">
        <f ca="1">IFERROR(Q57/(Q$12*Q$63*Q$62),0)</f>
        <v>0</v>
      </c>
      <c r="S57" s="65">
        <f ca="1">IFERROR(Q57/Q$27,0)</f>
        <v>0</v>
      </c>
      <c r="T57" s="7"/>
      <c r="U57" s="63">
        <f ca="1">U27-U52</f>
        <v>531842.90769230761</v>
      </c>
      <c r="V57" s="64">
        <f ca="1">IFERROR(U57/(U$12*U$63*U$62),0)</f>
        <v>839.21804404369675</v>
      </c>
      <c r="W57" s="65">
        <f ca="1">IFERROR(U57/U$27,0)</f>
        <v>0.20064491962870781</v>
      </c>
      <c r="X57" s="7"/>
      <c r="Y57" s="63">
        <f ca="1">Y27-Y52</f>
        <v>1212771.1948837209</v>
      </c>
      <c r="Z57" s="64">
        <f ca="1">IFERROR(Y57/(Y$12*Y$63*Y$62),0)</f>
        <v>1742.4873489708634</v>
      </c>
      <c r="AA57" s="65">
        <f ca="1">IFERROR(Y57/Y$27,0)</f>
        <v>0.40885223151026745</v>
      </c>
      <c r="AB57" s="125"/>
      <c r="AC57" s="119"/>
      <c r="AD57" s="119"/>
      <c r="AE57" s="117"/>
      <c r="AF57" s="117"/>
      <c r="AG57" s="117"/>
    </row>
    <row r="58" spans="1:33" collapsed="1">
      <c r="A58" s="6"/>
      <c r="B58" s="7"/>
      <c r="C58" s="54"/>
      <c r="D58" s="7"/>
      <c r="E58" s="55"/>
      <c r="F58" s="34"/>
      <c r="G58" s="56"/>
      <c r="H58" s="7"/>
      <c r="I58" s="55"/>
      <c r="J58" s="34"/>
      <c r="K58" s="56"/>
      <c r="L58" s="7"/>
      <c r="M58" s="55"/>
      <c r="N58" s="34"/>
      <c r="O58" s="56"/>
      <c r="P58" s="7"/>
      <c r="Q58" s="55"/>
      <c r="R58" s="34"/>
      <c r="S58" s="56"/>
      <c r="T58" s="7"/>
      <c r="U58" s="55"/>
      <c r="V58" s="34"/>
      <c r="W58" s="56"/>
      <c r="X58" s="7"/>
      <c r="Y58" s="55"/>
      <c r="Z58" s="34"/>
      <c r="AA58" s="56"/>
      <c r="AB58" s="126"/>
      <c r="AC58" s="121"/>
      <c r="AD58" s="121"/>
      <c r="AE58" s="117"/>
      <c r="AF58" s="117"/>
      <c r="AG58" s="117"/>
    </row>
    <row r="59" spans="1:33">
      <c r="A59" s="71"/>
      <c r="B59" s="7"/>
      <c r="C59" s="50" t="s">
        <v>18</v>
      </c>
      <c r="D59" s="7"/>
      <c r="E59" s="51">
        <f ca="1">E29-E55</f>
        <v>1333346.1099999999</v>
      </c>
      <c r="F59" s="52">
        <f ca="1">IFERROR(E59/(E$12*E$63*E$62),0)</f>
        <v>2178.6701143790847</v>
      </c>
      <c r="G59" s="53">
        <f ca="1">IFERROR(E59/E$29,0)</f>
        <v>0.5194550903905335</v>
      </c>
      <c r="H59" s="7"/>
      <c r="I59" s="51">
        <f ca="1">I29-I55</f>
        <v>1413691.41</v>
      </c>
      <c r="J59" s="52">
        <f ca="1">IFERROR(I59/(I$12*I$63*I$62),0)</f>
        <v>2191.7696279069764</v>
      </c>
      <c r="K59" s="53">
        <f ca="1">IFERROR(I59/I$29,0)</f>
        <v>0.53451033019044114</v>
      </c>
      <c r="L59" s="7"/>
      <c r="M59" s="51" t="e">
        <f ca="1">M29-M55+#REF!</f>
        <v>#REF!</v>
      </c>
      <c r="N59" s="52">
        <f ca="1">IFERROR(M59/(M$12*M$63*M$62),0)</f>
        <v>0</v>
      </c>
      <c r="O59" s="53">
        <f ca="1">IFERROR(M59/M$29,0)</f>
        <v>0</v>
      </c>
      <c r="P59" s="7"/>
      <c r="Q59" s="51" t="e">
        <f ca="1">Q29-Q55+#REF!</f>
        <v>#REF!</v>
      </c>
      <c r="R59" s="52">
        <f ca="1">IFERROR(Q59/(Q$12*Q$63*Q$62),0)</f>
        <v>0</v>
      </c>
      <c r="S59" s="53">
        <f ca="1">IFERROR(Q59/Q$29,0)</f>
        <v>0</v>
      </c>
      <c r="T59" s="7"/>
      <c r="U59" s="51">
        <f ca="1">U29-U55</f>
        <v>1422760.8587912088</v>
      </c>
      <c r="V59" s="52">
        <f ca="1">IFERROR(U59/(U$12*U$63*U$62),0)</f>
        <v>2245.0362086006589</v>
      </c>
      <c r="W59" s="53">
        <f ca="1">IFERROR(U59/U$29,0)</f>
        <v>0.53675574880127774</v>
      </c>
      <c r="X59" s="7"/>
      <c r="Y59" s="51">
        <f ca="1">Y29-Y55</f>
        <v>1632004.2807813946</v>
      </c>
      <c r="Z59" s="52">
        <f ca="1">IFERROR(Y59/(Y$12*Y$63*Y$62),0)</f>
        <v>2344.8337367548775</v>
      </c>
      <c r="AA59" s="53">
        <f ca="1">IFERROR(Y59/Y$29,0)</f>
        <v>0.55018505951220031</v>
      </c>
      <c r="AB59" s="125"/>
      <c r="AC59" s="119"/>
      <c r="AD59" s="119"/>
      <c r="AE59" s="117"/>
      <c r="AF59" s="117"/>
      <c r="AG59" s="117"/>
    </row>
    <row r="60" spans="1:33">
      <c r="A60" s="71"/>
      <c r="B60" s="7"/>
      <c r="C60" s="71"/>
      <c r="D60" s="7"/>
      <c r="E60" s="71"/>
      <c r="F60" s="72"/>
      <c r="G60" s="71"/>
      <c r="H60" s="7"/>
      <c r="I60" s="71"/>
      <c r="J60" s="72"/>
      <c r="K60" s="71"/>
      <c r="L60" s="7"/>
      <c r="M60" s="71"/>
      <c r="N60" s="72"/>
      <c r="O60" s="71"/>
      <c r="P60" s="7"/>
      <c r="Q60" s="71"/>
      <c r="R60" s="72"/>
      <c r="S60" s="71"/>
      <c r="T60" s="7"/>
      <c r="U60" s="71"/>
      <c r="V60" s="72"/>
      <c r="W60" s="71"/>
      <c r="X60" s="7"/>
      <c r="Y60" s="71"/>
      <c r="Z60" s="72"/>
      <c r="AA60" s="71"/>
      <c r="AB60" s="125"/>
      <c r="AC60" s="119"/>
      <c r="AD60" s="119"/>
      <c r="AE60" s="117"/>
      <c r="AF60" s="117"/>
      <c r="AG60" s="117"/>
    </row>
    <row r="61" spans="1:33">
      <c r="A61" s="71"/>
      <c r="B61" s="7"/>
      <c r="C61" s="73" t="s">
        <v>19</v>
      </c>
      <c r="D61" s="7"/>
      <c r="E61" s="73">
        <f>F$1-E$1+1</f>
        <v>365</v>
      </c>
      <c r="F61" s="71"/>
      <c r="G61" s="71"/>
      <c r="H61" s="7"/>
      <c r="I61" s="73">
        <f>J$1-I$1+1</f>
        <v>365</v>
      </c>
      <c r="J61" s="71"/>
      <c r="K61" s="71"/>
      <c r="L61" s="7"/>
      <c r="M61" s="73">
        <f>N$1-M$1+1</f>
        <v>181</v>
      </c>
      <c r="N61" s="71"/>
      <c r="O61" s="71"/>
      <c r="P61" s="7"/>
      <c r="Q61" s="73">
        <f>R$1-Q$1+1</f>
        <v>91</v>
      </c>
      <c r="R61" s="71"/>
      <c r="S61" s="71"/>
      <c r="T61" s="7"/>
      <c r="U61" s="73">
        <f>V$1-U$1+1</f>
        <v>182</v>
      </c>
      <c r="V61" s="71"/>
      <c r="W61" s="71"/>
      <c r="X61" s="7"/>
      <c r="Y61" s="73">
        <f>Z$1-Y$1+1</f>
        <v>366</v>
      </c>
      <c r="Z61" s="71"/>
      <c r="AA61" s="71"/>
      <c r="AB61" s="125"/>
      <c r="AC61" s="119"/>
      <c r="AD61" s="119"/>
      <c r="AE61" s="117"/>
      <c r="AF61" s="117"/>
      <c r="AG61" s="117"/>
    </row>
    <row r="62" spans="1:33">
      <c r="A62" s="71"/>
      <c r="B62" s="7"/>
      <c r="C62" s="73" t="s">
        <v>20</v>
      </c>
      <c r="D62" s="7"/>
      <c r="E62" s="74">
        <f>365/E61</f>
        <v>1</v>
      </c>
      <c r="F62" s="71"/>
      <c r="G62" s="71"/>
      <c r="H62" s="7"/>
      <c r="I62" s="74">
        <f>365/I61</f>
        <v>1</v>
      </c>
      <c r="J62" s="71"/>
      <c r="K62" s="71"/>
      <c r="L62" s="7"/>
      <c r="M62" s="74">
        <f>365/M61</f>
        <v>2.0165745856353592</v>
      </c>
      <c r="N62" s="71"/>
      <c r="O62" s="71"/>
      <c r="P62" s="7"/>
      <c r="Q62" s="74">
        <f>365/Q61</f>
        <v>4.0109890109890109</v>
      </c>
      <c r="R62" s="71"/>
      <c r="S62" s="71"/>
      <c r="T62" s="7"/>
      <c r="U62" s="74">
        <f>365/U61</f>
        <v>2.0054945054945055</v>
      </c>
      <c r="V62" s="71"/>
      <c r="W62" s="71"/>
      <c r="X62" s="7"/>
      <c r="Y62" s="74">
        <f>365/365</f>
        <v>1</v>
      </c>
      <c r="Z62" s="71"/>
      <c r="AA62" s="71"/>
      <c r="AB62" s="125"/>
      <c r="AC62" s="119"/>
      <c r="AD62" s="119"/>
      <c r="AE62" s="117"/>
      <c r="AF62" s="117"/>
      <c r="AG62" s="117"/>
    </row>
    <row r="63" spans="1:33">
      <c r="A63" s="71"/>
      <c r="B63" s="7"/>
      <c r="C63" s="73" t="s">
        <v>21</v>
      </c>
      <c r="D63" s="7"/>
      <c r="E63" s="73">
        <f>ROUND((F$1-E$1+15)/30.5,0)</f>
        <v>12</v>
      </c>
      <c r="F63" s="71"/>
      <c r="G63" s="71"/>
      <c r="H63" s="7"/>
      <c r="I63" s="73">
        <f>ROUND((J$1-I$1+15)/30.5,0)</f>
        <v>12</v>
      </c>
      <c r="J63" s="71"/>
      <c r="K63" s="71"/>
      <c r="L63" s="7"/>
      <c r="M63" s="73">
        <f>ROUND((N$1-M$1+15)/30.5,0)</f>
        <v>6</v>
      </c>
      <c r="N63" s="71"/>
      <c r="O63" s="71"/>
      <c r="P63" s="7"/>
      <c r="Q63" s="73">
        <f>ROUND((R$1-Q$1+15)/30.5,0)</f>
        <v>3</v>
      </c>
      <c r="R63" s="71"/>
      <c r="S63" s="71"/>
      <c r="T63" s="7"/>
      <c r="U63" s="73">
        <f>ROUND((V$1-U$1+15)/30.5,0)</f>
        <v>6</v>
      </c>
      <c r="V63" s="71"/>
      <c r="W63" s="228"/>
      <c r="X63" s="7"/>
      <c r="Y63" s="73">
        <f>ROUND((Z$1-Y$1+15)/30.5,0)</f>
        <v>12</v>
      </c>
      <c r="Z63" s="71"/>
      <c r="AA63" s="228"/>
      <c r="AB63" s="125"/>
      <c r="AC63" s="119"/>
      <c r="AD63" s="119"/>
      <c r="AE63" s="117"/>
      <c r="AF63" s="117"/>
      <c r="AG63" s="117"/>
    </row>
    <row r="64" spans="1:33">
      <c r="A64" s="71"/>
      <c r="B64" s="7"/>
      <c r="C64" s="7"/>
      <c r="D64" s="7"/>
      <c r="E64" s="7"/>
      <c r="F64" s="71"/>
      <c r="G64" s="71"/>
      <c r="H64" s="7"/>
      <c r="I64" s="7"/>
      <c r="J64" s="71"/>
      <c r="K64" s="71"/>
      <c r="L64" s="7"/>
      <c r="M64" s="7"/>
      <c r="N64" s="71"/>
      <c r="O64" s="71"/>
      <c r="P64" s="7"/>
      <c r="Q64" s="7"/>
      <c r="R64" s="71"/>
      <c r="S64" s="71"/>
      <c r="T64" s="7"/>
      <c r="U64" s="7"/>
      <c r="V64" s="71"/>
      <c r="W64" s="71"/>
      <c r="X64" s="7"/>
      <c r="Y64" s="7"/>
      <c r="Z64" s="71"/>
      <c r="AA64" s="71"/>
      <c r="AB64" s="125"/>
      <c r="AC64" s="119"/>
      <c r="AD64" s="119"/>
      <c r="AE64" s="117"/>
      <c r="AF64" s="117"/>
      <c r="AG64" s="117"/>
    </row>
    <row r="65" spans="1:33">
      <c r="B65" s="178"/>
      <c r="C65" s="7"/>
      <c r="D65" s="7"/>
      <c r="F65" s="71"/>
      <c r="G65" s="7" t="s">
        <v>90</v>
      </c>
      <c r="H65" s="7"/>
      <c r="I65" s="7"/>
      <c r="J65" s="71"/>
      <c r="K65" s="71"/>
      <c r="L65" s="7"/>
      <c r="M65" s="7"/>
      <c r="N65" s="71"/>
      <c r="O65" s="71"/>
      <c r="P65" s="7"/>
      <c r="Q65" s="7"/>
      <c r="R65" s="71"/>
      <c r="S65" s="71"/>
      <c r="T65" s="7"/>
      <c r="U65" s="7"/>
      <c r="V65" s="71"/>
      <c r="W65" s="71"/>
      <c r="X65" s="7"/>
      <c r="Y65" s="7"/>
      <c r="Z65" s="71"/>
      <c r="AA65" s="71"/>
      <c r="AB65" s="125"/>
      <c r="AC65" s="119"/>
      <c r="AD65" s="119"/>
      <c r="AE65" s="117"/>
      <c r="AF65" s="117"/>
      <c r="AG65" s="117"/>
    </row>
    <row r="66" spans="1:33">
      <c r="A66" s="144">
        <v>222</v>
      </c>
      <c r="B66" s="177"/>
      <c r="C66" s="145" t="s">
        <v>87</v>
      </c>
      <c r="D66" s="146"/>
      <c r="E66" s="147">
        <f t="array" aca="1" ref="E66" ca="1">SUM(IF(LEFT($A66,3)=LEFT(INDIRECT($AE$8),3),INDIRECT($AF$8),""))*E$62</f>
        <v>2566816.91</v>
      </c>
      <c r="F66" s="148"/>
      <c r="G66" s="145" t="s">
        <v>87</v>
      </c>
      <c r="H66" s="149"/>
      <c r="I66" s="150">
        <f t="array" aca="1" ref="I66" ca="1">SUM(IF(LEFT($A66,3)=LEFT(INDIRECT($AE$8),3),INDIRECT($AG$8),""))*I$62</f>
        <v>2644834.59</v>
      </c>
      <c r="J66" s="148"/>
      <c r="K66" s="148"/>
      <c r="L66" s="149"/>
      <c r="M66" s="149"/>
      <c r="N66" s="148"/>
      <c r="O66" s="148"/>
      <c r="P66" s="149"/>
      <c r="Q66" s="149"/>
      <c r="R66" s="148"/>
      <c r="S66" s="148"/>
      <c r="T66" s="149"/>
      <c r="U66" s="151">
        <f t="array" aca="1" ref="U66" ca="1">SUM(IF(LEFT($A66,3)=LEFT(INDIRECT($AE$8),3),INDIRECT($AH$8),""))*U$62</f>
        <v>2650665.1964285714</v>
      </c>
      <c r="V66" s="71"/>
      <c r="W66" s="71"/>
      <c r="X66" s="149"/>
      <c r="Y66" s="151">
        <f t="array" aca="1" ref="Y66" ca="1">SUM(IF(LEFT($A66,3)=LEFT(INDIRECT($AE$8),3),INDIRECT($AH$8),""))*Y$62</f>
        <v>1321701.55</v>
      </c>
      <c r="Z66" s="71"/>
      <c r="AA66" s="71"/>
      <c r="AB66" s="125"/>
      <c r="AC66" s="119"/>
      <c r="AD66" s="119"/>
      <c r="AE66" s="117"/>
      <c r="AF66" s="117"/>
      <c r="AG66" s="117"/>
    </row>
    <row r="67" spans="1:33">
      <c r="A67" s="152">
        <v>333</v>
      </c>
      <c r="B67" s="178"/>
      <c r="C67" s="153" t="s">
        <v>82</v>
      </c>
      <c r="D67" s="154"/>
      <c r="E67" s="155">
        <f t="array" aca="1" ref="E67" ca="1">SUM(IF(LEFT($A67,3)=LEFT(INDIRECT($AE$8),3),INDIRECT($AF$8),""))*E$62</f>
        <v>2879718.9</v>
      </c>
      <c r="F67" s="156"/>
      <c r="G67" s="153" t="s">
        <v>82</v>
      </c>
      <c r="H67" s="34"/>
      <c r="I67" s="157">
        <f t="array" aca="1" ref="I67" ca="1">SUM(IF(LEFT($A67,3)=LEFT(INDIRECT($AE$8),3),INDIRECT($AG$8),""))*I$62</f>
        <v>2828241.13</v>
      </c>
      <c r="J67" s="158"/>
      <c r="K67" s="158"/>
      <c r="L67" s="34"/>
      <c r="M67" s="34"/>
      <c r="N67" s="158"/>
      <c r="O67" s="158"/>
      <c r="P67" s="34"/>
      <c r="Q67" s="34"/>
      <c r="R67" s="158"/>
      <c r="S67" s="158"/>
      <c r="T67" s="34"/>
      <c r="U67" s="159">
        <f t="array" aca="1" ref="U67" ca="1">SUM(IF(LEFT($A67,3)=LEFT(INDIRECT($AE$8),3),INDIRECT($AH$8),""))*U$62</f>
        <v>2704089.64478022</v>
      </c>
      <c r="V67" s="71"/>
      <c r="W67" s="71"/>
      <c r="X67" s="34"/>
      <c r="Y67" s="159">
        <f t="array" aca="1" ref="Y67" ca="1">SUM(IF(LEFT($A67,3)=LEFT(INDIRECT($AE$8),3),INDIRECT($AH$8),""))*Y$62</f>
        <v>1348340.59</v>
      </c>
      <c r="Z67" s="71"/>
      <c r="AA67" s="71"/>
      <c r="AB67" s="125"/>
      <c r="AC67" s="119"/>
      <c r="AD67" s="119"/>
      <c r="AE67" s="117"/>
      <c r="AF67" s="117"/>
      <c r="AG67" s="117"/>
    </row>
    <row r="68" spans="1:33">
      <c r="A68" s="160">
        <v>444</v>
      </c>
      <c r="B68" s="180"/>
      <c r="C68" s="161" t="s">
        <v>88</v>
      </c>
      <c r="D68" s="162"/>
      <c r="E68" s="163">
        <f t="array" aca="1" ref="E68" ca="1">SUM(IF(LEFT($A68,3)=LEFT(INDIRECT($AE$8),3),INDIRECT($AF$8),""))*E$62</f>
        <v>-315953.99</v>
      </c>
      <c r="F68" s="164"/>
      <c r="G68" s="161" t="s">
        <v>88</v>
      </c>
      <c r="H68" s="165"/>
      <c r="I68" s="166">
        <f t="array" aca="1" ref="I68" ca="1">SUM(IF(LEFT($A68,3)=LEFT(INDIRECT($AE$8),3),INDIRECT($AG$8),""))*I$62</f>
        <v>-184310.5</v>
      </c>
      <c r="J68" s="164"/>
      <c r="K68" s="164"/>
      <c r="L68" s="165"/>
      <c r="M68" s="165"/>
      <c r="N68" s="164"/>
      <c r="O68" s="164"/>
      <c r="P68" s="165"/>
      <c r="Q68" s="165"/>
      <c r="R68" s="164"/>
      <c r="S68" s="164"/>
      <c r="T68" s="165"/>
      <c r="U68" s="167">
        <f t="array" aca="1" ref="U68" ca="1">SUM(IF(LEFT($A68,3)=LEFT(INDIRECT($AE$8),3),INDIRECT($AH$8),""))*U$62</f>
        <v>-54330.891758241756</v>
      </c>
      <c r="V68" s="71"/>
      <c r="W68" s="71"/>
      <c r="X68" s="165"/>
      <c r="Y68" s="167">
        <f t="array" aca="1" ref="Y68" ca="1">SUM(IF(LEFT($A68,3)=LEFT(INDIRECT($AE$8),3),INDIRECT($AH$8),""))*Y$62</f>
        <v>-27091.02</v>
      </c>
      <c r="Z68" s="71"/>
      <c r="AA68" s="71"/>
      <c r="AB68" s="125"/>
      <c r="AC68" s="119"/>
      <c r="AD68" s="119"/>
      <c r="AE68" s="117"/>
      <c r="AF68" s="117"/>
      <c r="AG68" s="117"/>
    </row>
    <row r="69" spans="1:33">
      <c r="A69" s="168"/>
      <c r="B69" s="179"/>
      <c r="C69" s="170" t="s">
        <v>89</v>
      </c>
      <c r="D69" s="169"/>
      <c r="E69" s="171">
        <f ca="1">E68-E57</f>
        <v>-746820.64999999967</v>
      </c>
      <c r="F69" s="172"/>
      <c r="G69" s="170" t="s">
        <v>89</v>
      </c>
      <c r="H69" s="169"/>
      <c r="I69" s="171">
        <f ca="1">I68-I57-I43</f>
        <v>-754902.85999999987</v>
      </c>
      <c r="J69" s="172"/>
      <c r="K69" s="172"/>
      <c r="L69" s="169"/>
      <c r="M69" s="169"/>
      <c r="N69" s="172"/>
      <c r="O69" s="172"/>
      <c r="P69" s="169"/>
      <c r="Q69" s="169"/>
      <c r="R69" s="172"/>
      <c r="S69" s="172"/>
      <c r="T69" s="169"/>
      <c r="U69" s="173">
        <f ca="1">U68-U57-SUM(U41,U42,U43)</f>
        <v>-645173.79945054941</v>
      </c>
      <c r="V69" s="71" t="s">
        <v>579</v>
      </c>
      <c r="W69" s="71"/>
      <c r="X69" s="169"/>
      <c r="Y69" s="173">
        <f ca="1">Y68-Y57-SUM(Y41,Y42,Y43)</f>
        <v>-1298862.214883721</v>
      </c>
      <c r="Z69" s="71" t="s">
        <v>579</v>
      </c>
      <c r="AA69" s="71"/>
      <c r="AB69" s="125"/>
      <c r="AC69" s="119"/>
      <c r="AD69" s="119"/>
      <c r="AE69" s="117"/>
      <c r="AF69" s="117"/>
      <c r="AG69" s="117"/>
    </row>
    <row r="70" spans="1:33">
      <c r="A70" s="71"/>
      <c r="B70" s="7"/>
      <c r="C70" s="7"/>
      <c r="D70" s="7"/>
      <c r="E70" s="7"/>
      <c r="F70" s="71"/>
      <c r="G70" s="71"/>
      <c r="H70" s="7"/>
      <c r="I70" s="7"/>
      <c r="J70" s="71"/>
      <c r="K70" s="71"/>
      <c r="L70" s="7"/>
      <c r="M70" s="7"/>
      <c r="N70" s="71"/>
      <c r="O70" s="71"/>
      <c r="P70" s="7"/>
      <c r="Q70" s="7"/>
      <c r="R70" s="71"/>
      <c r="S70" s="71"/>
      <c r="T70" s="7"/>
      <c r="U70" s="7"/>
      <c r="V70" s="71"/>
      <c r="W70" s="71"/>
      <c r="X70" s="7"/>
      <c r="Y70" s="7"/>
      <c r="Z70" s="71"/>
      <c r="AA70" s="71"/>
      <c r="AB70" s="125"/>
      <c r="AC70" s="119"/>
      <c r="AD70" s="119"/>
      <c r="AE70" s="117"/>
      <c r="AF70" s="117"/>
      <c r="AG70" s="117"/>
    </row>
    <row r="71" spans="1:33">
      <c r="A71" s="71"/>
      <c r="B71" s="7"/>
      <c r="C71" s="7"/>
      <c r="D71" s="7"/>
      <c r="E71" s="7"/>
      <c r="F71" s="71"/>
      <c r="G71" s="71"/>
      <c r="H71" s="7"/>
      <c r="I71" s="7"/>
      <c r="J71" s="71"/>
      <c r="K71" s="71"/>
      <c r="L71" s="7"/>
      <c r="M71" s="7"/>
      <c r="N71" s="71"/>
      <c r="O71" s="71"/>
      <c r="P71" s="7"/>
      <c r="Q71" s="7"/>
      <c r="R71" s="71"/>
      <c r="S71" s="71"/>
      <c r="T71" s="7"/>
      <c r="U71" s="7"/>
      <c r="V71" s="71"/>
      <c r="W71" s="71"/>
      <c r="X71" s="7"/>
      <c r="Y71" s="7"/>
      <c r="Z71" s="71"/>
      <c r="AA71" s="71"/>
      <c r="AB71" s="125"/>
      <c r="AC71" s="119"/>
      <c r="AD71" s="119"/>
      <c r="AE71" s="117"/>
      <c r="AF71" s="117"/>
      <c r="AG71" s="117"/>
    </row>
    <row r="72" spans="1:33">
      <c r="A72" s="71"/>
      <c r="B72" s="7"/>
      <c r="C72" s="7"/>
      <c r="D72" s="7"/>
      <c r="E72" s="7"/>
      <c r="F72" s="71"/>
      <c r="G72" s="71"/>
      <c r="H72" s="7"/>
      <c r="I72" s="7"/>
      <c r="J72" s="71"/>
      <c r="K72" s="71"/>
      <c r="L72" s="7"/>
      <c r="M72" s="7"/>
      <c r="N72" s="71"/>
      <c r="O72" s="71"/>
      <c r="P72" s="7"/>
      <c r="Q72" s="7"/>
      <c r="R72" s="71"/>
      <c r="S72" s="71"/>
      <c r="T72" s="7"/>
      <c r="U72" s="7"/>
      <c r="V72" s="71"/>
      <c r="W72" s="71"/>
      <c r="X72" s="7"/>
      <c r="Y72" s="7"/>
      <c r="Z72" s="71"/>
      <c r="AA72" s="71"/>
      <c r="AB72" s="125"/>
      <c r="AC72" s="119"/>
      <c r="AD72" s="119"/>
      <c r="AE72" s="117"/>
      <c r="AF72" s="117"/>
      <c r="AG72" s="117"/>
    </row>
    <row r="73" spans="1:33">
      <c r="C73" s="7"/>
      <c r="D73" s="7"/>
      <c r="E73" s="7"/>
      <c r="F73" s="71"/>
      <c r="G73" s="71"/>
      <c r="H73" s="7"/>
      <c r="I73" s="7"/>
      <c r="J73" s="71"/>
      <c r="K73" s="71"/>
      <c r="L73" s="7"/>
      <c r="M73" s="7"/>
      <c r="N73" s="71"/>
      <c r="O73" s="71"/>
      <c r="P73" s="7"/>
      <c r="Q73" s="7"/>
      <c r="R73" s="71"/>
      <c r="S73" s="71"/>
      <c r="T73" s="7"/>
      <c r="U73" s="7"/>
      <c r="V73" s="71"/>
      <c r="W73" s="71"/>
      <c r="X73" s="7"/>
      <c r="Y73" s="7"/>
      <c r="Z73" s="71"/>
      <c r="AA73" s="71"/>
      <c r="AE73" s="116"/>
      <c r="AF73" s="116"/>
      <c r="AG73" s="116"/>
    </row>
    <row r="77" spans="1:33">
      <c r="C77" s="131" t="s">
        <v>64</v>
      </c>
    </row>
    <row r="78" spans="1:33">
      <c r="C78" s="1" t="s">
        <v>65</v>
      </c>
    </row>
    <row r="79" spans="1:33">
      <c r="C79" s="1" t="s">
        <v>66</v>
      </c>
    </row>
    <row r="80" spans="1:33">
      <c r="C80" s="1" t="s">
        <v>67</v>
      </c>
    </row>
    <row r="81" spans="3:3">
      <c r="C81" s="1" t="s">
        <v>68</v>
      </c>
    </row>
    <row r="82" spans="3:3">
      <c r="C82" s="1" t="s">
        <v>69</v>
      </c>
    </row>
    <row r="84" spans="3:3">
      <c r="C84" s="1" t="s">
        <v>70</v>
      </c>
    </row>
  </sheetData>
  <mergeCells count="1">
    <mergeCell ref="Y2:AA3"/>
  </mergeCells>
  <pageMargins left="0.7" right="0.7" top="0.75" bottom="0.75" header="0.3" footer="0.3"/>
  <ignoredErrors>
    <ignoredError sqref="E10:AA31 Y32:Y45 F7:Z7"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H592"/>
  <sheetViews>
    <sheetView topLeftCell="A318" zoomScale="115" zoomScaleNormal="115" workbookViewId="0">
      <selection activeCell="H267" sqref="H267"/>
    </sheetView>
  </sheetViews>
  <sheetFormatPr defaultRowHeight="10.199999999999999" outlineLevelCol="1"/>
  <cols>
    <col min="1" max="1" width="12.6640625" style="207" customWidth="1"/>
    <col min="2" max="2" width="5.77734375" style="215" customWidth="1"/>
    <col min="3" max="3" width="63.77734375" style="207" customWidth="1"/>
    <col min="4" max="4" width="33.33203125" style="207" hidden="1" customWidth="1" outlineLevel="1"/>
    <col min="5" max="5" width="33.88671875" style="207" hidden="1" customWidth="1" outlineLevel="1"/>
    <col min="6" max="6" width="2.77734375" style="200" customWidth="1" collapsed="1"/>
    <col min="7" max="7" width="37.5546875" style="199" customWidth="1"/>
    <col min="8" max="8" width="13.21875" style="203" customWidth="1"/>
    <col min="9" max="9" width="15.88671875" style="204" customWidth="1"/>
    <col min="10" max="10" width="14.33203125" style="204" bestFit="1" customWidth="1"/>
    <col min="11" max="11" width="8.88671875" style="204"/>
    <col min="12" max="12" width="13.109375" style="204" bestFit="1" customWidth="1"/>
    <col min="13" max="34" width="8.88671875" style="204"/>
    <col min="35" max="16384" width="8.88671875" style="199"/>
  </cols>
  <sheetData>
    <row r="1" spans="1:34">
      <c r="A1" s="198" t="s">
        <v>5</v>
      </c>
      <c r="B1" s="198" t="s">
        <v>6</v>
      </c>
      <c r="C1" s="198" t="s">
        <v>32</v>
      </c>
      <c r="D1" s="198" t="s">
        <v>31</v>
      </c>
      <c r="E1" s="198" t="s">
        <v>81</v>
      </c>
      <c r="F1" s="181"/>
      <c r="G1" s="182"/>
      <c r="H1" s="183" t="s">
        <v>254</v>
      </c>
      <c r="I1" s="184" t="s">
        <v>255</v>
      </c>
      <c r="J1" s="184" t="s">
        <v>303</v>
      </c>
      <c r="K1" s="184"/>
      <c r="L1" s="184"/>
      <c r="M1" s="184"/>
      <c r="N1" s="184"/>
      <c r="O1" s="184"/>
      <c r="P1" s="184"/>
      <c r="Q1" s="184"/>
      <c r="R1" s="184"/>
      <c r="S1" s="184"/>
      <c r="T1" s="184"/>
      <c r="U1" s="184"/>
      <c r="V1" s="184"/>
      <c r="W1" s="184"/>
      <c r="X1" s="184"/>
      <c r="Y1" s="184"/>
      <c r="Z1" s="184"/>
      <c r="AA1" s="184"/>
      <c r="AB1" s="184"/>
      <c r="AC1" s="184"/>
      <c r="AD1" s="184"/>
      <c r="AE1" s="184"/>
      <c r="AF1" s="184"/>
      <c r="AG1" s="184"/>
      <c r="AH1" s="184"/>
    </row>
    <row r="2" spans="1:34">
      <c r="A2" s="185" t="str">
        <f>IF(AND(LEN(H2)&gt;0,LEN(H1)=0,LEFT(H2,3)&lt;&gt;"TOT"),"GROUP","")</f>
        <v/>
      </c>
      <c r="B2" s="186"/>
      <c r="C2" s="185" t="str">
        <f>IF(LEN(D2)&gt;0,TRIM(E2&amp;" "&amp;D2),"")</f>
        <v/>
      </c>
      <c r="D2" s="185" t="str">
        <f>IFERROR(IF(AND(LEN(A2)&gt;0,A2&lt;&gt;"GROUP"),UPPER(H2),""),"")</f>
        <v/>
      </c>
      <c r="E2" s="185" t="str">
        <f>IFERROR(IF(A2="GROUP",UPPER(G2),IF(AND(LEN(A2)&gt;0,A2&lt;&gt;"GROUP"),UPPER(E1),"")),"")</f>
        <v/>
      </c>
      <c r="F2" s="187"/>
      <c r="G2" s="188"/>
      <c r="H2" s="189"/>
      <c r="I2" s="190"/>
      <c r="J2" s="190"/>
      <c r="K2" s="190"/>
      <c r="L2" s="190"/>
      <c r="M2" s="190"/>
      <c r="N2" s="190"/>
      <c r="O2" s="190"/>
      <c r="P2" s="190"/>
      <c r="Q2" s="190"/>
      <c r="R2" s="190"/>
      <c r="S2" s="190"/>
      <c r="T2" s="190"/>
      <c r="U2" s="190"/>
      <c r="V2" s="190"/>
      <c r="W2" s="190"/>
      <c r="X2" s="190"/>
      <c r="Y2" s="190"/>
      <c r="Z2" s="190"/>
      <c r="AA2" s="190"/>
      <c r="AB2" s="190"/>
      <c r="AC2" s="190"/>
      <c r="AD2" s="190"/>
      <c r="AE2" s="190"/>
      <c r="AF2" s="190"/>
      <c r="AG2" s="190"/>
      <c r="AH2" s="190"/>
    </row>
    <row r="3" spans="1:34">
      <c r="A3" s="185" t="str">
        <f>IF(AND(LEN(G3)&gt;0,LEN(G2)=0,LEFT(G3,3)&lt;&gt;"TOT"),"GROUP","")</f>
        <v>GROUP</v>
      </c>
      <c r="B3" s="186"/>
      <c r="C3" s="185" t="str">
        <f>IF(LEN(D3)&gt;0,TRIM(E3&amp;" "&amp;D3),"")</f>
        <v/>
      </c>
      <c r="D3" s="185" t="str">
        <f>IFERROR(IF(AND(LEN(A3)&gt;0,A3&lt;&gt;"GROUP"),UPPER(G3),""),"")</f>
        <v/>
      </c>
      <c r="E3" s="185" t="str">
        <f>IFERROR(IF(A3="GROUP",UPPER(G3),IF(AND(LEN(A3)&gt;0,A3&lt;&gt;"GROUP"),UPPER(E2),"")),"")</f>
        <v>INCOME</v>
      </c>
      <c r="G3" s="191" t="s">
        <v>73</v>
      </c>
      <c r="H3" s="201"/>
      <c r="I3" s="190"/>
      <c r="J3" s="190"/>
      <c r="K3" s="190"/>
      <c r="L3" s="190"/>
      <c r="M3" s="190"/>
      <c r="N3" s="190"/>
      <c r="O3" s="190"/>
      <c r="P3" s="190"/>
      <c r="Q3" s="190"/>
      <c r="R3" s="190"/>
      <c r="S3" s="190"/>
      <c r="T3" s="190"/>
      <c r="U3" s="190"/>
      <c r="V3" s="190"/>
      <c r="W3" s="190"/>
      <c r="X3" s="190"/>
      <c r="Y3" s="190"/>
      <c r="Z3" s="190"/>
      <c r="AA3" s="190"/>
      <c r="AB3" s="190"/>
      <c r="AC3" s="190"/>
      <c r="AD3" s="190"/>
      <c r="AE3" s="190"/>
      <c r="AF3" s="190"/>
      <c r="AG3" s="190"/>
      <c r="AH3" s="190"/>
    </row>
    <row r="4" spans="1:34">
      <c r="A4" s="185" t="s">
        <v>312</v>
      </c>
      <c r="B4" s="186">
        <f ca="1">IF(LEN(A4)=0,"",IFERROR(VLOOKUP(C4,INDIRECT(A4&amp;"_LOOKUP"),2,FALSE),"-100"))</f>
        <v>201</v>
      </c>
      <c r="C4" s="185" t="str">
        <f>IF(LEN(D4)&gt;0,TRIM(E4&amp;" : "&amp;D4),"")</f>
        <v>INCOME : 40100 ROOM &amp; BOARD</v>
      </c>
      <c r="D4" s="185" t="str">
        <f>IFERROR(IF(AND(LEN(A4)&gt;0,A4&lt;&gt;"GROUP"),UPPER(G4),""),"")</f>
        <v>40100 ROOM &amp; BOARD</v>
      </c>
      <c r="E4" s="185" t="str">
        <f>IFERROR(IF(A4="GROUP",UPPER(G4),IF(AND(LEN(A4)&gt;0,A4&lt;&gt;"GROUP"),UPPER(E3),"")),"")</f>
        <v>INCOME</v>
      </c>
      <c r="F4" s="187"/>
      <c r="G4" s="191" t="s">
        <v>92</v>
      </c>
      <c r="H4" s="201"/>
      <c r="I4" s="190"/>
      <c r="J4" s="190"/>
      <c r="K4" s="190"/>
      <c r="L4" s="190"/>
      <c r="M4" s="190"/>
      <c r="N4" s="190"/>
      <c r="O4" s="190"/>
      <c r="P4" s="190"/>
      <c r="Q4" s="190"/>
      <c r="R4" s="190"/>
      <c r="S4" s="190"/>
      <c r="T4" s="190"/>
      <c r="U4" s="190"/>
      <c r="V4" s="190"/>
      <c r="W4" s="190"/>
      <c r="X4" s="190"/>
      <c r="Y4" s="190"/>
      <c r="Z4" s="190"/>
      <c r="AA4" s="190"/>
      <c r="AB4" s="190"/>
      <c r="AC4" s="190"/>
      <c r="AD4" s="190"/>
      <c r="AE4" s="190"/>
      <c r="AF4" s="190"/>
      <c r="AG4" s="190"/>
      <c r="AH4" s="190"/>
    </row>
    <row r="5" spans="1:34">
      <c r="A5" s="185" t="s">
        <v>312</v>
      </c>
      <c r="B5" s="186">
        <f t="shared" ref="B5:B68" ca="1" si="0">IF(LEN(A5)=0,"",IFERROR(VLOOKUP(C5,INDIRECT(A5&amp;"_LOOKUP"),2,FALSE),"-100"))</f>
        <v>201</v>
      </c>
      <c r="C5" s="185" t="str">
        <f t="shared" ref="C5:C68" si="1">IF(LEN(D5)&gt;0,TRIM(E5&amp;" : "&amp;D5),"")</f>
        <v>INCOME : 40101 BUILDING 9900</v>
      </c>
      <c r="D5" s="185" t="str">
        <f t="shared" ref="D5:D68" si="2">IFERROR(IF(AND(LEN(A5)&gt;0,A5&lt;&gt;"GROUP"),UPPER(G5),""),"")</f>
        <v>40101 BUILDING 9900</v>
      </c>
      <c r="E5" s="185" t="str">
        <f t="shared" ref="E5:E68" si="3">IFERROR(IF(A5="GROUP",UPPER(G5),IF(AND(LEN(A5)&gt;0,A5&lt;&gt;"GROUP"),UPPER(E4),"")),"")</f>
        <v>INCOME</v>
      </c>
      <c r="F5" s="187"/>
      <c r="G5" s="191" t="s">
        <v>93</v>
      </c>
      <c r="H5" s="192">
        <v>597330.32999999996</v>
      </c>
      <c r="I5" s="190"/>
      <c r="J5" s="190"/>
      <c r="K5" s="190"/>
      <c r="L5" s="190"/>
      <c r="M5" s="190"/>
      <c r="N5" s="190"/>
      <c r="O5" s="190"/>
      <c r="P5" s="190"/>
      <c r="Q5" s="190"/>
      <c r="R5" s="190"/>
      <c r="S5" s="190"/>
      <c r="T5" s="190"/>
      <c r="U5" s="190"/>
      <c r="V5" s="190"/>
      <c r="W5" s="190"/>
      <c r="X5" s="190"/>
      <c r="Y5" s="190"/>
      <c r="Z5" s="190"/>
      <c r="AA5" s="190"/>
      <c r="AB5" s="190"/>
      <c r="AC5" s="190"/>
      <c r="AD5" s="190"/>
      <c r="AE5" s="190"/>
      <c r="AF5" s="190"/>
      <c r="AG5" s="190"/>
      <c r="AH5" s="190"/>
    </row>
    <row r="6" spans="1:34">
      <c r="A6" s="185" t="s">
        <v>312</v>
      </c>
      <c r="B6" s="186">
        <f t="shared" ca="1" si="0"/>
        <v>201</v>
      </c>
      <c r="C6" s="185" t="str">
        <f t="shared" si="1"/>
        <v>INCOME : 40102 BUILDING 9902</v>
      </c>
      <c r="D6" s="185" t="str">
        <f t="shared" si="2"/>
        <v>40102 BUILDING 9902</v>
      </c>
      <c r="E6" s="185" t="str">
        <f t="shared" si="3"/>
        <v>INCOME</v>
      </c>
      <c r="F6" s="187"/>
      <c r="G6" s="191" t="s">
        <v>94</v>
      </c>
      <c r="H6" s="192">
        <v>562065.51</v>
      </c>
      <c r="I6" s="190"/>
      <c r="J6" s="190"/>
      <c r="K6" s="190"/>
      <c r="L6" s="190"/>
      <c r="M6" s="190"/>
      <c r="N6" s="190"/>
      <c r="O6" s="190"/>
      <c r="P6" s="190"/>
      <c r="Q6" s="190"/>
      <c r="R6" s="190"/>
      <c r="S6" s="190"/>
      <c r="T6" s="190"/>
      <c r="U6" s="190"/>
      <c r="V6" s="190"/>
      <c r="W6" s="190"/>
      <c r="X6" s="190"/>
      <c r="Y6" s="190"/>
      <c r="Z6" s="190"/>
      <c r="AA6" s="190"/>
      <c r="AB6" s="190"/>
      <c r="AC6" s="190"/>
      <c r="AD6" s="190"/>
      <c r="AE6" s="190"/>
      <c r="AF6" s="190"/>
      <c r="AG6" s="190"/>
      <c r="AH6" s="190"/>
    </row>
    <row r="7" spans="1:34">
      <c r="A7" s="185" t="s">
        <v>312</v>
      </c>
      <c r="B7" s="186">
        <f t="shared" ca="1" si="0"/>
        <v>201</v>
      </c>
      <c r="C7" s="185" t="str">
        <f t="shared" si="1"/>
        <v>INCOME : 40104 BUILDING 9904</v>
      </c>
      <c r="D7" s="185" t="str">
        <f t="shared" si="2"/>
        <v>40104 BUILDING 9904</v>
      </c>
      <c r="E7" s="185" t="str">
        <f t="shared" si="3"/>
        <v>INCOME</v>
      </c>
      <c r="G7" s="191" t="s">
        <v>95</v>
      </c>
      <c r="H7" s="192">
        <v>771593.09</v>
      </c>
      <c r="I7" s="190"/>
      <c r="J7" s="190"/>
      <c r="K7" s="190"/>
      <c r="L7" s="190"/>
      <c r="M7" s="190"/>
      <c r="N7" s="190"/>
      <c r="O7" s="190"/>
      <c r="P7" s="190"/>
      <c r="Q7" s="190"/>
      <c r="R7" s="190"/>
      <c r="S7" s="190"/>
      <c r="T7" s="190"/>
      <c r="U7" s="190"/>
      <c r="V7" s="190"/>
      <c r="W7" s="190"/>
      <c r="X7" s="190"/>
      <c r="Y7" s="190"/>
      <c r="Z7" s="190"/>
      <c r="AA7" s="190"/>
      <c r="AB7" s="190"/>
      <c r="AC7" s="190"/>
      <c r="AD7" s="190"/>
      <c r="AE7" s="190"/>
      <c r="AF7" s="190"/>
      <c r="AG7" s="190"/>
      <c r="AH7" s="190"/>
    </row>
    <row r="8" spans="1:34">
      <c r="A8" s="185" t="s">
        <v>312</v>
      </c>
      <c r="B8" s="186">
        <f t="shared" ca="1" si="0"/>
        <v>202</v>
      </c>
      <c r="C8" s="185" t="str">
        <f t="shared" si="1"/>
        <v>INCOME : 40108 BUILDING 9906</v>
      </c>
      <c r="D8" s="185" t="str">
        <f t="shared" si="2"/>
        <v>40108 BUILDING 9906</v>
      </c>
      <c r="E8" s="185" t="str">
        <f t="shared" si="3"/>
        <v>INCOME</v>
      </c>
      <c r="F8" s="187"/>
      <c r="G8" s="191" t="s">
        <v>96</v>
      </c>
      <c r="H8" s="192">
        <v>538098.37</v>
      </c>
      <c r="I8" s="190"/>
      <c r="J8" s="190"/>
      <c r="K8" s="190"/>
      <c r="L8" s="190"/>
      <c r="M8" s="190"/>
      <c r="N8" s="190"/>
      <c r="O8" s="190"/>
      <c r="P8" s="190"/>
      <c r="Q8" s="190"/>
      <c r="R8" s="190"/>
      <c r="S8" s="190"/>
      <c r="T8" s="190"/>
      <c r="U8" s="190"/>
      <c r="V8" s="190"/>
      <c r="W8" s="190"/>
      <c r="X8" s="190"/>
      <c r="Y8" s="190"/>
      <c r="Z8" s="190"/>
      <c r="AA8" s="190"/>
      <c r="AB8" s="190"/>
      <c r="AC8" s="190"/>
      <c r="AD8" s="190"/>
      <c r="AE8" s="190"/>
      <c r="AF8" s="190"/>
      <c r="AG8" s="190"/>
      <c r="AH8" s="190"/>
    </row>
    <row r="9" spans="1:34">
      <c r="A9" s="185" t="s">
        <v>312</v>
      </c>
      <c r="B9" s="186">
        <f t="shared" ca="1" si="0"/>
        <v>205</v>
      </c>
      <c r="C9" s="185" t="str">
        <f t="shared" si="1"/>
        <v>INCOME : 40100 ROOM &amp; BOARD OTHER</v>
      </c>
      <c r="D9" s="185" t="str">
        <f t="shared" si="2"/>
        <v>40100 ROOM &amp; BOARD OTHER</v>
      </c>
      <c r="E9" s="185" t="str">
        <f t="shared" si="3"/>
        <v>INCOME</v>
      </c>
      <c r="F9" s="187"/>
      <c r="G9" s="191" t="s">
        <v>97</v>
      </c>
      <c r="H9" s="192">
        <v>3500</v>
      </c>
      <c r="I9" s="190"/>
      <c r="J9" s="190"/>
      <c r="K9" s="190"/>
      <c r="L9" s="190"/>
      <c r="M9" s="190"/>
      <c r="N9" s="190"/>
      <c r="O9" s="190"/>
      <c r="P9" s="190"/>
      <c r="Q9" s="190"/>
      <c r="R9" s="190"/>
      <c r="S9" s="190"/>
      <c r="T9" s="190"/>
      <c r="U9" s="190"/>
      <c r="V9" s="190"/>
      <c r="W9" s="190"/>
      <c r="X9" s="190"/>
      <c r="Y9" s="190"/>
      <c r="Z9" s="190"/>
      <c r="AA9" s="190"/>
      <c r="AB9" s="190"/>
      <c r="AC9" s="190"/>
      <c r="AD9" s="190"/>
      <c r="AE9" s="190"/>
      <c r="AF9" s="190"/>
      <c r="AG9" s="190"/>
      <c r="AH9" s="190"/>
    </row>
    <row r="10" spans="1:34">
      <c r="A10" s="185" t="str">
        <f t="shared" ref="A10:A17" si="4">IF(AND(LEN(G10)&gt;0,LEN(G9)=0,LEFT(G10,3)&lt;&gt;"TOT"),"GROUP","")</f>
        <v/>
      </c>
      <c r="B10" s="186" t="str">
        <f t="shared" ca="1" si="0"/>
        <v/>
      </c>
      <c r="C10" s="185" t="str">
        <f t="shared" si="1"/>
        <v/>
      </c>
      <c r="D10" s="185" t="str">
        <f t="shared" si="2"/>
        <v/>
      </c>
      <c r="E10" s="185" t="str">
        <f t="shared" si="3"/>
        <v/>
      </c>
      <c r="G10" s="191" t="s">
        <v>98</v>
      </c>
      <c r="H10" s="192">
        <v>2472587.2999999998</v>
      </c>
      <c r="I10" s="190"/>
      <c r="J10" s="190"/>
      <c r="K10" s="190"/>
      <c r="L10" s="190"/>
      <c r="M10" s="190"/>
      <c r="N10" s="190"/>
      <c r="O10" s="190"/>
      <c r="P10" s="190"/>
      <c r="Q10" s="190"/>
      <c r="R10" s="190"/>
      <c r="S10" s="190"/>
      <c r="T10" s="190"/>
      <c r="U10" s="190"/>
      <c r="V10" s="190"/>
      <c r="W10" s="190"/>
      <c r="X10" s="190"/>
      <c r="Y10" s="190"/>
      <c r="Z10" s="190"/>
      <c r="AA10" s="190"/>
      <c r="AB10" s="190"/>
      <c r="AC10" s="190"/>
      <c r="AD10" s="190"/>
      <c r="AE10" s="190"/>
      <c r="AF10" s="190"/>
      <c r="AG10" s="190"/>
      <c r="AH10" s="190"/>
    </row>
    <row r="11" spans="1:34">
      <c r="A11" s="185" t="str">
        <f t="shared" si="4"/>
        <v/>
      </c>
      <c r="B11" s="186" t="str">
        <f t="shared" ca="1" si="0"/>
        <v/>
      </c>
      <c r="C11" s="185" t="str">
        <f t="shared" si="1"/>
        <v/>
      </c>
      <c r="D11" s="185" t="str">
        <f t="shared" si="2"/>
        <v/>
      </c>
      <c r="E11" s="185" t="str">
        <f t="shared" si="3"/>
        <v/>
      </c>
      <c r="F11" s="187"/>
      <c r="G11" s="191" t="s">
        <v>99</v>
      </c>
      <c r="H11" s="192"/>
      <c r="I11" s="190"/>
      <c r="J11" s="190"/>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c r="AH11" s="190"/>
    </row>
    <row r="12" spans="1:34">
      <c r="A12" s="185" t="str">
        <f t="shared" si="4"/>
        <v>GROUP</v>
      </c>
      <c r="B12" s="186"/>
      <c r="C12" s="185" t="str">
        <f t="shared" si="1"/>
        <v/>
      </c>
      <c r="D12" s="185" t="str">
        <f t="shared" si="2"/>
        <v/>
      </c>
      <c r="E12" s="185" t="str">
        <f t="shared" si="3"/>
        <v>40110 MEDICAID WAIVER</v>
      </c>
      <c r="F12" s="187"/>
      <c r="G12" s="191" t="s">
        <v>100</v>
      </c>
      <c r="H12" s="201"/>
      <c r="I12" s="190"/>
      <c r="J12" s="190"/>
      <c r="K12" s="190"/>
      <c r="L12" s="190"/>
      <c r="M12" s="190"/>
      <c r="N12" s="190"/>
      <c r="O12" s="190"/>
      <c r="P12" s="190"/>
      <c r="Q12" s="190"/>
      <c r="R12" s="190"/>
      <c r="S12" s="190"/>
      <c r="T12" s="190"/>
      <c r="U12" s="190"/>
      <c r="V12" s="190"/>
      <c r="W12" s="190"/>
      <c r="X12" s="190"/>
      <c r="Y12" s="190"/>
      <c r="Z12" s="190"/>
      <c r="AA12" s="190"/>
      <c r="AB12" s="190"/>
      <c r="AC12" s="190"/>
      <c r="AD12" s="190"/>
      <c r="AE12" s="190"/>
      <c r="AF12" s="190"/>
      <c r="AG12" s="190"/>
      <c r="AH12" s="190"/>
    </row>
    <row r="13" spans="1:34">
      <c r="A13" s="185" t="s">
        <v>312</v>
      </c>
      <c r="B13" s="186">
        <f t="shared" ca="1" si="0"/>
        <v>201</v>
      </c>
      <c r="C13" s="185" t="str">
        <f t="shared" si="1"/>
        <v>40110 MEDICAID WAIVER : 40113 BUILDING 9904</v>
      </c>
      <c r="D13" s="185" t="str">
        <f t="shared" si="2"/>
        <v>40113 BUILDING 9904</v>
      </c>
      <c r="E13" s="185" t="str">
        <f t="shared" si="3"/>
        <v>40110 MEDICAID WAIVER</v>
      </c>
      <c r="F13" s="187"/>
      <c r="G13" s="191" t="s">
        <v>101</v>
      </c>
      <c r="H13" s="192">
        <v>31709.65</v>
      </c>
      <c r="I13" s="190"/>
      <c r="J13" s="190"/>
      <c r="K13" s="190"/>
      <c r="L13" s="190"/>
      <c r="M13" s="190"/>
      <c r="N13" s="190"/>
      <c r="O13" s="190"/>
      <c r="P13" s="190"/>
      <c r="Q13" s="190"/>
      <c r="R13" s="190"/>
      <c r="S13" s="190"/>
      <c r="T13" s="190"/>
      <c r="U13" s="190"/>
      <c r="V13" s="190"/>
      <c r="W13" s="190"/>
      <c r="X13" s="190"/>
      <c r="Y13" s="190"/>
      <c r="Z13" s="190"/>
      <c r="AA13" s="190"/>
      <c r="AB13" s="190"/>
      <c r="AC13" s="190"/>
      <c r="AD13" s="190"/>
      <c r="AE13" s="190"/>
      <c r="AF13" s="190"/>
      <c r="AG13" s="190"/>
      <c r="AH13" s="190"/>
    </row>
    <row r="14" spans="1:34">
      <c r="A14" s="185" t="s">
        <v>312</v>
      </c>
      <c r="B14" s="186">
        <f t="shared" ca="1" si="0"/>
        <v>201</v>
      </c>
      <c r="C14" s="185" t="str">
        <f t="shared" si="1"/>
        <v>40110 MEDICAID WAIVER : 40111 BUILDING 9900</v>
      </c>
      <c r="D14" s="185" t="str">
        <f t="shared" si="2"/>
        <v>40111 BUILDING 9900</v>
      </c>
      <c r="E14" s="185" t="str">
        <f t="shared" si="3"/>
        <v>40110 MEDICAID WAIVER</v>
      </c>
      <c r="F14" s="187"/>
      <c r="G14" s="191" t="s">
        <v>102</v>
      </c>
      <c r="H14" s="192">
        <v>25117.53</v>
      </c>
      <c r="I14" s="190"/>
      <c r="J14" s="190"/>
      <c r="K14" s="190"/>
      <c r="L14" s="190"/>
      <c r="M14" s="190"/>
      <c r="N14" s="190"/>
      <c r="O14" s="190"/>
      <c r="P14" s="190"/>
      <c r="Q14" s="190"/>
      <c r="R14" s="190"/>
      <c r="S14" s="190"/>
      <c r="T14" s="190"/>
      <c r="U14" s="190"/>
      <c r="V14" s="190"/>
      <c r="W14" s="190"/>
      <c r="X14" s="190"/>
      <c r="Y14" s="190"/>
      <c r="Z14" s="190"/>
      <c r="AA14" s="190"/>
      <c r="AB14" s="190"/>
      <c r="AC14" s="190"/>
      <c r="AD14" s="190"/>
      <c r="AE14" s="190"/>
      <c r="AF14" s="190"/>
      <c r="AG14" s="190"/>
      <c r="AH14" s="190"/>
    </row>
    <row r="15" spans="1:34">
      <c r="A15" s="185" t="str">
        <f t="shared" si="4"/>
        <v/>
      </c>
      <c r="B15" s="186" t="str">
        <f t="shared" ca="1" si="0"/>
        <v/>
      </c>
      <c r="C15" s="185" t="str">
        <f t="shared" si="1"/>
        <v/>
      </c>
      <c r="D15" s="185" t="str">
        <f t="shared" si="2"/>
        <v/>
      </c>
      <c r="E15" s="185" t="str">
        <f t="shared" si="3"/>
        <v/>
      </c>
      <c r="F15" s="187"/>
      <c r="G15" s="191" t="s">
        <v>103</v>
      </c>
      <c r="H15" s="192">
        <v>56827.18</v>
      </c>
      <c r="I15" s="190"/>
      <c r="J15" s="190"/>
      <c r="K15" s="190"/>
      <c r="L15" s="190"/>
      <c r="M15" s="190"/>
      <c r="N15" s="190"/>
      <c r="O15" s="190"/>
      <c r="P15" s="190"/>
      <c r="Q15" s="190"/>
      <c r="R15" s="190"/>
      <c r="S15" s="190"/>
      <c r="T15" s="190"/>
      <c r="U15" s="190"/>
      <c r="V15" s="190"/>
      <c r="W15" s="190"/>
      <c r="X15" s="190"/>
      <c r="Y15" s="190"/>
      <c r="Z15" s="190"/>
      <c r="AA15" s="190"/>
      <c r="AB15" s="190"/>
      <c r="AC15" s="190"/>
      <c r="AD15" s="190"/>
      <c r="AE15" s="190"/>
      <c r="AF15" s="190"/>
      <c r="AG15" s="190"/>
      <c r="AH15" s="190"/>
    </row>
    <row r="16" spans="1:34">
      <c r="A16" s="185" t="str">
        <f t="shared" si="4"/>
        <v/>
      </c>
      <c r="B16" s="186" t="str">
        <f t="shared" ca="1" si="0"/>
        <v/>
      </c>
      <c r="C16" s="185" t="str">
        <f t="shared" si="1"/>
        <v/>
      </c>
      <c r="D16" s="185" t="str">
        <f t="shared" si="2"/>
        <v/>
      </c>
      <c r="E16" s="185" t="str">
        <f t="shared" si="3"/>
        <v/>
      </c>
      <c r="F16" s="187"/>
      <c r="G16" s="191" t="s">
        <v>99</v>
      </c>
      <c r="H16" s="192"/>
      <c r="I16" s="190"/>
      <c r="J16" s="190"/>
      <c r="K16" s="190"/>
      <c r="L16" s="190"/>
      <c r="M16" s="190"/>
      <c r="N16" s="190"/>
      <c r="O16" s="190"/>
      <c r="P16" s="190"/>
      <c r="Q16" s="190"/>
      <c r="R16" s="190"/>
      <c r="S16" s="190"/>
      <c r="T16" s="190"/>
      <c r="U16" s="190"/>
      <c r="V16" s="190"/>
      <c r="W16" s="190"/>
      <c r="X16" s="190"/>
      <c r="Y16" s="190"/>
      <c r="Z16" s="190"/>
      <c r="AA16" s="190"/>
      <c r="AB16" s="190"/>
      <c r="AC16" s="190"/>
      <c r="AD16" s="190"/>
      <c r="AE16" s="190"/>
      <c r="AF16" s="190"/>
      <c r="AG16" s="190"/>
      <c r="AH16" s="190"/>
    </row>
    <row r="17" spans="1:34">
      <c r="A17" s="185" t="str">
        <f t="shared" si="4"/>
        <v>GROUP</v>
      </c>
      <c r="B17" s="186"/>
      <c r="C17" s="185" t="str">
        <f t="shared" si="1"/>
        <v/>
      </c>
      <c r="D17" s="185" t="str">
        <f t="shared" si="2"/>
        <v/>
      </c>
      <c r="E17" s="185" t="str">
        <f t="shared" si="3"/>
        <v>40300 RESPITE CARE</v>
      </c>
      <c r="F17" s="187"/>
      <c r="G17" s="191" t="s">
        <v>104</v>
      </c>
      <c r="H17" s="201"/>
      <c r="I17" s="190"/>
      <c r="J17" s="190"/>
      <c r="K17" s="190"/>
      <c r="L17" s="190"/>
      <c r="M17" s="190"/>
      <c r="N17" s="190"/>
      <c r="O17" s="190"/>
      <c r="P17" s="190"/>
      <c r="Q17" s="190"/>
      <c r="R17" s="190"/>
      <c r="S17" s="190"/>
      <c r="T17" s="190"/>
      <c r="U17" s="190"/>
      <c r="V17" s="190"/>
      <c r="W17" s="190"/>
      <c r="X17" s="190"/>
      <c r="Y17" s="190"/>
      <c r="Z17" s="190"/>
      <c r="AA17" s="190"/>
      <c r="AB17" s="190"/>
      <c r="AC17" s="190"/>
      <c r="AD17" s="190"/>
      <c r="AE17" s="190"/>
      <c r="AF17" s="190"/>
      <c r="AG17" s="190"/>
      <c r="AH17" s="190"/>
    </row>
    <row r="18" spans="1:34">
      <c r="A18" s="185" t="s">
        <v>312</v>
      </c>
      <c r="B18" s="186">
        <f t="shared" ca="1" si="0"/>
        <v>203</v>
      </c>
      <c r="C18" s="185" t="str">
        <f t="shared" si="1"/>
        <v>40300 RESPITE CARE : 443301 BUILDING 9900</v>
      </c>
      <c r="D18" s="185" t="str">
        <f t="shared" si="2"/>
        <v>443301 BUILDING 9900</v>
      </c>
      <c r="E18" s="185" t="str">
        <f t="shared" si="3"/>
        <v>40300 RESPITE CARE</v>
      </c>
      <c r="F18" s="187"/>
      <c r="G18" s="191" t="s">
        <v>105</v>
      </c>
      <c r="H18" s="192">
        <v>11900</v>
      </c>
      <c r="I18" s="190"/>
      <c r="J18" s="190"/>
      <c r="K18" s="190"/>
      <c r="L18" s="190"/>
      <c r="M18" s="190"/>
      <c r="N18" s="190"/>
      <c r="O18" s="190"/>
      <c r="P18" s="190"/>
      <c r="Q18" s="190"/>
      <c r="R18" s="190"/>
      <c r="S18" s="190"/>
      <c r="T18" s="190"/>
      <c r="U18" s="190"/>
      <c r="V18" s="190"/>
      <c r="W18" s="190"/>
      <c r="X18" s="190"/>
      <c r="Y18" s="190"/>
      <c r="Z18" s="190"/>
      <c r="AA18" s="190"/>
      <c r="AB18" s="190"/>
      <c r="AC18" s="190"/>
      <c r="AD18" s="190"/>
      <c r="AE18" s="190"/>
      <c r="AF18" s="190"/>
      <c r="AG18" s="190"/>
      <c r="AH18" s="190"/>
    </row>
    <row r="19" spans="1:34">
      <c r="A19" s="185" t="s">
        <v>312</v>
      </c>
      <c r="B19" s="186">
        <f t="shared" ca="1" si="0"/>
        <v>203</v>
      </c>
      <c r="C19" s="185" t="str">
        <f t="shared" si="1"/>
        <v>40300 RESPITE CARE : 40302 BUILDING 9902</v>
      </c>
      <c r="D19" s="185" t="str">
        <f t="shared" si="2"/>
        <v>40302 BUILDING 9902</v>
      </c>
      <c r="E19" s="185" t="str">
        <f t="shared" si="3"/>
        <v>40300 RESPITE CARE</v>
      </c>
      <c r="F19" s="187"/>
      <c r="G19" s="191" t="s">
        <v>106</v>
      </c>
      <c r="H19" s="192">
        <v>2450</v>
      </c>
      <c r="I19" s="190"/>
      <c r="J19" s="190"/>
      <c r="K19" s="190"/>
      <c r="L19" s="190"/>
      <c r="M19" s="190"/>
      <c r="N19" s="190"/>
      <c r="O19" s="190"/>
      <c r="P19" s="190"/>
      <c r="Q19" s="190"/>
      <c r="R19" s="190"/>
      <c r="S19" s="190"/>
      <c r="T19" s="190"/>
      <c r="U19" s="190"/>
      <c r="V19" s="190"/>
      <c r="W19" s="190"/>
      <c r="X19" s="190"/>
      <c r="Y19" s="190"/>
      <c r="Z19" s="190"/>
      <c r="AA19" s="190"/>
      <c r="AB19" s="190"/>
      <c r="AC19" s="190"/>
      <c r="AD19" s="190"/>
      <c r="AE19" s="190"/>
      <c r="AF19" s="190"/>
      <c r="AG19" s="190"/>
      <c r="AH19" s="190"/>
    </row>
    <row r="20" spans="1:34">
      <c r="A20" s="185" t="s">
        <v>312</v>
      </c>
      <c r="B20" s="186">
        <f t="shared" ca="1" si="0"/>
        <v>203</v>
      </c>
      <c r="C20" s="185" t="str">
        <f t="shared" si="1"/>
        <v>40300 RESPITE CARE : 40306 BUILDING 9906</v>
      </c>
      <c r="D20" s="185" t="str">
        <f t="shared" si="2"/>
        <v>40306 BUILDING 9906</v>
      </c>
      <c r="E20" s="185" t="str">
        <f t="shared" si="3"/>
        <v>40300 RESPITE CARE</v>
      </c>
      <c r="F20" s="187"/>
      <c r="G20" s="191" t="s">
        <v>107</v>
      </c>
      <c r="H20" s="192">
        <v>9000</v>
      </c>
      <c r="I20" s="190"/>
      <c r="J20" s="190"/>
      <c r="K20" s="190"/>
      <c r="L20" s="190"/>
      <c r="M20" s="190"/>
      <c r="N20" s="190"/>
      <c r="O20" s="190"/>
      <c r="P20" s="190"/>
      <c r="Q20" s="190"/>
      <c r="R20" s="190"/>
      <c r="S20" s="190"/>
      <c r="T20" s="190"/>
      <c r="U20" s="190"/>
      <c r="V20" s="190"/>
      <c r="W20" s="190"/>
      <c r="X20" s="190"/>
      <c r="Y20" s="190"/>
      <c r="Z20" s="190"/>
      <c r="AA20" s="190"/>
      <c r="AB20" s="190"/>
      <c r="AC20" s="190"/>
      <c r="AD20" s="190"/>
      <c r="AE20" s="190"/>
      <c r="AF20" s="190"/>
      <c r="AG20" s="190"/>
      <c r="AH20" s="190"/>
    </row>
    <row r="21" spans="1:34">
      <c r="A21" s="185"/>
      <c r="B21" s="186" t="str">
        <f t="shared" ca="1" si="0"/>
        <v/>
      </c>
      <c r="C21" s="185" t="str">
        <f t="shared" si="1"/>
        <v/>
      </c>
      <c r="D21" s="185" t="str">
        <f t="shared" si="2"/>
        <v/>
      </c>
      <c r="E21" s="185" t="str">
        <f t="shared" si="3"/>
        <v/>
      </c>
      <c r="F21" s="187"/>
      <c r="G21" s="191" t="s">
        <v>108</v>
      </c>
      <c r="H21" s="192">
        <v>23350</v>
      </c>
      <c r="I21" s="190"/>
      <c r="J21" s="190"/>
      <c r="K21" s="190"/>
      <c r="L21" s="190"/>
      <c r="M21" s="190"/>
      <c r="N21" s="190"/>
      <c r="O21" s="190"/>
      <c r="P21" s="190"/>
      <c r="Q21" s="190"/>
      <c r="R21" s="190"/>
      <c r="S21" s="190"/>
      <c r="T21" s="190"/>
      <c r="U21" s="190"/>
      <c r="V21" s="190"/>
      <c r="W21" s="190"/>
      <c r="X21" s="190"/>
      <c r="Y21" s="190"/>
      <c r="Z21" s="190"/>
      <c r="AA21" s="190"/>
      <c r="AB21" s="190"/>
      <c r="AC21" s="190"/>
      <c r="AD21" s="190"/>
      <c r="AE21" s="190"/>
      <c r="AF21" s="190"/>
      <c r="AG21" s="190"/>
      <c r="AH21" s="190"/>
    </row>
    <row r="22" spans="1:34">
      <c r="A22" s="185" t="str">
        <f>IF(AND(LEN(G22)&gt;0,LEN(G21)=0,LEFT(G22,3)&lt;&gt;"TOT"),"GROUP","")</f>
        <v/>
      </c>
      <c r="B22" s="186" t="str">
        <f t="shared" ca="1" si="0"/>
        <v/>
      </c>
      <c r="C22" s="185" t="str">
        <f t="shared" si="1"/>
        <v/>
      </c>
      <c r="D22" s="185" t="str">
        <f t="shared" si="2"/>
        <v/>
      </c>
      <c r="E22" s="185" t="str">
        <f t="shared" si="3"/>
        <v/>
      </c>
      <c r="F22" s="187"/>
      <c r="G22" s="191" t="s">
        <v>99</v>
      </c>
      <c r="H22" s="192"/>
      <c r="I22" s="190"/>
      <c r="J22" s="190"/>
      <c r="K22" s="190"/>
      <c r="L22" s="190"/>
      <c r="M22" s="190"/>
      <c r="N22" s="190"/>
      <c r="O22" s="190"/>
      <c r="P22" s="190"/>
      <c r="Q22" s="190"/>
      <c r="R22" s="190"/>
      <c r="S22" s="190"/>
      <c r="T22" s="190"/>
      <c r="U22" s="190"/>
      <c r="V22" s="190"/>
      <c r="W22" s="190"/>
      <c r="X22" s="190"/>
      <c r="Y22" s="190"/>
      <c r="Z22" s="190"/>
      <c r="AA22" s="190"/>
      <c r="AB22" s="190"/>
      <c r="AC22" s="190"/>
      <c r="AD22" s="190"/>
      <c r="AE22" s="190"/>
      <c r="AF22" s="190"/>
      <c r="AG22" s="190"/>
      <c r="AH22" s="190"/>
    </row>
    <row r="23" spans="1:34">
      <c r="A23" s="185" t="str">
        <f>IF(AND(LEN(G23)&gt;0,LEN(G22)=0,LEFT(G23,3)&lt;&gt;"TOT"),"GROUP","")</f>
        <v>GROUP</v>
      </c>
      <c r="B23" s="186"/>
      <c r="C23" s="185" t="str">
        <f t="shared" si="1"/>
        <v/>
      </c>
      <c r="D23" s="185" t="str">
        <f t="shared" si="2"/>
        <v/>
      </c>
      <c r="E23" s="185" t="str">
        <f t="shared" si="3"/>
        <v>40200 COMMUNITY ENTRANCE FEE</v>
      </c>
      <c r="F23" s="187"/>
      <c r="G23" s="191" t="s">
        <v>109</v>
      </c>
      <c r="H23" s="201"/>
      <c r="I23" s="190"/>
      <c r="J23" s="190"/>
      <c r="K23" s="190"/>
      <c r="L23" s="190"/>
      <c r="M23" s="190"/>
      <c r="N23" s="190"/>
      <c r="O23" s="190"/>
      <c r="P23" s="190"/>
      <c r="Q23" s="190"/>
      <c r="R23" s="190"/>
      <c r="S23" s="190"/>
      <c r="T23" s="190"/>
      <c r="U23" s="190"/>
      <c r="V23" s="190"/>
      <c r="W23" s="190"/>
      <c r="X23" s="190"/>
      <c r="Y23" s="190"/>
      <c r="Z23" s="190"/>
      <c r="AA23" s="190"/>
      <c r="AB23" s="190"/>
      <c r="AC23" s="190"/>
      <c r="AD23" s="190"/>
      <c r="AE23" s="190"/>
      <c r="AF23" s="190"/>
      <c r="AG23" s="190"/>
      <c r="AH23" s="190"/>
    </row>
    <row r="24" spans="1:34">
      <c r="A24" s="185" t="s">
        <v>312</v>
      </c>
      <c r="B24" s="186">
        <f t="shared" ca="1" si="0"/>
        <v>204</v>
      </c>
      <c r="C24" s="185" t="str">
        <f t="shared" si="1"/>
        <v>40200 COMMUNITY ENTRANCE FEE : 40201 BUILDING 9900</v>
      </c>
      <c r="D24" s="185" t="str">
        <f t="shared" si="2"/>
        <v>40201 BUILDING 9900</v>
      </c>
      <c r="E24" s="185" t="str">
        <f t="shared" si="3"/>
        <v>40200 COMMUNITY ENTRANCE FEE</v>
      </c>
      <c r="F24" s="187"/>
      <c r="G24" s="191" t="s">
        <v>110</v>
      </c>
      <c r="H24" s="192">
        <v>11500</v>
      </c>
      <c r="I24" s="190"/>
      <c r="J24" s="190"/>
      <c r="K24" s="190"/>
      <c r="L24" s="190"/>
      <c r="M24" s="190"/>
      <c r="N24" s="190"/>
      <c r="O24" s="190"/>
      <c r="P24" s="190"/>
      <c r="Q24" s="190"/>
      <c r="R24" s="190"/>
      <c r="S24" s="190"/>
      <c r="T24" s="190"/>
      <c r="U24" s="190"/>
      <c r="V24" s="190"/>
      <c r="W24" s="190"/>
      <c r="X24" s="190"/>
      <c r="Y24" s="190"/>
      <c r="Z24" s="190"/>
      <c r="AA24" s="190"/>
      <c r="AB24" s="190"/>
      <c r="AC24" s="190"/>
      <c r="AD24" s="190"/>
      <c r="AE24" s="190"/>
      <c r="AF24" s="190"/>
      <c r="AG24" s="190"/>
      <c r="AH24" s="190"/>
    </row>
    <row r="25" spans="1:34">
      <c r="A25" s="185" t="s">
        <v>312</v>
      </c>
      <c r="B25" s="186">
        <f t="shared" ca="1" si="0"/>
        <v>204</v>
      </c>
      <c r="C25" s="185" t="str">
        <f t="shared" si="1"/>
        <v>40200 COMMUNITY ENTRANCE FEE : 40202 BUILDING 9902</v>
      </c>
      <c r="D25" s="185" t="str">
        <f t="shared" si="2"/>
        <v>40202 BUILDING 9902</v>
      </c>
      <c r="E25" s="185" t="str">
        <f t="shared" si="3"/>
        <v>40200 COMMUNITY ENTRANCE FEE</v>
      </c>
      <c r="F25" s="187"/>
      <c r="G25" s="191" t="s">
        <v>111</v>
      </c>
      <c r="H25" s="192">
        <v>8500</v>
      </c>
      <c r="I25" s="190"/>
      <c r="J25" s="190"/>
      <c r="K25" s="190"/>
      <c r="L25" s="190"/>
      <c r="M25" s="190"/>
      <c r="N25" s="190"/>
      <c r="O25" s="190"/>
      <c r="P25" s="190"/>
      <c r="Q25" s="190"/>
      <c r="R25" s="190"/>
      <c r="S25" s="190"/>
      <c r="T25" s="190"/>
      <c r="U25" s="190"/>
      <c r="V25" s="190"/>
      <c r="W25" s="190"/>
      <c r="X25" s="190"/>
      <c r="Y25" s="190"/>
      <c r="Z25" s="190"/>
      <c r="AA25" s="190"/>
      <c r="AB25" s="190"/>
      <c r="AC25" s="190"/>
      <c r="AD25" s="190"/>
      <c r="AE25" s="190"/>
      <c r="AF25" s="190"/>
      <c r="AG25" s="190"/>
      <c r="AH25" s="190"/>
    </row>
    <row r="26" spans="1:34">
      <c r="A26" s="185" t="s">
        <v>312</v>
      </c>
      <c r="B26" s="186">
        <f t="shared" ca="1" si="0"/>
        <v>204</v>
      </c>
      <c r="C26" s="185" t="str">
        <f t="shared" si="1"/>
        <v>40200 COMMUNITY ENTRANCE FEE : 40204 BUILDING 9904</v>
      </c>
      <c r="D26" s="185" t="str">
        <f t="shared" si="2"/>
        <v>40204 BUILDING 9904</v>
      </c>
      <c r="E26" s="185" t="str">
        <f t="shared" si="3"/>
        <v>40200 COMMUNITY ENTRANCE FEE</v>
      </c>
      <c r="F26" s="187"/>
      <c r="G26" s="191" t="s">
        <v>112</v>
      </c>
      <c r="H26" s="192">
        <v>7000</v>
      </c>
      <c r="I26" s="190"/>
      <c r="J26" s="190"/>
      <c r="K26" s="190"/>
      <c r="L26" s="190"/>
      <c r="M26" s="190"/>
      <c r="N26" s="190"/>
      <c r="O26" s="190"/>
      <c r="P26" s="190"/>
      <c r="Q26" s="190"/>
      <c r="R26" s="190"/>
      <c r="S26" s="190"/>
      <c r="T26" s="190"/>
      <c r="U26" s="190"/>
      <c r="V26" s="190"/>
      <c r="W26" s="190"/>
      <c r="X26" s="190"/>
      <c r="Y26" s="190"/>
      <c r="Z26" s="190"/>
      <c r="AA26" s="190"/>
      <c r="AB26" s="190"/>
      <c r="AC26" s="190"/>
      <c r="AD26" s="190"/>
      <c r="AE26" s="190"/>
      <c r="AF26" s="190"/>
      <c r="AG26" s="190"/>
      <c r="AH26" s="190"/>
    </row>
    <row r="27" spans="1:34">
      <c r="A27" s="185" t="s">
        <v>312</v>
      </c>
      <c r="B27" s="186">
        <f t="shared" ca="1" si="0"/>
        <v>204</v>
      </c>
      <c r="C27" s="185" t="str">
        <f t="shared" si="1"/>
        <v>40200 COMMUNITY ENTRANCE FEE : 40206 BUILDING 99906</v>
      </c>
      <c r="D27" s="185" t="str">
        <f t="shared" si="2"/>
        <v>40206 BUILDING 99906</v>
      </c>
      <c r="E27" s="185" t="str">
        <f t="shared" si="3"/>
        <v>40200 COMMUNITY ENTRANCE FEE</v>
      </c>
      <c r="F27" s="187"/>
      <c r="G27" s="191" t="s">
        <v>113</v>
      </c>
      <c r="H27" s="192">
        <v>5500</v>
      </c>
      <c r="I27" s="190"/>
      <c r="J27" s="190"/>
      <c r="K27" s="190"/>
      <c r="L27" s="190"/>
      <c r="M27" s="190"/>
      <c r="N27" s="190"/>
      <c r="O27" s="190"/>
      <c r="P27" s="190"/>
      <c r="Q27" s="190"/>
      <c r="R27" s="190"/>
      <c r="S27" s="190"/>
      <c r="T27" s="190"/>
      <c r="U27" s="190"/>
      <c r="V27" s="190"/>
      <c r="W27" s="190"/>
      <c r="X27" s="190"/>
      <c r="Y27" s="190"/>
      <c r="Z27" s="190"/>
      <c r="AA27" s="190"/>
      <c r="AB27" s="190"/>
      <c r="AC27" s="190"/>
      <c r="AD27" s="190"/>
      <c r="AE27" s="190"/>
      <c r="AF27" s="190"/>
      <c r="AG27" s="190"/>
      <c r="AH27" s="190"/>
    </row>
    <row r="28" spans="1:34">
      <c r="A28" s="185"/>
      <c r="B28" s="186" t="str">
        <f t="shared" ca="1" si="0"/>
        <v/>
      </c>
      <c r="C28" s="185" t="str">
        <f t="shared" si="1"/>
        <v/>
      </c>
      <c r="D28" s="185" t="str">
        <f t="shared" si="2"/>
        <v/>
      </c>
      <c r="E28" s="185" t="str">
        <f t="shared" si="3"/>
        <v/>
      </c>
      <c r="F28" s="187"/>
      <c r="G28" s="191" t="s">
        <v>114</v>
      </c>
      <c r="H28" s="192">
        <v>32500</v>
      </c>
      <c r="I28" s="190"/>
      <c r="J28" s="190"/>
      <c r="K28" s="190"/>
      <c r="L28" s="190"/>
      <c r="M28" s="190"/>
      <c r="N28" s="190"/>
      <c r="O28" s="190"/>
      <c r="P28" s="190"/>
      <c r="Q28" s="190"/>
      <c r="R28" s="190"/>
      <c r="S28" s="190"/>
      <c r="T28" s="190"/>
      <c r="U28" s="190"/>
      <c r="V28" s="190"/>
      <c r="W28" s="190"/>
      <c r="X28" s="190"/>
      <c r="Y28" s="190"/>
      <c r="Z28" s="190"/>
      <c r="AA28" s="190"/>
      <c r="AB28" s="190"/>
      <c r="AC28" s="190"/>
      <c r="AD28" s="190"/>
      <c r="AE28" s="190"/>
      <c r="AF28" s="190"/>
      <c r="AG28" s="190"/>
      <c r="AH28" s="190"/>
    </row>
    <row r="29" spans="1:34">
      <c r="A29" s="185" t="str">
        <f>IF(AND(LEN(G29)&gt;0,LEN(G28)=0,LEFT(G29,3)&lt;&gt;"TOT"),"GROUP","")</f>
        <v/>
      </c>
      <c r="B29" s="186" t="str">
        <f t="shared" ca="1" si="0"/>
        <v/>
      </c>
      <c r="C29" s="185" t="str">
        <f t="shared" si="1"/>
        <v/>
      </c>
      <c r="D29" s="185" t="str">
        <f t="shared" si="2"/>
        <v/>
      </c>
      <c r="E29" s="185" t="str">
        <f t="shared" si="3"/>
        <v/>
      </c>
      <c r="F29" s="187"/>
      <c r="G29" s="191" t="s">
        <v>99</v>
      </c>
      <c r="H29" s="192"/>
      <c r="I29" s="190"/>
      <c r="J29" s="190"/>
      <c r="K29" s="190"/>
      <c r="L29" s="190"/>
      <c r="M29" s="190"/>
      <c r="N29" s="190"/>
      <c r="O29" s="190"/>
      <c r="P29" s="190"/>
      <c r="Q29" s="190"/>
      <c r="R29" s="190"/>
      <c r="S29" s="190"/>
      <c r="T29" s="190"/>
      <c r="U29" s="190"/>
      <c r="V29" s="190"/>
      <c r="W29" s="190"/>
      <c r="X29" s="190"/>
      <c r="Y29" s="190"/>
      <c r="Z29" s="190"/>
      <c r="AA29" s="190"/>
      <c r="AB29" s="190"/>
      <c r="AC29" s="190"/>
      <c r="AD29" s="190"/>
      <c r="AE29" s="190"/>
      <c r="AF29" s="190"/>
      <c r="AG29" s="190"/>
      <c r="AH29" s="190"/>
    </row>
    <row r="30" spans="1:34">
      <c r="A30" s="185" t="str">
        <f>IF(AND(LEN(G30)&gt;0,LEN(G29)=0,LEFT(G30,3)&lt;&gt;"TOT"),"GROUP","")</f>
        <v>GROUP</v>
      </c>
      <c r="B30" s="186"/>
      <c r="C30" s="185" t="str">
        <f t="shared" si="1"/>
        <v/>
      </c>
      <c r="D30" s="185" t="str">
        <f t="shared" si="2"/>
        <v/>
      </c>
      <c r="E30" s="185" t="str">
        <f t="shared" si="3"/>
        <v>41000 ANCILLARY SERVICES</v>
      </c>
      <c r="F30" s="187"/>
      <c r="G30" s="191" t="s">
        <v>115</v>
      </c>
      <c r="H30" s="201"/>
      <c r="I30" s="190"/>
      <c r="J30" s="190"/>
      <c r="K30" s="190"/>
      <c r="L30" s="190"/>
      <c r="M30" s="190"/>
      <c r="N30" s="190"/>
      <c r="O30" s="190"/>
      <c r="P30" s="190"/>
      <c r="Q30" s="190"/>
      <c r="R30" s="190"/>
      <c r="S30" s="190"/>
      <c r="T30" s="190"/>
      <c r="U30" s="190"/>
      <c r="V30" s="190"/>
      <c r="W30" s="190"/>
      <c r="X30" s="190"/>
      <c r="Y30" s="190"/>
      <c r="Z30" s="190"/>
      <c r="AA30" s="190"/>
      <c r="AB30" s="190"/>
      <c r="AC30" s="190"/>
      <c r="AD30" s="190"/>
      <c r="AE30" s="190"/>
      <c r="AF30" s="190"/>
      <c r="AG30" s="190"/>
      <c r="AH30" s="190"/>
    </row>
    <row r="31" spans="1:34">
      <c r="A31" s="185" t="s">
        <v>312</v>
      </c>
      <c r="B31" s="186">
        <f t="shared" ca="1" si="0"/>
        <v>206</v>
      </c>
      <c r="C31" s="185" t="str">
        <f t="shared" si="1"/>
        <v>41000 ANCILLARY SERVICES : 41400 SPECIAL CARE SERVICES</v>
      </c>
      <c r="D31" s="185" t="str">
        <f t="shared" si="2"/>
        <v>41400 SPECIAL CARE SERVICES</v>
      </c>
      <c r="E31" s="185" t="str">
        <f t="shared" si="3"/>
        <v>41000 ANCILLARY SERVICES</v>
      </c>
      <c r="F31" s="187"/>
      <c r="G31" s="191" t="s">
        <v>116</v>
      </c>
      <c r="H31" s="192">
        <v>14107</v>
      </c>
      <c r="I31" s="190"/>
      <c r="J31" s="190"/>
      <c r="K31" s="190"/>
      <c r="L31" s="190"/>
      <c r="M31" s="190"/>
      <c r="N31" s="190"/>
      <c r="O31" s="190"/>
      <c r="P31" s="190"/>
      <c r="Q31" s="190"/>
      <c r="R31" s="190"/>
      <c r="S31" s="190"/>
      <c r="T31" s="190"/>
      <c r="U31" s="190"/>
      <c r="V31" s="190"/>
      <c r="W31" s="190"/>
      <c r="X31" s="190"/>
      <c r="Y31" s="190"/>
      <c r="Z31" s="190"/>
      <c r="AA31" s="190"/>
      <c r="AB31" s="190"/>
      <c r="AC31" s="190"/>
      <c r="AD31" s="190"/>
      <c r="AE31" s="190"/>
      <c r="AF31" s="190"/>
      <c r="AG31" s="190"/>
      <c r="AH31" s="190"/>
    </row>
    <row r="32" spans="1:34">
      <c r="A32" s="185" t="s">
        <v>312</v>
      </c>
      <c r="B32" s="186">
        <f t="shared" ca="1" si="0"/>
        <v>206</v>
      </c>
      <c r="C32" s="185" t="str">
        <f t="shared" si="1"/>
        <v>41000 ANCILLARY SERVICES : 41700 BARBER &amp; SALON SERVICES</v>
      </c>
      <c r="D32" s="185" t="str">
        <f t="shared" si="2"/>
        <v>41700 BARBER &amp; SALON SERVICES</v>
      </c>
      <c r="E32" s="185" t="str">
        <f t="shared" si="3"/>
        <v>41000 ANCILLARY SERVICES</v>
      </c>
      <c r="F32" s="187"/>
      <c r="G32" s="191" t="s">
        <v>117</v>
      </c>
      <c r="H32" s="192">
        <v>9406</v>
      </c>
      <c r="I32" s="190"/>
      <c r="J32" s="190"/>
      <c r="K32" s="190"/>
      <c r="L32" s="190"/>
      <c r="M32" s="190"/>
      <c r="N32" s="190"/>
      <c r="O32" s="190"/>
      <c r="P32" s="190"/>
      <c r="Q32" s="190"/>
      <c r="R32" s="190"/>
      <c r="S32" s="190"/>
      <c r="T32" s="190"/>
      <c r="U32" s="190"/>
      <c r="V32" s="190"/>
      <c r="W32" s="190"/>
      <c r="X32" s="190"/>
      <c r="Y32" s="190"/>
      <c r="Z32" s="190"/>
      <c r="AA32" s="190"/>
      <c r="AB32" s="190"/>
      <c r="AC32" s="190"/>
      <c r="AD32" s="190"/>
      <c r="AE32" s="190"/>
      <c r="AF32" s="190"/>
      <c r="AG32" s="190"/>
      <c r="AH32" s="190"/>
    </row>
    <row r="33" spans="1:34">
      <c r="A33" s="185" t="s">
        <v>312</v>
      </c>
      <c r="B33" s="186">
        <f t="shared" ca="1" si="0"/>
        <v>206</v>
      </c>
      <c r="C33" s="185" t="str">
        <f t="shared" si="1"/>
        <v>41000 ANCILLARY SERVICES : 41800 ACTIVITY REVENUE</v>
      </c>
      <c r="D33" s="185" t="str">
        <f t="shared" si="2"/>
        <v>41800 ACTIVITY REVENUE</v>
      </c>
      <c r="E33" s="185" t="str">
        <f t="shared" si="3"/>
        <v>41000 ANCILLARY SERVICES</v>
      </c>
      <c r="F33" s="187"/>
      <c r="G33" s="191" t="s">
        <v>118</v>
      </c>
      <c r="H33" s="192">
        <v>4873.53</v>
      </c>
      <c r="I33" s="190"/>
      <c r="J33" s="190"/>
      <c r="K33" s="190"/>
      <c r="L33" s="190"/>
      <c r="M33" s="190"/>
      <c r="N33" s="190"/>
      <c r="O33" s="190"/>
      <c r="P33" s="190"/>
      <c r="Q33" s="190"/>
      <c r="R33" s="190"/>
      <c r="S33" s="190"/>
      <c r="T33" s="190"/>
      <c r="U33" s="190"/>
      <c r="V33" s="190"/>
      <c r="W33" s="190"/>
      <c r="X33" s="190"/>
      <c r="Y33" s="190"/>
      <c r="Z33" s="190"/>
      <c r="AA33" s="190"/>
      <c r="AB33" s="190"/>
      <c r="AC33" s="190"/>
      <c r="AD33" s="190"/>
      <c r="AE33" s="190"/>
      <c r="AF33" s="190"/>
      <c r="AG33" s="190"/>
      <c r="AH33" s="190"/>
    </row>
    <row r="34" spans="1:34">
      <c r="A34" s="185" t="str">
        <f>IF(AND(LEN(G34)&gt;0,LEN(G33)=0,LEFT(G34,3)&lt;&gt;"TOT"),"GROUP","")</f>
        <v/>
      </c>
      <c r="B34" s="186" t="str">
        <f t="shared" ca="1" si="0"/>
        <v/>
      </c>
      <c r="C34" s="185" t="str">
        <f t="shared" si="1"/>
        <v/>
      </c>
      <c r="D34" s="185" t="str">
        <f t="shared" si="2"/>
        <v/>
      </c>
      <c r="E34" s="185" t="str">
        <f t="shared" si="3"/>
        <v/>
      </c>
      <c r="F34" s="187"/>
      <c r="G34" s="191" t="s">
        <v>99</v>
      </c>
      <c r="H34" s="192"/>
      <c r="I34" s="190"/>
      <c r="J34" s="190"/>
      <c r="K34" s="190"/>
      <c r="L34" s="190"/>
      <c r="M34" s="190"/>
      <c r="N34" s="190"/>
      <c r="O34" s="190"/>
      <c r="P34" s="190"/>
      <c r="Q34" s="190"/>
      <c r="R34" s="190"/>
      <c r="S34" s="190"/>
      <c r="T34" s="190"/>
      <c r="U34" s="190"/>
      <c r="V34" s="190"/>
      <c r="W34" s="190"/>
      <c r="X34" s="190"/>
      <c r="Y34" s="190"/>
      <c r="Z34" s="190"/>
      <c r="AA34" s="190"/>
      <c r="AB34" s="190"/>
      <c r="AC34" s="190"/>
      <c r="AD34" s="190"/>
      <c r="AE34" s="190"/>
      <c r="AF34" s="190"/>
      <c r="AG34" s="190"/>
      <c r="AH34" s="190"/>
    </row>
    <row r="35" spans="1:34">
      <c r="A35" s="185" t="str">
        <f>IF(AND(LEN(G35)&gt;0,LEN(G34)=0,LEFT(G35,3)&lt;&gt;"TOT"),"GROUP","")</f>
        <v>GROUP</v>
      </c>
      <c r="B35" s="186"/>
      <c r="C35" s="185" t="str">
        <f t="shared" si="1"/>
        <v/>
      </c>
      <c r="D35" s="185" t="str">
        <f t="shared" si="2"/>
        <v/>
      </c>
      <c r="E35" s="185" t="str">
        <f t="shared" si="3"/>
        <v>42000 OTHER RESIDENT INCOME</v>
      </c>
      <c r="F35" s="187"/>
      <c r="G35" s="191" t="s">
        <v>119</v>
      </c>
      <c r="H35" s="201"/>
      <c r="I35" s="190"/>
      <c r="J35" s="190"/>
      <c r="K35" s="190"/>
      <c r="L35" s="190"/>
      <c r="M35" s="190"/>
      <c r="N35" s="190"/>
      <c r="O35" s="190"/>
      <c r="P35" s="190"/>
      <c r="Q35" s="190"/>
      <c r="R35" s="190"/>
      <c r="S35" s="190"/>
      <c r="T35" s="190"/>
      <c r="U35" s="190"/>
      <c r="V35" s="190"/>
      <c r="W35" s="190"/>
      <c r="X35" s="190"/>
      <c r="Y35" s="190"/>
      <c r="Z35" s="190"/>
      <c r="AA35" s="190"/>
      <c r="AB35" s="190"/>
      <c r="AC35" s="190"/>
      <c r="AD35" s="190"/>
      <c r="AE35" s="190"/>
      <c r="AF35" s="190"/>
      <c r="AG35" s="190"/>
      <c r="AH35" s="190"/>
    </row>
    <row r="36" spans="1:34">
      <c r="A36" s="185" t="s">
        <v>312</v>
      </c>
      <c r="B36" s="186">
        <f t="shared" ca="1" si="0"/>
        <v>205</v>
      </c>
      <c r="C36" s="185" t="str">
        <f t="shared" si="1"/>
        <v>42000 OTHER RESIDENT INCOME : 42100 REIMBURSEMENTS</v>
      </c>
      <c r="D36" s="185" t="str">
        <f t="shared" si="2"/>
        <v>42100 REIMBURSEMENTS</v>
      </c>
      <c r="E36" s="185" t="str">
        <f t="shared" si="3"/>
        <v>42000 OTHER RESIDENT INCOME</v>
      </c>
      <c r="F36" s="187"/>
      <c r="G36" s="191" t="s">
        <v>120</v>
      </c>
      <c r="H36" s="192">
        <v>1257.4000000000001</v>
      </c>
      <c r="I36" s="190"/>
      <c r="J36" s="190"/>
      <c r="K36" s="190"/>
      <c r="L36" s="190"/>
      <c r="M36" s="190"/>
      <c r="N36" s="190"/>
      <c r="O36" s="190"/>
      <c r="P36" s="190"/>
      <c r="Q36" s="190"/>
      <c r="R36" s="190"/>
      <c r="S36" s="190"/>
      <c r="T36" s="190"/>
      <c r="U36" s="190"/>
      <c r="V36" s="190"/>
      <c r="W36" s="190"/>
      <c r="X36" s="190"/>
      <c r="Y36" s="190"/>
      <c r="Z36" s="190"/>
      <c r="AA36" s="190"/>
      <c r="AB36" s="190"/>
      <c r="AC36" s="190"/>
      <c r="AD36" s="190"/>
      <c r="AE36" s="190"/>
      <c r="AF36" s="190"/>
      <c r="AG36" s="190"/>
      <c r="AH36" s="190"/>
    </row>
    <row r="37" spans="1:34">
      <c r="A37" s="185" t="s">
        <v>312</v>
      </c>
      <c r="B37" s="186">
        <f t="shared" ca="1" si="0"/>
        <v>205</v>
      </c>
      <c r="C37" s="185" t="str">
        <f t="shared" si="1"/>
        <v>42000 OTHER RESIDENT INCOME : 42200 GUEST SERVICES</v>
      </c>
      <c r="D37" s="185" t="str">
        <f t="shared" si="2"/>
        <v>42200 GUEST SERVICES</v>
      </c>
      <c r="E37" s="185" t="str">
        <f t="shared" si="3"/>
        <v>42000 OTHER RESIDENT INCOME</v>
      </c>
      <c r="F37" s="187"/>
      <c r="G37" s="191" t="s">
        <v>121</v>
      </c>
      <c r="H37" s="192">
        <v>75</v>
      </c>
      <c r="I37" s="190"/>
      <c r="J37" s="190"/>
      <c r="K37" s="190"/>
      <c r="L37" s="190"/>
      <c r="M37" s="190"/>
      <c r="N37" s="190"/>
      <c r="O37" s="190"/>
      <c r="P37" s="190"/>
      <c r="Q37" s="190"/>
      <c r="R37" s="190"/>
      <c r="S37" s="190"/>
      <c r="T37" s="190"/>
      <c r="U37" s="190"/>
      <c r="V37" s="190"/>
      <c r="W37" s="190"/>
      <c r="X37" s="190"/>
      <c r="Y37" s="190"/>
      <c r="Z37" s="190"/>
      <c r="AA37" s="190"/>
      <c r="AB37" s="190"/>
      <c r="AC37" s="190"/>
      <c r="AD37" s="190"/>
      <c r="AE37" s="190"/>
      <c r="AF37" s="190"/>
      <c r="AG37" s="190"/>
      <c r="AH37" s="190"/>
    </row>
    <row r="38" spans="1:34">
      <c r="A38" s="185" t="s">
        <v>312</v>
      </c>
      <c r="B38" s="186">
        <f t="shared" ca="1" si="0"/>
        <v>205</v>
      </c>
      <c r="C38" s="185" t="str">
        <f t="shared" si="1"/>
        <v>42000 OTHER RESIDENT INCOME : 42900 RESIDE FINANCE CHARGE</v>
      </c>
      <c r="D38" s="185" t="str">
        <f t="shared" si="2"/>
        <v>42900 RESIDE FINANCE CHARGE</v>
      </c>
      <c r="E38" s="185" t="str">
        <f t="shared" si="3"/>
        <v>42000 OTHER RESIDENT INCOME</v>
      </c>
      <c r="F38" s="187"/>
      <c r="G38" s="191" t="s">
        <v>122</v>
      </c>
      <c r="H38" s="192">
        <v>3120.05</v>
      </c>
      <c r="I38" s="190"/>
      <c r="J38" s="190"/>
      <c r="K38" s="190"/>
      <c r="L38" s="190"/>
      <c r="M38" s="190"/>
      <c r="N38" s="190"/>
      <c r="O38" s="190"/>
      <c r="P38" s="190"/>
      <c r="Q38" s="190"/>
      <c r="R38" s="190"/>
      <c r="S38" s="190"/>
      <c r="T38" s="190"/>
      <c r="U38" s="190"/>
      <c r="V38" s="190"/>
      <c r="W38" s="190"/>
      <c r="X38" s="190"/>
      <c r="Y38" s="190"/>
      <c r="Z38" s="190"/>
      <c r="AA38" s="190"/>
      <c r="AB38" s="190"/>
      <c r="AC38" s="190"/>
      <c r="AD38" s="190"/>
      <c r="AE38" s="190"/>
      <c r="AF38" s="190"/>
      <c r="AG38" s="190"/>
      <c r="AH38" s="190"/>
    </row>
    <row r="39" spans="1:34">
      <c r="A39" s="185" t="s">
        <v>312</v>
      </c>
      <c r="B39" s="186">
        <f t="shared" ca="1" si="0"/>
        <v>205</v>
      </c>
      <c r="C39" s="185" t="str">
        <f t="shared" si="1"/>
        <v>42000 OTHER RESIDENT INCOME : 42000 OTHER RESIDENT INCOME OTHER</v>
      </c>
      <c r="D39" s="185" t="str">
        <f t="shared" si="2"/>
        <v>42000 OTHER RESIDENT INCOME OTHER</v>
      </c>
      <c r="E39" s="185" t="str">
        <f t="shared" si="3"/>
        <v>42000 OTHER RESIDENT INCOME</v>
      </c>
      <c r="F39" s="187"/>
      <c r="G39" s="191" t="s">
        <v>123</v>
      </c>
      <c r="H39" s="192">
        <v>2878.04</v>
      </c>
      <c r="I39" s="190"/>
      <c r="J39" s="190"/>
      <c r="K39" s="190"/>
      <c r="L39" s="190"/>
      <c r="M39" s="190"/>
      <c r="N39" s="190"/>
      <c r="O39" s="190"/>
      <c r="P39" s="190"/>
      <c r="Q39" s="190"/>
      <c r="R39" s="190"/>
      <c r="S39" s="190"/>
      <c r="T39" s="190"/>
      <c r="U39" s="190"/>
      <c r="V39" s="190"/>
      <c r="W39" s="190"/>
      <c r="X39" s="190"/>
      <c r="Y39" s="190"/>
      <c r="Z39" s="190"/>
      <c r="AA39" s="190"/>
      <c r="AB39" s="190"/>
      <c r="AC39" s="190"/>
      <c r="AD39" s="190"/>
      <c r="AE39" s="190"/>
      <c r="AF39" s="190"/>
      <c r="AG39" s="190"/>
      <c r="AH39" s="190"/>
    </row>
    <row r="40" spans="1:34">
      <c r="A40" s="185" t="str">
        <f>IF(AND(LEN(G40)&gt;0,LEN(G39)=0,LEFT(G40,3)&lt;&gt;"TOT"),"GROUP","")</f>
        <v/>
      </c>
      <c r="B40" s="186" t="str">
        <f t="shared" ca="1" si="0"/>
        <v/>
      </c>
      <c r="C40" s="185" t="str">
        <f t="shared" si="1"/>
        <v/>
      </c>
      <c r="D40" s="185" t="str">
        <f t="shared" si="2"/>
        <v/>
      </c>
      <c r="E40" s="185" t="str">
        <f t="shared" si="3"/>
        <v/>
      </c>
      <c r="F40" s="187"/>
      <c r="G40" s="191" t="s">
        <v>124</v>
      </c>
      <c r="H40" s="192">
        <v>7330.49</v>
      </c>
      <c r="I40" s="190"/>
      <c r="J40" s="190"/>
      <c r="K40" s="190"/>
      <c r="L40" s="190"/>
      <c r="M40" s="190"/>
      <c r="N40" s="190"/>
      <c r="O40" s="190"/>
      <c r="P40" s="190"/>
      <c r="Q40" s="190"/>
      <c r="R40" s="190"/>
      <c r="S40" s="190"/>
      <c r="T40" s="190"/>
      <c r="U40" s="190"/>
      <c r="V40" s="190"/>
      <c r="W40" s="190"/>
      <c r="X40" s="190"/>
      <c r="Y40" s="190"/>
      <c r="Z40" s="190"/>
      <c r="AA40" s="190"/>
      <c r="AB40" s="190"/>
      <c r="AC40" s="190"/>
      <c r="AD40" s="190"/>
      <c r="AE40" s="190"/>
      <c r="AF40" s="190"/>
      <c r="AG40" s="190"/>
      <c r="AH40" s="190"/>
    </row>
    <row r="41" spans="1:34">
      <c r="A41" s="185" t="str">
        <f>IF(AND(LEN(G41)&gt;0,LEN(G40)=0,LEFT(G41,3)&lt;&gt;"TOT"),"GROUP","")</f>
        <v/>
      </c>
      <c r="B41" s="186" t="str">
        <f t="shared" ca="1" si="0"/>
        <v/>
      </c>
      <c r="C41" s="185" t="str">
        <f t="shared" si="1"/>
        <v/>
      </c>
      <c r="D41" s="185" t="str">
        <f t="shared" si="2"/>
        <v/>
      </c>
      <c r="E41" s="185" t="str">
        <f t="shared" si="3"/>
        <v/>
      </c>
      <c r="F41" s="187"/>
      <c r="G41" s="191" t="s">
        <v>99</v>
      </c>
      <c r="H41" s="192"/>
      <c r="I41" s="190"/>
      <c r="J41" s="190"/>
      <c r="K41" s="190"/>
      <c r="L41" s="190"/>
      <c r="M41" s="190"/>
      <c r="N41" s="190"/>
      <c r="O41" s="190"/>
      <c r="P41" s="190"/>
      <c r="Q41" s="190"/>
      <c r="R41" s="190"/>
      <c r="S41" s="190"/>
      <c r="T41" s="190"/>
      <c r="U41" s="190"/>
      <c r="V41" s="190"/>
      <c r="W41" s="190"/>
      <c r="X41" s="190"/>
      <c r="Y41" s="190"/>
      <c r="Z41" s="190"/>
      <c r="AA41" s="190"/>
      <c r="AB41" s="190"/>
      <c r="AC41" s="190"/>
      <c r="AD41" s="190"/>
      <c r="AE41" s="190"/>
      <c r="AF41" s="190"/>
      <c r="AG41" s="190"/>
      <c r="AH41" s="190"/>
    </row>
    <row r="42" spans="1:34">
      <c r="A42" s="185" t="str">
        <f>IF(AND(LEN(G42)&gt;0,LEN(G41)=0,LEFT(G42,3)&lt;&gt;"TOT"),"GROUP","")</f>
        <v>GROUP</v>
      </c>
      <c r="B42" s="186"/>
      <c r="C42" s="185" t="str">
        <f t="shared" si="1"/>
        <v/>
      </c>
      <c r="D42" s="185" t="str">
        <f t="shared" si="2"/>
        <v/>
      </c>
      <c r="E42" s="185" t="str">
        <f t="shared" si="3"/>
        <v>49000 REFUNDS</v>
      </c>
      <c r="F42" s="187"/>
      <c r="G42" s="191" t="s">
        <v>125</v>
      </c>
      <c r="H42" s="201"/>
      <c r="I42" s="190"/>
      <c r="J42" s="190"/>
      <c r="K42" s="190"/>
      <c r="L42" s="190"/>
      <c r="M42" s="190"/>
      <c r="N42" s="190"/>
      <c r="O42" s="190"/>
      <c r="P42" s="190"/>
      <c r="Q42" s="190"/>
      <c r="R42" s="190"/>
      <c r="S42" s="190"/>
      <c r="T42" s="190"/>
      <c r="U42" s="190"/>
      <c r="V42" s="190"/>
      <c r="W42" s="190"/>
      <c r="X42" s="190"/>
      <c r="Y42" s="190"/>
      <c r="Z42" s="190"/>
      <c r="AA42" s="190"/>
      <c r="AB42" s="190"/>
      <c r="AC42" s="190"/>
      <c r="AD42" s="190"/>
      <c r="AE42" s="190"/>
      <c r="AF42" s="190"/>
      <c r="AG42" s="190"/>
      <c r="AH42" s="190"/>
    </row>
    <row r="43" spans="1:34">
      <c r="A43" s="185" t="s">
        <v>312</v>
      </c>
      <c r="B43" s="186">
        <f t="shared" ca="1" si="0"/>
        <v>201</v>
      </c>
      <c r="C43" s="185" t="str">
        <f t="shared" si="1"/>
        <v>49000 REFUNDS : 49100 ROOM AND BOARD</v>
      </c>
      <c r="D43" s="185" t="str">
        <f t="shared" si="2"/>
        <v>49100 ROOM AND BOARD</v>
      </c>
      <c r="E43" s="185" t="str">
        <f t="shared" si="3"/>
        <v>49000 REFUNDS</v>
      </c>
      <c r="F43" s="187"/>
      <c r="G43" s="191" t="s">
        <v>126</v>
      </c>
      <c r="H43" s="192">
        <v>-53448</v>
      </c>
      <c r="I43" s="190"/>
      <c r="J43" s="190"/>
      <c r="K43" s="190"/>
      <c r="L43" s="190"/>
      <c r="M43" s="190"/>
      <c r="N43" s="190"/>
      <c r="O43" s="190"/>
      <c r="P43" s="190"/>
      <c r="Q43" s="190"/>
      <c r="R43" s="190"/>
      <c r="S43" s="190"/>
      <c r="T43" s="190"/>
      <c r="U43" s="190"/>
      <c r="V43" s="190"/>
      <c r="W43" s="190"/>
      <c r="X43" s="190"/>
      <c r="Y43" s="190"/>
      <c r="Z43" s="190"/>
      <c r="AA43" s="190"/>
      <c r="AB43" s="190"/>
      <c r="AC43" s="190"/>
      <c r="AD43" s="190"/>
      <c r="AE43" s="190"/>
      <c r="AF43" s="190"/>
      <c r="AG43" s="190"/>
      <c r="AH43" s="190"/>
    </row>
    <row r="44" spans="1:34">
      <c r="A44" s="185" t="s">
        <v>312</v>
      </c>
      <c r="B44" s="186">
        <f t="shared" ca="1" si="0"/>
        <v>201</v>
      </c>
      <c r="C44" s="185" t="str">
        <f t="shared" si="1"/>
        <v>49000 REFUNDS : 49900 ALL OTHER REFUNDS</v>
      </c>
      <c r="D44" s="185" t="str">
        <f t="shared" si="2"/>
        <v>49900 ALL OTHER REFUNDS</v>
      </c>
      <c r="E44" s="185" t="str">
        <f t="shared" si="3"/>
        <v>49000 REFUNDS</v>
      </c>
      <c r="G44" s="191" t="s">
        <v>127</v>
      </c>
      <c r="H44" s="192">
        <v>-963.24</v>
      </c>
      <c r="I44" s="190"/>
      <c r="J44" s="190"/>
      <c r="K44" s="190"/>
      <c r="L44" s="190"/>
      <c r="M44" s="190"/>
      <c r="N44" s="190"/>
      <c r="O44" s="190"/>
      <c r="P44" s="190"/>
      <c r="Q44" s="190"/>
      <c r="R44" s="190"/>
      <c r="S44" s="190"/>
      <c r="T44" s="190"/>
      <c r="U44" s="190"/>
      <c r="V44" s="190"/>
      <c r="W44" s="190"/>
      <c r="X44" s="190"/>
      <c r="Y44" s="190"/>
      <c r="Z44" s="190"/>
      <c r="AA44" s="190"/>
      <c r="AB44" s="190"/>
      <c r="AC44" s="190"/>
      <c r="AD44" s="190"/>
      <c r="AE44" s="190"/>
      <c r="AF44" s="190"/>
      <c r="AG44" s="190"/>
      <c r="AH44" s="190"/>
    </row>
    <row r="45" spans="1:34">
      <c r="A45" s="185" t="s">
        <v>312</v>
      </c>
      <c r="B45" s="186">
        <f t="shared" ca="1" si="0"/>
        <v>204</v>
      </c>
      <c r="C45" s="185" t="str">
        <f t="shared" si="1"/>
        <v>49000 REFUNDS : 41000 ANCILLARY SERVICES OTHER</v>
      </c>
      <c r="D45" s="185" t="str">
        <f t="shared" si="2"/>
        <v>41000 ANCILLARY SERVICES OTHER</v>
      </c>
      <c r="E45" s="185" t="str">
        <f t="shared" si="3"/>
        <v>49000 REFUNDS</v>
      </c>
      <c r="F45" s="187"/>
      <c r="G45" s="191" t="s">
        <v>129</v>
      </c>
      <c r="H45" s="192">
        <v>246.65</v>
      </c>
      <c r="I45" s="190"/>
      <c r="J45" s="190"/>
      <c r="K45" s="190"/>
      <c r="L45" s="190"/>
      <c r="M45" s="190"/>
      <c r="N45" s="190"/>
      <c r="O45" s="190"/>
      <c r="P45" s="190"/>
      <c r="Q45" s="190"/>
      <c r="R45" s="190"/>
      <c r="S45" s="190"/>
      <c r="T45" s="190"/>
      <c r="U45" s="190"/>
      <c r="V45" s="190"/>
      <c r="W45" s="190"/>
      <c r="X45" s="190"/>
      <c r="Y45" s="190"/>
      <c r="Z45" s="190"/>
      <c r="AA45" s="190"/>
      <c r="AB45" s="190"/>
      <c r="AC45" s="190"/>
      <c r="AD45" s="190"/>
      <c r="AE45" s="190"/>
      <c r="AF45" s="190"/>
      <c r="AG45" s="190"/>
      <c r="AH45" s="190"/>
    </row>
    <row r="46" spans="1:34">
      <c r="A46" s="185"/>
      <c r="B46" s="186"/>
      <c r="C46" s="185" t="str">
        <f t="shared" si="1"/>
        <v/>
      </c>
      <c r="D46" s="185" t="str">
        <f t="shared" si="2"/>
        <v/>
      </c>
      <c r="E46" s="185" t="str">
        <f t="shared" si="3"/>
        <v/>
      </c>
      <c r="F46" s="187"/>
      <c r="G46" s="191"/>
      <c r="H46" s="192"/>
      <c r="I46" s="190"/>
      <c r="J46" s="190"/>
      <c r="K46" s="190"/>
      <c r="L46" s="190"/>
      <c r="M46" s="190"/>
      <c r="N46" s="190"/>
      <c r="O46" s="190"/>
      <c r="P46" s="190"/>
      <c r="Q46" s="190"/>
      <c r="R46" s="190"/>
      <c r="S46" s="190"/>
      <c r="T46" s="190"/>
      <c r="U46" s="190"/>
      <c r="V46" s="190"/>
      <c r="W46" s="190"/>
      <c r="X46" s="190"/>
      <c r="Y46" s="190"/>
      <c r="Z46" s="190"/>
      <c r="AA46" s="190"/>
      <c r="AB46" s="190"/>
      <c r="AC46" s="190"/>
      <c r="AD46" s="190"/>
      <c r="AE46" s="190"/>
      <c r="AF46" s="190"/>
      <c r="AG46" s="190"/>
      <c r="AH46" s="190"/>
    </row>
    <row r="47" spans="1:34">
      <c r="A47" s="193" t="s">
        <v>312</v>
      </c>
      <c r="B47" s="194">
        <v>222</v>
      </c>
      <c r="C47" s="193" t="str">
        <f>UPPER(G47)</f>
        <v>TOTAL INCOME</v>
      </c>
      <c r="D47" s="193" t="str">
        <f t="shared" si="2"/>
        <v>TOTAL INCOME</v>
      </c>
      <c r="E47" s="193" t="str">
        <f t="shared" si="3"/>
        <v/>
      </c>
      <c r="F47" s="187"/>
      <c r="G47" s="191" t="s">
        <v>55</v>
      </c>
      <c r="H47" s="192">
        <v>2566816.91</v>
      </c>
      <c r="I47" s="190"/>
      <c r="J47" s="190"/>
      <c r="K47" s="190"/>
      <c r="L47" s="190"/>
      <c r="M47" s="190"/>
      <c r="N47" s="190"/>
      <c r="O47" s="190"/>
      <c r="P47" s="190"/>
      <c r="Q47" s="190"/>
      <c r="R47" s="190"/>
      <c r="S47" s="190"/>
      <c r="T47" s="190"/>
      <c r="U47" s="190"/>
      <c r="V47" s="190"/>
      <c r="W47" s="190"/>
      <c r="X47" s="190"/>
      <c r="Y47" s="190"/>
      <c r="Z47" s="190"/>
      <c r="AA47" s="190"/>
      <c r="AB47" s="190"/>
      <c r="AC47" s="190"/>
      <c r="AD47" s="190"/>
      <c r="AE47" s="190"/>
      <c r="AF47" s="202"/>
      <c r="AG47" s="202"/>
      <c r="AH47" s="202"/>
    </row>
    <row r="48" spans="1:34">
      <c r="A48" s="185" t="str">
        <f>IF(AND(LEN(G48)&gt;0,LEN(G47)=0,LEFT(G48,3)&lt;&gt;"TOT"),"GROUP","")</f>
        <v/>
      </c>
      <c r="B48" s="186" t="str">
        <f t="shared" ca="1" si="0"/>
        <v/>
      </c>
      <c r="C48" s="185" t="str">
        <f t="shared" si="1"/>
        <v/>
      </c>
      <c r="D48" s="185" t="str">
        <f t="shared" si="2"/>
        <v/>
      </c>
      <c r="E48" s="185" t="str">
        <f t="shared" si="3"/>
        <v/>
      </c>
      <c r="I48" s="190"/>
      <c r="J48" s="190"/>
      <c r="K48" s="190"/>
      <c r="L48" s="190"/>
      <c r="M48" s="190"/>
      <c r="N48" s="190"/>
      <c r="O48" s="190"/>
      <c r="P48" s="190"/>
      <c r="Q48" s="190"/>
      <c r="R48" s="190"/>
      <c r="S48" s="190"/>
      <c r="T48" s="190"/>
      <c r="U48" s="190"/>
      <c r="V48" s="190"/>
      <c r="W48" s="190"/>
      <c r="X48" s="190"/>
      <c r="Y48" s="190"/>
      <c r="Z48" s="190"/>
      <c r="AA48" s="190"/>
      <c r="AB48" s="190"/>
      <c r="AC48" s="190"/>
      <c r="AD48" s="190"/>
      <c r="AE48" s="190"/>
      <c r="AF48" s="190"/>
      <c r="AG48" s="190"/>
      <c r="AH48" s="190"/>
    </row>
    <row r="49" spans="1:34">
      <c r="A49" s="185" t="str">
        <f>IF(AND(LEN(G49)&gt;0,LEN(G48)=0,LEFT(G49,3)&lt;&gt;"TOT"),"GROUP","")</f>
        <v/>
      </c>
      <c r="B49" s="186" t="str">
        <f t="shared" ca="1" si="0"/>
        <v/>
      </c>
      <c r="C49" s="185" t="str">
        <f t="shared" si="1"/>
        <v/>
      </c>
      <c r="D49" s="185" t="str">
        <f t="shared" si="2"/>
        <v/>
      </c>
      <c r="E49" s="185" t="str">
        <f t="shared" si="3"/>
        <v/>
      </c>
      <c r="F49" s="187"/>
      <c r="G49" s="191" t="s">
        <v>99</v>
      </c>
      <c r="H49" s="192"/>
      <c r="I49" s="190"/>
      <c r="J49" s="190"/>
      <c r="K49" s="190"/>
      <c r="L49" s="190"/>
      <c r="M49" s="190"/>
      <c r="N49" s="190"/>
      <c r="O49" s="190"/>
      <c r="P49" s="190"/>
      <c r="Q49" s="190"/>
      <c r="R49" s="190"/>
      <c r="S49" s="190"/>
      <c r="T49" s="190"/>
      <c r="U49" s="190"/>
      <c r="V49" s="190"/>
      <c r="W49" s="190"/>
      <c r="X49" s="190"/>
      <c r="Y49" s="190"/>
      <c r="Z49" s="190"/>
      <c r="AA49" s="190"/>
      <c r="AB49" s="190"/>
      <c r="AC49" s="190"/>
      <c r="AD49" s="190"/>
      <c r="AE49" s="190"/>
      <c r="AF49" s="190"/>
      <c r="AG49" s="190"/>
      <c r="AH49" s="190"/>
    </row>
    <row r="50" spans="1:34">
      <c r="A50" s="185" t="str">
        <f>IF(AND(LEN(G50)&gt;0,LEN(G49)=0,LEFT(G50,3)&lt;&gt;"TOT"),"GROUP","")</f>
        <v>GROUP</v>
      </c>
      <c r="B50" s="186"/>
      <c r="C50" s="185" t="str">
        <f t="shared" si="1"/>
        <v/>
      </c>
      <c r="D50" s="185" t="str">
        <f t="shared" si="2"/>
        <v/>
      </c>
      <c r="E50" s="185" t="str">
        <f t="shared" si="3"/>
        <v>EXPENSES</v>
      </c>
      <c r="F50" s="187"/>
      <c r="G50" s="191" t="s">
        <v>311</v>
      </c>
      <c r="H50" s="201"/>
      <c r="I50" s="190"/>
      <c r="J50" s="190"/>
      <c r="K50" s="190"/>
      <c r="L50" s="190"/>
      <c r="M50" s="190"/>
      <c r="N50" s="190"/>
      <c r="O50" s="190"/>
      <c r="P50" s="190"/>
      <c r="Q50" s="190"/>
      <c r="R50" s="190"/>
      <c r="S50" s="190"/>
      <c r="T50" s="190"/>
      <c r="U50" s="190"/>
      <c r="V50" s="190"/>
      <c r="W50" s="190"/>
      <c r="X50" s="190"/>
      <c r="Y50" s="190"/>
      <c r="Z50" s="190"/>
      <c r="AA50" s="190"/>
      <c r="AB50" s="190"/>
      <c r="AC50" s="190"/>
      <c r="AD50" s="190"/>
      <c r="AE50" s="190"/>
      <c r="AF50" s="190"/>
      <c r="AG50" s="190"/>
      <c r="AH50" s="190"/>
    </row>
    <row r="51" spans="1:34">
      <c r="A51" s="185" t="s">
        <v>82</v>
      </c>
      <c r="B51" s="186">
        <f t="shared" ca="1" si="0"/>
        <v>301.3</v>
      </c>
      <c r="C51" s="185" t="str">
        <f t="shared" si="1"/>
        <v>EXPENSES : 50000 RESIDENT CARE</v>
      </c>
      <c r="D51" s="185" t="str">
        <f t="shared" si="2"/>
        <v>50000 RESIDENT CARE</v>
      </c>
      <c r="E51" s="185" t="str">
        <f t="shared" si="3"/>
        <v>EXPENSES</v>
      </c>
      <c r="F51" s="187"/>
      <c r="G51" s="191" t="s">
        <v>131</v>
      </c>
      <c r="H51" s="201"/>
      <c r="I51" s="190"/>
      <c r="J51" s="190"/>
      <c r="K51" s="190"/>
      <c r="L51" s="190"/>
      <c r="M51" s="190"/>
      <c r="N51" s="190"/>
      <c r="O51" s="190"/>
      <c r="P51" s="190"/>
      <c r="Q51" s="190"/>
      <c r="R51" s="190"/>
      <c r="S51" s="190"/>
      <c r="T51" s="190"/>
      <c r="U51" s="190"/>
      <c r="V51" s="190"/>
      <c r="W51" s="190"/>
      <c r="X51" s="190"/>
      <c r="Y51" s="190"/>
      <c r="Z51" s="190"/>
      <c r="AA51" s="190"/>
      <c r="AB51" s="190"/>
      <c r="AC51" s="190"/>
      <c r="AD51" s="190"/>
      <c r="AE51" s="190"/>
      <c r="AF51" s="190"/>
      <c r="AG51" s="190"/>
      <c r="AH51" s="190"/>
    </row>
    <row r="52" spans="1:34">
      <c r="A52" s="185" t="s">
        <v>82</v>
      </c>
      <c r="B52" s="186">
        <f t="shared" ca="1" si="0"/>
        <v>309</v>
      </c>
      <c r="C52" s="185" t="str">
        <f t="shared" si="1"/>
        <v>EXPENSES : 50046 W/C RESIDENT CARE</v>
      </c>
      <c r="D52" s="185" t="str">
        <f t="shared" si="2"/>
        <v>50046 W/C RESIDENT CARE</v>
      </c>
      <c r="E52" s="185" t="str">
        <f t="shared" si="3"/>
        <v>EXPENSES</v>
      </c>
      <c r="G52" s="191" t="s">
        <v>132</v>
      </c>
      <c r="H52" s="192">
        <v>5727</v>
      </c>
      <c r="I52" s="190"/>
      <c r="J52" s="190"/>
      <c r="K52" s="190"/>
      <c r="L52" s="190"/>
      <c r="M52" s="190"/>
      <c r="N52" s="190"/>
      <c r="O52" s="190"/>
      <c r="P52" s="190"/>
      <c r="Q52" s="190"/>
      <c r="R52" s="190"/>
      <c r="S52" s="190"/>
      <c r="T52" s="190"/>
      <c r="U52" s="190"/>
      <c r="V52" s="190"/>
      <c r="W52" s="190"/>
      <c r="X52" s="190"/>
      <c r="Y52" s="190"/>
      <c r="Z52" s="190"/>
      <c r="AA52" s="190"/>
      <c r="AB52" s="190"/>
      <c r="AC52" s="190"/>
      <c r="AD52" s="190"/>
      <c r="AE52" s="190"/>
      <c r="AF52" s="190"/>
      <c r="AG52" s="190"/>
      <c r="AH52" s="190"/>
    </row>
    <row r="53" spans="1:34">
      <c r="A53" s="185" t="s">
        <v>82</v>
      </c>
      <c r="B53" s="186">
        <f t="shared" ca="1" si="0"/>
        <v>308</v>
      </c>
      <c r="C53" s="185" t="str">
        <f t="shared" si="1"/>
        <v>EXPENSES : 50044 EMP BENES RES. CARE</v>
      </c>
      <c r="D53" s="185" t="str">
        <f t="shared" si="2"/>
        <v>50044 EMP BENES RES. CARE</v>
      </c>
      <c r="E53" s="185" t="str">
        <f t="shared" si="3"/>
        <v>EXPENSES</v>
      </c>
      <c r="G53" s="191" t="s">
        <v>133</v>
      </c>
      <c r="H53" s="192">
        <v>29919.37</v>
      </c>
      <c r="I53" s="190"/>
      <c r="J53" s="190"/>
      <c r="K53" s="190"/>
      <c r="L53" s="190"/>
      <c r="M53" s="190"/>
      <c r="N53" s="190"/>
      <c r="O53" s="190"/>
      <c r="P53" s="190"/>
      <c r="Q53" s="190"/>
      <c r="R53" s="190"/>
      <c r="S53" s="190"/>
      <c r="T53" s="190"/>
      <c r="U53" s="190"/>
      <c r="V53" s="190"/>
      <c r="W53" s="190"/>
      <c r="X53" s="190"/>
      <c r="Y53" s="190"/>
      <c r="Z53" s="190"/>
      <c r="AA53" s="190"/>
      <c r="AB53" s="190"/>
      <c r="AC53" s="190"/>
      <c r="AD53" s="190"/>
      <c r="AE53" s="190"/>
      <c r="AF53" s="190"/>
      <c r="AG53" s="190"/>
      <c r="AH53" s="190"/>
    </row>
    <row r="54" spans="1:34">
      <c r="A54" s="185" t="s">
        <v>82</v>
      </c>
      <c r="B54" s="186">
        <f t="shared" ca="1" si="0"/>
        <v>307</v>
      </c>
      <c r="C54" s="185" t="str">
        <f t="shared" si="1"/>
        <v>EXPENSES : 50042 PAYROLL TAX RES. CARE</v>
      </c>
      <c r="D54" s="185" t="str">
        <f t="shared" si="2"/>
        <v>50042 PAYROLL TAX RES. CARE</v>
      </c>
      <c r="E54" s="185" t="str">
        <f t="shared" si="3"/>
        <v>EXPENSES</v>
      </c>
      <c r="G54" s="191" t="s">
        <v>134</v>
      </c>
      <c r="H54" s="192">
        <v>81440.649999999994</v>
      </c>
      <c r="I54" s="190"/>
      <c r="J54" s="190"/>
      <c r="K54" s="190"/>
      <c r="L54" s="190"/>
      <c r="M54" s="190"/>
      <c r="N54" s="190"/>
      <c r="O54" s="190"/>
      <c r="P54" s="190"/>
      <c r="Q54" s="190"/>
      <c r="R54" s="190"/>
      <c r="S54" s="190"/>
      <c r="T54" s="190"/>
      <c r="U54" s="190"/>
      <c r="V54" s="190"/>
      <c r="W54" s="190"/>
      <c r="X54" s="190"/>
      <c r="Y54" s="190"/>
      <c r="Z54" s="190"/>
      <c r="AA54" s="190"/>
      <c r="AB54" s="190"/>
      <c r="AC54" s="190"/>
      <c r="AD54" s="190"/>
      <c r="AE54" s="190"/>
      <c r="AF54" s="190"/>
      <c r="AG54" s="190"/>
      <c r="AH54" s="190"/>
    </row>
    <row r="55" spans="1:34">
      <c r="A55" s="185" t="str">
        <f>IF(AND(LEN(G55)&gt;0,LEN(G54)=0,LEFT(G55,3)&lt;&gt;"TOT"),"GROUP","")</f>
        <v/>
      </c>
      <c r="B55" s="186" t="str">
        <f t="shared" ca="1" si="0"/>
        <v/>
      </c>
      <c r="C55" s="185" t="str">
        <f t="shared" si="1"/>
        <v/>
      </c>
      <c r="D55" s="185" t="str">
        <f t="shared" si="2"/>
        <v/>
      </c>
      <c r="E55" s="185" t="str">
        <f t="shared" si="3"/>
        <v/>
      </c>
      <c r="F55" s="187"/>
      <c r="G55" s="191" t="s">
        <v>99</v>
      </c>
      <c r="H55" s="192"/>
      <c r="I55" s="190"/>
      <c r="J55" s="190"/>
      <c r="K55" s="190"/>
      <c r="L55" s="190"/>
      <c r="M55" s="190"/>
      <c r="N55" s="190"/>
      <c r="O55" s="190"/>
      <c r="P55" s="190"/>
      <c r="Q55" s="190"/>
      <c r="R55" s="190"/>
      <c r="S55" s="190"/>
      <c r="T55" s="190"/>
      <c r="U55" s="190"/>
      <c r="V55" s="190"/>
      <c r="W55" s="190"/>
      <c r="X55" s="190"/>
      <c r="Y55" s="190"/>
      <c r="Z55" s="190"/>
      <c r="AA55" s="190"/>
      <c r="AB55" s="190"/>
      <c r="AC55" s="190"/>
      <c r="AD55" s="190"/>
      <c r="AE55" s="190"/>
      <c r="AF55" s="190"/>
      <c r="AG55" s="190"/>
      <c r="AH55" s="190"/>
    </row>
    <row r="56" spans="1:34">
      <c r="A56" s="185" t="str">
        <f>IF(AND(LEN(G56)&gt;0,LEN(G55)=0,LEFT(G56,3)&lt;&gt;"TOT"),"GROUP","")</f>
        <v>GROUP</v>
      </c>
      <c r="B56" s="186"/>
      <c r="C56" s="185" t="str">
        <f t="shared" si="1"/>
        <v/>
      </c>
      <c r="D56" s="185" t="str">
        <f t="shared" si="2"/>
        <v/>
      </c>
      <c r="E56" s="185" t="str">
        <f t="shared" si="3"/>
        <v>50010 RESIDENT CARE WAGES</v>
      </c>
      <c r="F56" s="187"/>
      <c r="G56" s="191" t="s">
        <v>135</v>
      </c>
      <c r="H56" s="201"/>
      <c r="I56" s="190"/>
      <c r="J56" s="190"/>
      <c r="K56" s="190"/>
      <c r="L56" s="190"/>
      <c r="M56" s="190"/>
      <c r="N56" s="190"/>
      <c r="O56" s="190"/>
      <c r="P56" s="190"/>
      <c r="Q56" s="190"/>
      <c r="R56" s="190"/>
      <c r="S56" s="190"/>
      <c r="T56" s="190"/>
      <c r="U56" s="190"/>
      <c r="V56" s="190"/>
      <c r="W56" s="190"/>
      <c r="X56" s="190"/>
      <c r="Y56" s="190"/>
      <c r="Z56" s="190"/>
      <c r="AA56" s="190"/>
      <c r="AB56" s="190"/>
      <c r="AC56" s="190"/>
      <c r="AD56" s="190"/>
      <c r="AE56" s="190"/>
      <c r="AF56" s="190"/>
      <c r="AG56" s="190"/>
      <c r="AH56" s="190"/>
    </row>
    <row r="57" spans="1:34">
      <c r="A57" s="185" t="s">
        <v>82</v>
      </c>
      <c r="B57" s="186">
        <f t="shared" ca="1" si="0"/>
        <v>301.10000000000002</v>
      </c>
      <c r="C57" s="185" t="str">
        <f t="shared" si="1"/>
        <v>50010 RESIDENT CARE WAGES : 50011 RESIDENT CARE SUPERVISORS</v>
      </c>
      <c r="D57" s="185" t="str">
        <f t="shared" si="2"/>
        <v>50011 RESIDENT CARE SUPERVISORS</v>
      </c>
      <c r="E57" s="185" t="str">
        <f t="shared" si="3"/>
        <v>50010 RESIDENT CARE WAGES</v>
      </c>
      <c r="F57" s="187"/>
      <c r="G57" s="191" t="s">
        <v>136</v>
      </c>
      <c r="H57" s="192">
        <v>194998.71</v>
      </c>
      <c r="I57" s="195"/>
      <c r="J57" s="195"/>
      <c r="K57" s="195"/>
      <c r="L57" s="195"/>
      <c r="M57" s="195"/>
      <c r="N57" s="195"/>
      <c r="O57" s="195"/>
      <c r="P57" s="195"/>
      <c r="Q57" s="195"/>
      <c r="R57" s="195"/>
      <c r="S57" s="195"/>
      <c r="T57" s="195"/>
      <c r="U57" s="195"/>
      <c r="V57" s="195"/>
      <c r="W57" s="195"/>
      <c r="X57" s="195"/>
      <c r="Y57" s="195"/>
      <c r="Z57" s="195"/>
      <c r="AA57" s="195"/>
      <c r="AB57" s="195"/>
      <c r="AC57" s="195"/>
      <c r="AD57" s="195"/>
      <c r="AE57" s="195"/>
      <c r="AF57" s="195"/>
      <c r="AG57" s="195"/>
      <c r="AH57" s="195"/>
    </row>
    <row r="58" spans="1:34">
      <c r="A58" s="185" t="s">
        <v>82</v>
      </c>
      <c r="B58" s="186">
        <f t="shared" ca="1" si="0"/>
        <v>301.10000000000002</v>
      </c>
      <c r="C58" s="185" t="str">
        <f t="shared" si="1"/>
        <v>50010 RESIDENT CARE WAGES : 50012 RESIDENT CARE AIDES</v>
      </c>
      <c r="D58" s="185" t="str">
        <f t="shared" si="2"/>
        <v>50012 RESIDENT CARE AIDES</v>
      </c>
      <c r="E58" s="185" t="str">
        <f t="shared" si="3"/>
        <v>50010 RESIDENT CARE WAGES</v>
      </c>
      <c r="G58" s="191" t="s">
        <v>137</v>
      </c>
      <c r="H58" s="192">
        <v>796773.22</v>
      </c>
    </row>
    <row r="59" spans="1:34">
      <c r="A59" s="185"/>
      <c r="B59" s="186" t="str">
        <f t="shared" ca="1" si="0"/>
        <v/>
      </c>
      <c r="C59" s="185" t="str">
        <f t="shared" si="1"/>
        <v/>
      </c>
      <c r="D59" s="185" t="str">
        <f t="shared" si="2"/>
        <v/>
      </c>
      <c r="E59" s="185" t="str">
        <f t="shared" si="3"/>
        <v/>
      </c>
      <c r="G59" s="191" t="s">
        <v>138</v>
      </c>
      <c r="H59" s="192">
        <v>991771.93</v>
      </c>
    </row>
    <row r="60" spans="1:34">
      <c r="A60" s="185" t="str">
        <f>IF(AND(LEN(G60)&gt;0,LEN(G59)=0,LEFT(G60,3)&lt;&gt;"TOT"),"GROUP","")</f>
        <v/>
      </c>
      <c r="B60" s="186" t="str">
        <f t="shared" ca="1" si="0"/>
        <v/>
      </c>
      <c r="C60" s="185" t="str">
        <f t="shared" si="1"/>
        <v/>
      </c>
      <c r="D60" s="185" t="str">
        <f t="shared" si="2"/>
        <v/>
      </c>
      <c r="E60" s="185" t="str">
        <f t="shared" si="3"/>
        <v/>
      </c>
      <c r="G60" s="191" t="s">
        <v>99</v>
      </c>
      <c r="H60" s="192"/>
    </row>
    <row r="61" spans="1:34">
      <c r="A61" s="185" t="str">
        <f>IF(AND(LEN(G61)&gt;0,LEN(G60)=0,LEFT(G61,3)&lt;&gt;"TOT"),"GROUP","")</f>
        <v>GROUP</v>
      </c>
      <c r="B61" s="186"/>
      <c r="C61" s="185" t="str">
        <f t="shared" si="1"/>
        <v/>
      </c>
      <c r="D61" s="185" t="str">
        <f t="shared" si="2"/>
        <v/>
      </c>
      <c r="E61" s="185" t="str">
        <f t="shared" si="3"/>
        <v>50020 RESIDENT CARE SUPPLIES</v>
      </c>
      <c r="G61" s="191" t="s">
        <v>139</v>
      </c>
      <c r="H61" s="201"/>
    </row>
    <row r="62" spans="1:34">
      <c r="A62" s="185" t="s">
        <v>82</v>
      </c>
      <c r="B62" s="186">
        <f t="shared" ca="1" si="0"/>
        <v>301.3</v>
      </c>
      <c r="C62" s="185" t="str">
        <f t="shared" si="1"/>
        <v>50020 RESIDENT CARE SUPPLIES : 50024 MEDICAL SUPPLIES</v>
      </c>
      <c r="D62" s="185" t="str">
        <f t="shared" si="2"/>
        <v>50024 MEDICAL SUPPLIES</v>
      </c>
      <c r="E62" s="185" t="str">
        <f t="shared" si="3"/>
        <v>50020 RESIDENT CARE SUPPLIES</v>
      </c>
      <c r="G62" s="191" t="s">
        <v>140</v>
      </c>
      <c r="H62" s="192">
        <v>7771.84</v>
      </c>
    </row>
    <row r="63" spans="1:34">
      <c r="A63" s="185" t="s">
        <v>82</v>
      </c>
      <c r="B63" s="186">
        <f t="shared" ca="1" si="0"/>
        <v>301.3</v>
      </c>
      <c r="C63" s="185" t="str">
        <f t="shared" si="1"/>
        <v>50020 RESIDENT CARE SUPPLIES : 50020 RESIDENT CARE SUPPLIES OTHER</v>
      </c>
      <c r="D63" s="185" t="str">
        <f t="shared" si="2"/>
        <v>50020 RESIDENT CARE SUPPLIES OTHER</v>
      </c>
      <c r="E63" s="185" t="str">
        <f t="shared" si="3"/>
        <v>50020 RESIDENT CARE SUPPLIES</v>
      </c>
      <c r="G63" s="191" t="s">
        <v>141</v>
      </c>
      <c r="H63" s="192">
        <v>922.9</v>
      </c>
    </row>
    <row r="64" spans="1:34">
      <c r="A64" s="185" t="s">
        <v>82</v>
      </c>
      <c r="B64" s="186">
        <f t="shared" ca="1" si="0"/>
        <v>301.2</v>
      </c>
      <c r="C64" s="185" t="str">
        <f t="shared" si="1"/>
        <v>50020 RESIDENT CARE SUPPLIES : 50030 CONSULTING</v>
      </c>
      <c r="D64" s="185" t="str">
        <f t="shared" si="2"/>
        <v>50030 CONSULTING</v>
      </c>
      <c r="E64" s="185" t="str">
        <f t="shared" si="3"/>
        <v>50020 RESIDENT CARE SUPPLIES</v>
      </c>
      <c r="G64" s="191" t="s">
        <v>142</v>
      </c>
      <c r="H64" s="192">
        <v>1777.07</v>
      </c>
    </row>
    <row r="65" spans="1:8">
      <c r="A65" s="185" t="str">
        <f>IF(AND(LEN(G65)&gt;0,LEN(G64)=0,LEFT(G65,3)&lt;&gt;"TOT"),"GROUP","")</f>
        <v/>
      </c>
      <c r="B65" s="186" t="str">
        <f t="shared" ca="1" si="0"/>
        <v/>
      </c>
      <c r="C65" s="185" t="str">
        <f t="shared" si="1"/>
        <v/>
      </c>
      <c r="D65" s="185" t="str">
        <f t="shared" si="2"/>
        <v/>
      </c>
      <c r="E65" s="185" t="str">
        <f t="shared" si="3"/>
        <v/>
      </c>
      <c r="G65" s="191" t="s">
        <v>143</v>
      </c>
      <c r="H65" s="192">
        <v>1119330.76</v>
      </c>
    </row>
    <row r="66" spans="1:8">
      <c r="A66" s="185" t="str">
        <f>IF(AND(LEN(G66)&gt;0,LEN(G65)=0,LEFT(G66,3)&lt;&gt;"TOT"),"GROUP","")</f>
        <v/>
      </c>
      <c r="B66" s="186" t="str">
        <f t="shared" ca="1" si="0"/>
        <v/>
      </c>
      <c r="C66" s="185" t="str">
        <f t="shared" si="1"/>
        <v/>
      </c>
      <c r="D66" s="185" t="str">
        <f t="shared" si="2"/>
        <v/>
      </c>
      <c r="E66" s="185" t="str">
        <f t="shared" si="3"/>
        <v/>
      </c>
      <c r="G66" s="205" t="s">
        <v>99</v>
      </c>
      <c r="H66" s="192"/>
    </row>
    <row r="67" spans="1:8">
      <c r="A67" s="185" t="str">
        <f>IF(AND(LEN(G67)&gt;0,LEN(G66)=0,LEFT(G67,3)&lt;&gt;"TOT"),"GROUP","")</f>
        <v>GROUP</v>
      </c>
      <c r="B67" s="186"/>
      <c r="C67" s="185" t="str">
        <f t="shared" si="1"/>
        <v/>
      </c>
      <c r="D67" s="185" t="str">
        <f t="shared" si="2"/>
        <v/>
      </c>
      <c r="E67" s="185" t="str">
        <f t="shared" si="3"/>
        <v>50100 RESIDENT DIETARY EXPENSES</v>
      </c>
      <c r="G67" s="191" t="s">
        <v>144</v>
      </c>
      <c r="H67" s="201"/>
    </row>
    <row r="68" spans="1:8">
      <c r="A68" s="185" t="s">
        <v>82</v>
      </c>
      <c r="B68" s="186">
        <f t="shared" ca="1" si="0"/>
        <v>302.3</v>
      </c>
      <c r="C68" s="185" t="str">
        <f t="shared" si="1"/>
        <v>50100 RESIDENT DIETARY EXPENSES : 50120 BULK FOOD PURCHASES</v>
      </c>
      <c r="D68" s="185" t="str">
        <f t="shared" si="2"/>
        <v>50120 BULK FOOD PURCHASES</v>
      </c>
      <c r="E68" s="185" t="str">
        <f t="shared" si="3"/>
        <v>50100 RESIDENT DIETARY EXPENSES</v>
      </c>
      <c r="G68" s="191" t="s">
        <v>145</v>
      </c>
      <c r="H68" s="192">
        <v>142863.63</v>
      </c>
    </row>
    <row r="69" spans="1:8">
      <c r="A69" s="185" t="s">
        <v>82</v>
      </c>
      <c r="B69" s="186">
        <f t="shared" ref="B69:B133" ca="1" si="5">IF(LEN(A69)=0,"",IFERROR(VLOOKUP(C69,INDIRECT(A69&amp;"_LOOKUP"),2,FALSE),"-100"))</f>
        <v>302.3</v>
      </c>
      <c r="C69" s="185" t="str">
        <f t="shared" ref="C69:C133" si="6">IF(LEN(D69)&gt;0,TRIM(E69&amp;" : "&amp;D69),"")</f>
        <v>50100 RESIDENT DIETARY EXPENSES : 50123 DAIRY</v>
      </c>
      <c r="D69" s="185" t="str">
        <f t="shared" ref="D69:D133" si="7">IFERROR(IF(AND(LEN(A69)&gt;0,A69&lt;&gt;"GROUP"),UPPER(G69),""),"")</f>
        <v>50123 DAIRY</v>
      </c>
      <c r="E69" s="185" t="str">
        <f t="shared" ref="E69:E133" si="8">IFERROR(IF(A69="GROUP",UPPER(G69),IF(AND(LEN(A69)&gt;0,A69&lt;&gt;"GROUP"),UPPER(E68),"")),"")</f>
        <v>50100 RESIDENT DIETARY EXPENSES</v>
      </c>
      <c r="G69" s="191" t="s">
        <v>146</v>
      </c>
      <c r="H69" s="192">
        <v>3205.54</v>
      </c>
    </row>
    <row r="70" spans="1:8">
      <c r="A70" s="185" t="s">
        <v>82</v>
      </c>
      <c r="B70" s="186">
        <f t="shared" ca="1" si="5"/>
        <v>302.3</v>
      </c>
      <c r="C70" s="185" t="str">
        <f t="shared" si="6"/>
        <v>50100 RESIDENT DIETARY EXPENSES : 50130 FOOD SUPPLEMENTS</v>
      </c>
      <c r="D70" s="185" t="str">
        <f t="shared" si="7"/>
        <v>50130 FOOD SUPPLEMENTS</v>
      </c>
      <c r="E70" s="185" t="str">
        <f t="shared" si="8"/>
        <v>50100 RESIDENT DIETARY EXPENSES</v>
      </c>
      <c r="G70" s="191" t="s">
        <v>147</v>
      </c>
      <c r="H70" s="192">
        <v>189.21</v>
      </c>
    </row>
    <row r="71" spans="1:8">
      <c r="A71" s="185" t="s">
        <v>82</v>
      </c>
      <c r="B71" s="186">
        <f t="shared" ca="1" si="5"/>
        <v>302.3</v>
      </c>
      <c r="C71" s="185" t="str">
        <f t="shared" si="6"/>
        <v>50100 RESIDENT DIETARY EXPENSES : 50140 GROCERY ITEMS</v>
      </c>
      <c r="D71" s="185" t="str">
        <f t="shared" si="7"/>
        <v>50140 GROCERY ITEMS</v>
      </c>
      <c r="E71" s="185" t="str">
        <f t="shared" si="8"/>
        <v>50100 RESIDENT DIETARY EXPENSES</v>
      </c>
      <c r="G71" s="191" t="s">
        <v>148</v>
      </c>
      <c r="H71" s="192">
        <v>12620.61</v>
      </c>
    </row>
    <row r="72" spans="1:8">
      <c r="A72" s="185" t="s">
        <v>82</v>
      </c>
      <c r="B72" s="186">
        <f t="shared" ca="1" si="5"/>
        <v>302.3</v>
      </c>
      <c r="C72" s="185" t="str">
        <f t="shared" si="6"/>
        <v>50100 RESIDENT DIETARY EXPENSES : 50100 RESIDENT DIETARY EXPENSES OTHER</v>
      </c>
      <c r="D72" s="185" t="str">
        <f t="shared" si="7"/>
        <v>50100 RESIDENT DIETARY EXPENSES OTHER</v>
      </c>
      <c r="E72" s="185" t="str">
        <f t="shared" si="8"/>
        <v>50100 RESIDENT DIETARY EXPENSES</v>
      </c>
      <c r="G72" s="191" t="s">
        <v>149</v>
      </c>
      <c r="H72" s="192">
        <v>43.56</v>
      </c>
    </row>
    <row r="73" spans="1:8">
      <c r="A73" s="185" t="str">
        <f>IF(AND(LEN(G73)&gt;0,LEN(G72)=0,LEFT(G73,3)&lt;&gt;"TOT"),"GROUP","")</f>
        <v/>
      </c>
      <c r="B73" s="186" t="str">
        <f t="shared" ca="1" si="5"/>
        <v/>
      </c>
      <c r="C73" s="185" t="str">
        <f t="shared" si="6"/>
        <v/>
      </c>
      <c r="D73" s="185" t="str">
        <f t="shared" si="7"/>
        <v/>
      </c>
      <c r="E73" s="185" t="str">
        <f t="shared" si="8"/>
        <v/>
      </c>
      <c r="G73" s="191" t="s">
        <v>150</v>
      </c>
      <c r="H73" s="192">
        <v>158922.54999999999</v>
      </c>
    </row>
    <row r="74" spans="1:8">
      <c r="A74" s="185" t="str">
        <f>IF(AND(LEN(G74)&gt;0,LEN(G73)=0,LEFT(G74,3)&lt;&gt;"TOT"),"GROUP","")</f>
        <v/>
      </c>
      <c r="B74" s="186" t="str">
        <f t="shared" ca="1" si="5"/>
        <v/>
      </c>
      <c r="C74" s="185" t="str">
        <f t="shared" si="6"/>
        <v/>
      </c>
      <c r="D74" s="185" t="str">
        <f t="shared" si="7"/>
        <v/>
      </c>
      <c r="E74" s="185" t="str">
        <f t="shared" si="8"/>
        <v/>
      </c>
      <c r="G74" s="191" t="s">
        <v>99</v>
      </c>
      <c r="H74" s="192"/>
    </row>
    <row r="75" spans="1:8">
      <c r="A75" s="185" t="str">
        <f>IF(AND(LEN(G75)&gt;0,LEN(G74)=0,LEFT(G75,3)&lt;&gt;"TOT"),"GROUP","")</f>
        <v>GROUP</v>
      </c>
      <c r="B75" s="186"/>
      <c r="C75" s="185" t="str">
        <f t="shared" si="6"/>
        <v/>
      </c>
      <c r="D75" s="185" t="str">
        <f t="shared" si="7"/>
        <v/>
      </c>
      <c r="E75" s="185" t="str">
        <f t="shared" si="8"/>
        <v>50400 RESIDENT RECREATION EXPENSE</v>
      </c>
      <c r="G75" s="191" t="s">
        <v>151</v>
      </c>
      <c r="H75" s="201"/>
    </row>
    <row r="76" spans="1:8">
      <c r="A76" s="185" t="s">
        <v>82</v>
      </c>
      <c r="B76" s="186">
        <f t="shared" ca="1" si="5"/>
        <v>309</v>
      </c>
      <c r="C76" s="185" t="str">
        <f t="shared" si="6"/>
        <v>50400 RESIDENT RECREATION EXPENSE : 50416 W/C ACTIVITIES</v>
      </c>
      <c r="D76" s="185" t="str">
        <f t="shared" si="7"/>
        <v>50416 W/C ACTIVITIES</v>
      </c>
      <c r="E76" s="185" t="str">
        <f t="shared" si="8"/>
        <v>50400 RESIDENT RECREATION EXPENSE</v>
      </c>
      <c r="G76" s="191" t="s">
        <v>152</v>
      </c>
      <c r="H76" s="192">
        <v>195</v>
      </c>
    </row>
    <row r="77" spans="1:8">
      <c r="A77" s="185" t="s">
        <v>82</v>
      </c>
      <c r="B77" s="186">
        <f t="shared" ca="1" si="5"/>
        <v>308</v>
      </c>
      <c r="C77" s="185" t="str">
        <f t="shared" si="6"/>
        <v>50400 RESIDENT RECREATION EXPENSE : 50414 ERNP BENES ACTIVITIES</v>
      </c>
      <c r="D77" s="185" t="str">
        <f t="shared" si="7"/>
        <v>50414 ERNP BENES ACTIVITIES</v>
      </c>
      <c r="E77" s="185" t="str">
        <f t="shared" si="8"/>
        <v>50400 RESIDENT RECREATION EXPENSE</v>
      </c>
      <c r="G77" s="191" t="s">
        <v>153</v>
      </c>
      <c r="H77" s="192">
        <v>1715.22</v>
      </c>
    </row>
    <row r="78" spans="1:8">
      <c r="A78" s="185" t="s">
        <v>82</v>
      </c>
      <c r="B78" s="186">
        <f t="shared" ca="1" si="5"/>
        <v>307</v>
      </c>
      <c r="C78" s="185" t="str">
        <f t="shared" si="6"/>
        <v>50400 RESIDENT RECREATION EXPENSE : 50412 PAYROLL TAX ACTIVITIES</v>
      </c>
      <c r="D78" s="185" t="str">
        <f t="shared" si="7"/>
        <v>50412 PAYROLL TAX ACTIVITIES</v>
      </c>
      <c r="E78" s="185" t="str">
        <f t="shared" si="8"/>
        <v>50400 RESIDENT RECREATION EXPENSE</v>
      </c>
      <c r="G78" s="191" t="s">
        <v>154</v>
      </c>
      <c r="H78" s="192">
        <v>2192.0100000000002</v>
      </c>
    </row>
    <row r="79" spans="1:8">
      <c r="A79" s="185" t="s">
        <v>82</v>
      </c>
      <c r="B79" s="186">
        <f t="shared" ca="1" si="5"/>
        <v>303.10000000000002</v>
      </c>
      <c r="C79" s="185" t="str">
        <f t="shared" si="6"/>
        <v>50400 RESIDENT RECREATION EXPENSE : 50410 RECREATION SUPERVISOR SALARY</v>
      </c>
      <c r="D79" s="185" t="str">
        <f t="shared" si="7"/>
        <v>50410 RECREATION SUPERVISOR SALARY</v>
      </c>
      <c r="E79" s="185" t="str">
        <f t="shared" si="8"/>
        <v>50400 RESIDENT RECREATION EXPENSE</v>
      </c>
      <c r="G79" s="191" t="s">
        <v>155</v>
      </c>
      <c r="H79" s="192">
        <v>30354.45</v>
      </c>
    </row>
    <row r="80" spans="1:8">
      <c r="A80" s="185" t="s">
        <v>82</v>
      </c>
      <c r="B80" s="186">
        <f t="shared" ca="1" si="5"/>
        <v>303.3</v>
      </c>
      <c r="C80" s="185" t="str">
        <f t="shared" si="6"/>
        <v>50400 RESIDENT RECREATION EXPENSE : 50420 ENTERTAINMENT</v>
      </c>
      <c r="D80" s="185" t="str">
        <f t="shared" si="7"/>
        <v>50420 ENTERTAINMENT</v>
      </c>
      <c r="E80" s="185" t="str">
        <f t="shared" si="8"/>
        <v>50400 RESIDENT RECREATION EXPENSE</v>
      </c>
      <c r="G80" s="191" t="s">
        <v>156</v>
      </c>
      <c r="H80" s="192">
        <v>3105</v>
      </c>
    </row>
    <row r="81" spans="1:8">
      <c r="A81" s="185" t="s">
        <v>82</v>
      </c>
      <c r="B81" s="186">
        <f t="shared" ca="1" si="5"/>
        <v>303.3</v>
      </c>
      <c r="C81" s="185" t="str">
        <f t="shared" si="6"/>
        <v>50400 RESIDENT RECREATION EXPENSE : 50430 HOLIDAY EVENTS</v>
      </c>
      <c r="D81" s="185" t="str">
        <f t="shared" si="7"/>
        <v>50430 HOLIDAY EVENTS</v>
      </c>
      <c r="E81" s="185" t="str">
        <f t="shared" si="8"/>
        <v>50400 RESIDENT RECREATION EXPENSE</v>
      </c>
      <c r="G81" s="191" t="s">
        <v>157</v>
      </c>
      <c r="H81" s="192">
        <v>50</v>
      </c>
    </row>
    <row r="82" spans="1:8">
      <c r="A82" s="185" t="s">
        <v>82</v>
      </c>
      <c r="B82" s="186">
        <f t="shared" ca="1" si="5"/>
        <v>303.3</v>
      </c>
      <c r="C82" s="185" t="str">
        <f t="shared" si="6"/>
        <v>50400 RESIDENT RECREATION EXPENSE : 50460 OFFSITE ACTIVITIES</v>
      </c>
      <c r="D82" s="185" t="str">
        <f t="shared" si="7"/>
        <v>50460 OFFSITE ACTIVITIES</v>
      </c>
      <c r="E82" s="185" t="str">
        <f t="shared" si="8"/>
        <v>50400 RESIDENT RECREATION EXPENSE</v>
      </c>
      <c r="G82" s="191" t="s">
        <v>158</v>
      </c>
      <c r="H82" s="192">
        <v>5134.2700000000004</v>
      </c>
    </row>
    <row r="83" spans="1:8">
      <c r="A83" s="185" t="s">
        <v>82</v>
      </c>
      <c r="B83" s="186">
        <f t="shared" ca="1" si="5"/>
        <v>303.3</v>
      </c>
      <c r="C83" s="185" t="str">
        <f t="shared" si="6"/>
        <v>50400 RESIDENT RECREATION EXPENSE : 50480 RECREATION SUPPLIES</v>
      </c>
      <c r="D83" s="185" t="str">
        <f t="shared" si="7"/>
        <v>50480 RECREATION SUPPLIES</v>
      </c>
      <c r="E83" s="185" t="str">
        <f t="shared" si="8"/>
        <v>50400 RESIDENT RECREATION EXPENSE</v>
      </c>
      <c r="G83" s="191" t="s">
        <v>159</v>
      </c>
      <c r="H83" s="192">
        <v>3925.23</v>
      </c>
    </row>
    <row r="84" spans="1:8">
      <c r="A84" s="185" t="s">
        <v>82</v>
      </c>
      <c r="B84" s="186">
        <f t="shared" ca="1" si="5"/>
        <v>301.2</v>
      </c>
      <c r="C84" s="185" t="str">
        <f t="shared" si="6"/>
        <v>50400 RESIDENT RECREATION EXPENSE : 50800 BEAUTICIAN</v>
      </c>
      <c r="D84" s="185" t="str">
        <f t="shared" si="7"/>
        <v>50800 BEAUTICIAN</v>
      </c>
      <c r="E84" s="185" t="str">
        <f t="shared" si="8"/>
        <v>50400 RESIDENT RECREATION EXPENSE</v>
      </c>
      <c r="G84" s="191" t="s">
        <v>168</v>
      </c>
      <c r="H84" s="192">
        <v>5745.6</v>
      </c>
    </row>
    <row r="85" spans="1:8">
      <c r="A85" s="185"/>
      <c r="B85" s="186" t="str">
        <f t="shared" ca="1" si="5"/>
        <v/>
      </c>
      <c r="C85" s="185" t="str">
        <f t="shared" si="6"/>
        <v/>
      </c>
      <c r="D85" s="185" t="str">
        <f t="shared" si="7"/>
        <v/>
      </c>
      <c r="E85" s="185" t="str">
        <f t="shared" si="8"/>
        <v/>
      </c>
      <c r="G85" s="191" t="s">
        <v>160</v>
      </c>
      <c r="H85" s="192">
        <v>46671.18</v>
      </c>
    </row>
    <row r="86" spans="1:8">
      <c r="A86" s="185"/>
      <c r="B86" s="186" t="str">
        <f t="shared" ca="1" si="5"/>
        <v/>
      </c>
      <c r="C86" s="185" t="str">
        <f t="shared" si="6"/>
        <v/>
      </c>
      <c r="D86" s="185" t="str">
        <f t="shared" si="7"/>
        <v/>
      </c>
      <c r="E86" s="185" t="str">
        <f t="shared" si="8"/>
        <v/>
      </c>
      <c r="G86" s="191" t="s">
        <v>99</v>
      </c>
      <c r="H86" s="192"/>
    </row>
    <row r="87" spans="1:8">
      <c r="A87" s="185" t="str">
        <f>IF(AND(LEN(G87)&gt;0,LEN(G86)=0,LEFT(G87,3)&lt;&gt;"TOT"),"GROUP","")</f>
        <v>GROUP</v>
      </c>
      <c r="B87" s="186"/>
      <c r="C87" s="185" t="str">
        <f t="shared" si="6"/>
        <v/>
      </c>
      <c r="D87" s="185" t="str">
        <f t="shared" si="7"/>
        <v/>
      </c>
      <c r="E87" s="185" t="str">
        <f t="shared" si="8"/>
        <v>50800 RESIDENT HOUSEKEEPING &amp; LAUNDRY</v>
      </c>
      <c r="G87" s="191" t="s">
        <v>161</v>
      </c>
      <c r="H87" s="192"/>
    </row>
    <row r="88" spans="1:8">
      <c r="A88" s="185" t="s">
        <v>82</v>
      </c>
      <c r="B88" s="186">
        <f t="shared" ca="1" si="5"/>
        <v>309</v>
      </c>
      <c r="C88" s="185" t="str">
        <f t="shared" si="6"/>
        <v>50800 RESIDENT HOUSEKEEPING &amp; LAUNDRY : 50616 W/C HSKPG &amp; LAUNDRY</v>
      </c>
      <c r="D88" s="185" t="str">
        <f t="shared" si="7"/>
        <v>50616 W/C HSKPG &amp; LAUNDRY</v>
      </c>
      <c r="E88" s="185" t="str">
        <f t="shared" si="8"/>
        <v>50800 RESIDENT HOUSEKEEPING &amp; LAUNDRY</v>
      </c>
      <c r="G88" s="191" t="s">
        <v>162</v>
      </c>
      <c r="H88" s="192">
        <v>187</v>
      </c>
    </row>
    <row r="89" spans="1:8">
      <c r="A89" s="185" t="s">
        <v>82</v>
      </c>
      <c r="B89" s="186">
        <f t="shared" ca="1" si="5"/>
        <v>308</v>
      </c>
      <c r="C89" s="185" t="str">
        <f t="shared" si="6"/>
        <v>50800 RESIDENT HOUSEKEEPING &amp; LAUNDRY : 50614 EMP BENES HSKPG LAURND</v>
      </c>
      <c r="D89" s="185" t="str">
        <f t="shared" si="7"/>
        <v>50614 EMP BENES HSKPG LAURND</v>
      </c>
      <c r="E89" s="185" t="str">
        <f t="shared" si="8"/>
        <v>50800 RESIDENT HOUSEKEEPING &amp; LAUNDRY</v>
      </c>
      <c r="G89" s="191" t="s">
        <v>163</v>
      </c>
      <c r="H89" s="192">
        <v>1251.02</v>
      </c>
    </row>
    <row r="90" spans="1:8">
      <c r="A90" s="185" t="s">
        <v>82</v>
      </c>
      <c r="B90" s="186">
        <f t="shared" ca="1" si="5"/>
        <v>307</v>
      </c>
      <c r="C90" s="185" t="str">
        <f t="shared" si="6"/>
        <v>50800 RESIDENT HOUSEKEEPING &amp; LAUNDRY : 50612 PAYROLL TAX HSKPG LAUND</v>
      </c>
      <c r="D90" s="185" t="str">
        <f t="shared" si="7"/>
        <v>50612 PAYROLL TAX HSKPG LAUND</v>
      </c>
      <c r="E90" s="185" t="str">
        <f t="shared" si="8"/>
        <v>50800 RESIDENT HOUSEKEEPING &amp; LAUNDRY</v>
      </c>
      <c r="G90" s="191" t="s">
        <v>164</v>
      </c>
      <c r="H90" s="192">
        <v>2153.5</v>
      </c>
    </row>
    <row r="91" spans="1:8">
      <c r="A91" s="185" t="s">
        <v>82</v>
      </c>
      <c r="B91" s="186">
        <f t="shared" ca="1" si="5"/>
        <v>304.10000000000002</v>
      </c>
      <c r="C91" s="185" t="str">
        <f t="shared" si="6"/>
        <v>50800 RESIDENT HOUSEKEEPING &amp; LAUNDRY : 50610 HOUSEKEEPING/LAUNDRY SALARY</v>
      </c>
      <c r="D91" s="185" t="str">
        <f t="shared" si="7"/>
        <v>50610 HOUSEKEEPING/LAUNDRY SALARY</v>
      </c>
      <c r="E91" s="185" t="str">
        <f t="shared" si="8"/>
        <v>50800 RESIDENT HOUSEKEEPING &amp; LAUNDRY</v>
      </c>
      <c r="G91" s="191" t="s">
        <v>165</v>
      </c>
      <c r="H91" s="192">
        <v>29978.28</v>
      </c>
    </row>
    <row r="92" spans="1:8">
      <c r="A92" s="185" t="s">
        <v>82</v>
      </c>
      <c r="B92" s="186">
        <f t="shared" ca="1" si="5"/>
        <v>304.3</v>
      </c>
      <c r="C92" s="185" t="str">
        <f t="shared" si="6"/>
        <v>50800 RESIDENT HOUSEKEEPING &amp; LAUNDRY : 50680 HOUSEKEEPING SUPPLIES</v>
      </c>
      <c r="D92" s="185" t="str">
        <f t="shared" si="7"/>
        <v>50680 HOUSEKEEPING SUPPLIES</v>
      </c>
      <c r="E92" s="185" t="str">
        <f t="shared" si="8"/>
        <v>50800 RESIDENT HOUSEKEEPING &amp; LAUNDRY</v>
      </c>
      <c r="G92" s="191" t="s">
        <v>166</v>
      </c>
      <c r="H92" s="192">
        <v>30451.19</v>
      </c>
    </row>
    <row r="93" spans="1:8">
      <c r="A93" s="185"/>
      <c r="B93" s="186" t="str">
        <f t="shared" ca="1" si="5"/>
        <v/>
      </c>
      <c r="C93" s="185" t="str">
        <f t="shared" si="6"/>
        <v/>
      </c>
      <c r="D93" s="185" t="str">
        <f t="shared" si="7"/>
        <v/>
      </c>
      <c r="E93" s="185" t="str">
        <f t="shared" si="8"/>
        <v/>
      </c>
      <c r="G93" s="191" t="s">
        <v>167</v>
      </c>
      <c r="H93" s="192">
        <v>64020.99</v>
      </c>
    </row>
    <row r="94" spans="1:8">
      <c r="A94" s="185" t="str">
        <f>IF(AND(LEN(G94)&gt;0,LEN(G93)=0,LEFT(G94,3)&lt;&gt;"TOT"),"GROUP","")</f>
        <v/>
      </c>
      <c r="B94" s="186" t="str">
        <f t="shared" ca="1" si="5"/>
        <v/>
      </c>
      <c r="C94" s="185" t="str">
        <f t="shared" si="6"/>
        <v/>
      </c>
      <c r="D94" s="185" t="str">
        <f t="shared" si="7"/>
        <v/>
      </c>
      <c r="E94" s="185" t="str">
        <f t="shared" si="8"/>
        <v/>
      </c>
      <c r="G94" s="191" t="s">
        <v>99</v>
      </c>
      <c r="H94" s="192"/>
    </row>
    <row r="95" spans="1:8">
      <c r="A95" s="185" t="str">
        <f>IF(AND(LEN(G95)&gt;0,LEN(G94)=0,LEFT(G95,3)&lt;&gt;"TOT"),"GROUP","")</f>
        <v>GROUP</v>
      </c>
      <c r="B95" s="186"/>
      <c r="C95" s="185" t="str">
        <f t="shared" si="6"/>
        <v/>
      </c>
      <c r="D95" s="185" t="str">
        <f t="shared" si="7"/>
        <v/>
      </c>
      <c r="E95" s="185" t="str">
        <f t="shared" si="8"/>
        <v>52000 INSURANCE</v>
      </c>
      <c r="G95" s="191" t="s">
        <v>169</v>
      </c>
      <c r="H95" s="201"/>
    </row>
    <row r="96" spans="1:8">
      <c r="A96" s="185" t="s">
        <v>82</v>
      </c>
      <c r="B96" s="186">
        <f t="shared" ca="1" si="5"/>
        <v>310</v>
      </c>
      <c r="C96" s="185" t="str">
        <f t="shared" si="6"/>
        <v>52000 INSURANCE : 52100 LIABILITY</v>
      </c>
      <c r="D96" s="185" t="str">
        <f t="shared" si="7"/>
        <v>52100 LIABILITY</v>
      </c>
      <c r="E96" s="185" t="str">
        <f t="shared" si="8"/>
        <v>52000 INSURANCE</v>
      </c>
      <c r="G96" s="191" t="s">
        <v>170</v>
      </c>
      <c r="H96" s="192">
        <v>38485.61</v>
      </c>
    </row>
    <row r="97" spans="1:8">
      <c r="A97" s="185" t="s">
        <v>82</v>
      </c>
      <c r="B97" s="186">
        <f t="shared" ca="1" si="5"/>
        <v>310</v>
      </c>
      <c r="C97" s="185" t="str">
        <f t="shared" si="6"/>
        <v>52000 INSURANCE : 52300 PROPERTY LNSURANCE</v>
      </c>
      <c r="D97" s="185" t="str">
        <f t="shared" si="7"/>
        <v>52300 PROPERTY LNSURANCE</v>
      </c>
      <c r="E97" s="185" t="str">
        <f t="shared" si="8"/>
        <v>52000 INSURANCE</v>
      </c>
      <c r="G97" s="191" t="s">
        <v>171</v>
      </c>
      <c r="H97" s="192">
        <v>7092.07</v>
      </c>
    </row>
    <row r="98" spans="1:8">
      <c r="A98" s="185" t="str">
        <f>IF(AND(LEN(G98)&gt;0,LEN(G97)=0,LEFT(G98,3)&lt;&gt;"TOT"),"GROUP","")</f>
        <v/>
      </c>
      <c r="B98" s="186" t="str">
        <f t="shared" ca="1" si="5"/>
        <v/>
      </c>
      <c r="C98" s="185" t="str">
        <f t="shared" si="6"/>
        <v/>
      </c>
      <c r="D98" s="185" t="str">
        <f t="shared" si="7"/>
        <v/>
      </c>
      <c r="E98" s="185" t="str">
        <f t="shared" si="8"/>
        <v/>
      </c>
      <c r="G98" s="191" t="s">
        <v>172</v>
      </c>
      <c r="H98" s="192">
        <v>45577.68</v>
      </c>
    </row>
    <row r="99" spans="1:8">
      <c r="A99" s="185" t="str">
        <f>IF(AND(LEN(G99)&gt;0,LEN(G98)=0,LEFT(G99,3)&lt;&gt;"TOT"),"GROUP","")</f>
        <v/>
      </c>
      <c r="B99" s="186" t="str">
        <f t="shared" ca="1" si="5"/>
        <v/>
      </c>
      <c r="C99" s="185" t="str">
        <f t="shared" si="6"/>
        <v/>
      </c>
      <c r="D99" s="185" t="str">
        <f t="shared" si="7"/>
        <v/>
      </c>
      <c r="E99" s="185" t="str">
        <f t="shared" si="8"/>
        <v/>
      </c>
      <c r="G99" s="191" t="s">
        <v>99</v>
      </c>
      <c r="H99" s="192"/>
    </row>
    <row r="100" spans="1:8">
      <c r="A100" s="185" t="str">
        <f>IF(AND(LEN(G100)&gt;0,LEN(G99)=0,LEFT(G100,3)&lt;&gt;"TOT"),"GROUP","")</f>
        <v/>
      </c>
      <c r="B100" s="186" t="str">
        <f t="shared" ref="B100:B114" ca="1" si="9">IF(LEN(A100)=0,"",IFERROR(VLOOKUP(C100,INDIRECT(A100&amp;"_LOOKUP"),2,FALSE),"-100"))</f>
        <v/>
      </c>
      <c r="C100" s="185" t="str">
        <f t="shared" ref="C100:C114" si="10">IF(LEN(D100)&gt;0,TRIM(E100&amp;" : "&amp;D100),"")</f>
        <v/>
      </c>
      <c r="D100" s="185" t="str">
        <f t="shared" ref="D100:D114" si="11">IFERROR(IF(AND(LEN(A100)&gt;0,A100&lt;&gt;"GROUP"),UPPER(G100),""),"")</f>
        <v/>
      </c>
      <c r="E100" s="185" t="str">
        <f t="shared" ref="E100:E114" si="12">IFERROR(IF(A100="GROUP",UPPER(G100),IF(AND(LEN(A100)&gt;0,A100&lt;&gt;"GROUP"),UPPER(E99),"")),"")</f>
        <v/>
      </c>
    </row>
    <row r="101" spans="1:8">
      <c r="A101" s="185" t="str">
        <f>IF(AND(LEN(G101)&gt;0,LEN(G100)=0,LEFT(G101,3)&lt;&gt;"TOT"),"GROUP","")</f>
        <v/>
      </c>
      <c r="B101" s="186" t="str">
        <f t="shared" ca="1" si="9"/>
        <v/>
      </c>
      <c r="C101" s="185" t="str">
        <f t="shared" si="10"/>
        <v/>
      </c>
      <c r="D101" s="185" t="str">
        <f t="shared" si="11"/>
        <v/>
      </c>
      <c r="E101" s="185" t="str">
        <f t="shared" si="12"/>
        <v/>
      </c>
      <c r="G101" s="191" t="s">
        <v>99</v>
      </c>
      <c r="H101" s="201"/>
    </row>
    <row r="102" spans="1:8">
      <c r="A102" s="185" t="str">
        <f>IF(AND(LEN(G102)&gt;0,LEN(G101)=0,LEFT(G102,3)&lt;&gt;"TOT"),"GROUP","")</f>
        <v>GROUP</v>
      </c>
      <c r="B102" s="186"/>
      <c r="C102" s="185" t="str">
        <f t="shared" si="10"/>
        <v/>
      </c>
      <c r="D102" s="185" t="str">
        <f t="shared" si="11"/>
        <v/>
      </c>
      <c r="E102" s="185" t="str">
        <f t="shared" si="12"/>
        <v>55000 FACILITY MAINTENANCE</v>
      </c>
      <c r="G102" s="191" t="s">
        <v>283</v>
      </c>
      <c r="H102" s="201"/>
    </row>
    <row r="103" spans="1:8">
      <c r="A103" s="185" t="s">
        <v>82</v>
      </c>
      <c r="B103" s="186">
        <f t="shared" ca="1" si="9"/>
        <v>309</v>
      </c>
      <c r="C103" s="185" t="str">
        <f t="shared" si="10"/>
        <v>55000 FACILITY MAINTENANCE : 55016 W/C PLANT</v>
      </c>
      <c r="D103" s="185" t="str">
        <f t="shared" si="11"/>
        <v>55016 W/C PLANT</v>
      </c>
      <c r="E103" s="185" t="str">
        <f t="shared" si="12"/>
        <v>55000 FACILITY MAINTENANCE</v>
      </c>
      <c r="G103" s="191" t="s">
        <v>174</v>
      </c>
      <c r="H103" s="192">
        <v>257</v>
      </c>
    </row>
    <row r="104" spans="1:8">
      <c r="A104" s="185" t="s">
        <v>82</v>
      </c>
      <c r="B104" s="186">
        <f t="shared" ca="1" si="9"/>
        <v>308</v>
      </c>
      <c r="C104" s="185" t="str">
        <f t="shared" si="10"/>
        <v>55000 FACILITY MAINTENANCE : 55014 EMP BENES PLANT</v>
      </c>
      <c r="D104" s="185" t="str">
        <f t="shared" si="11"/>
        <v>55014 EMP BENES PLANT</v>
      </c>
      <c r="E104" s="185" t="str">
        <f t="shared" si="12"/>
        <v>55000 FACILITY MAINTENANCE</v>
      </c>
      <c r="G104" s="191" t="s">
        <v>175</v>
      </c>
      <c r="H104" s="192">
        <v>3812.29</v>
      </c>
    </row>
    <row r="105" spans="1:8">
      <c r="A105" s="185" t="s">
        <v>82</v>
      </c>
      <c r="B105" s="186">
        <f t="shared" ca="1" si="9"/>
        <v>307</v>
      </c>
      <c r="C105" s="185" t="str">
        <f t="shared" si="10"/>
        <v>55000 FACILITY MAINTENANCE : 55012 PAYROLL TAX PLANT</v>
      </c>
      <c r="D105" s="185" t="str">
        <f t="shared" si="11"/>
        <v>55012 PAYROLL TAX PLANT</v>
      </c>
      <c r="E105" s="185" t="str">
        <f t="shared" si="12"/>
        <v>55000 FACILITY MAINTENANCE</v>
      </c>
      <c r="G105" s="191" t="s">
        <v>176</v>
      </c>
      <c r="H105" s="192">
        <v>3348.98</v>
      </c>
    </row>
    <row r="106" spans="1:8">
      <c r="A106" s="185" t="s">
        <v>82</v>
      </c>
      <c r="B106" s="186">
        <f t="shared" ca="1" si="9"/>
        <v>312.10000000000002</v>
      </c>
      <c r="C106" s="185" t="str">
        <f t="shared" si="10"/>
        <v>55000 FACILITY MAINTENANCE : 55010 MAINTENANCE SALARIES</v>
      </c>
      <c r="D106" s="185" t="str">
        <f t="shared" si="11"/>
        <v>55010 MAINTENANCE SALARIES</v>
      </c>
      <c r="E106" s="185" t="str">
        <f t="shared" si="12"/>
        <v>55000 FACILITY MAINTENANCE</v>
      </c>
      <c r="G106" s="191" t="s">
        <v>177</v>
      </c>
      <c r="H106" s="192">
        <v>41989.22</v>
      </c>
    </row>
    <row r="107" spans="1:8">
      <c r="A107" s="185" t="s">
        <v>82</v>
      </c>
      <c r="B107" s="186">
        <f t="shared" ca="1" si="9"/>
        <v>312.3</v>
      </c>
      <c r="C107" s="185" t="str">
        <f t="shared" si="10"/>
        <v>55000 FACILITY MAINTENANCE : 55040 INSPECTION &amp; CERTIFICATIONS</v>
      </c>
      <c r="D107" s="185" t="str">
        <f t="shared" si="11"/>
        <v>55040 INSPECTION &amp; CERTIFICATIONS</v>
      </c>
      <c r="E107" s="185" t="str">
        <f t="shared" si="12"/>
        <v>55000 FACILITY MAINTENANCE</v>
      </c>
      <c r="G107" s="191" t="s">
        <v>178</v>
      </c>
      <c r="H107" s="192">
        <v>272</v>
      </c>
    </row>
    <row r="108" spans="1:8">
      <c r="A108" s="185" t="s">
        <v>82</v>
      </c>
      <c r="B108" s="186">
        <f t="shared" ca="1" si="9"/>
        <v>312.3</v>
      </c>
      <c r="C108" s="185" t="str">
        <f t="shared" si="10"/>
        <v>55000 FACILITY MAINTENANCE : 55200 MAINTENANCE SUPPLIES</v>
      </c>
      <c r="D108" s="185" t="str">
        <f t="shared" si="11"/>
        <v>55200 MAINTENANCE SUPPLIES</v>
      </c>
      <c r="E108" s="185" t="str">
        <f t="shared" si="12"/>
        <v>55000 FACILITY MAINTENANCE</v>
      </c>
      <c r="G108" s="191" t="s">
        <v>184</v>
      </c>
      <c r="H108" s="192">
        <v>30509.75</v>
      </c>
    </row>
    <row r="109" spans="1:8">
      <c r="A109" s="185" t="s">
        <v>82</v>
      </c>
      <c r="B109" s="186">
        <f t="shared" ca="1" si="9"/>
        <v>312.3</v>
      </c>
      <c r="C109" s="185" t="str">
        <f t="shared" si="10"/>
        <v>55000 FACILITY MAINTENANCE : 55300 REPAIRS AND SERVICE</v>
      </c>
      <c r="D109" s="185" t="str">
        <f t="shared" si="11"/>
        <v>55300 REPAIRS AND SERVICE</v>
      </c>
      <c r="E109" s="185" t="str">
        <f t="shared" si="12"/>
        <v>55000 FACILITY MAINTENANCE</v>
      </c>
      <c r="G109" s="191" t="s">
        <v>185</v>
      </c>
      <c r="H109" s="192">
        <v>11234.48</v>
      </c>
    </row>
    <row r="110" spans="1:8">
      <c r="A110" s="185" t="s">
        <v>82</v>
      </c>
      <c r="B110" s="186">
        <f t="shared" ca="1" si="9"/>
        <v>312.3</v>
      </c>
      <c r="C110" s="185" t="str">
        <f t="shared" si="10"/>
        <v>55000 FACILITY MAINTENANCE : 55600 TRASH REMOVAL</v>
      </c>
      <c r="D110" s="185" t="str">
        <f t="shared" si="11"/>
        <v>55600 TRASH REMOVAL</v>
      </c>
      <c r="E110" s="185" t="str">
        <f t="shared" si="12"/>
        <v>55000 FACILITY MAINTENANCE</v>
      </c>
      <c r="G110" s="191" t="s">
        <v>186</v>
      </c>
      <c r="H110" s="192">
        <v>16249.39</v>
      </c>
    </row>
    <row r="111" spans="1:8">
      <c r="A111" s="185" t="s">
        <v>82</v>
      </c>
      <c r="B111" s="186">
        <f t="shared" ca="1" si="9"/>
        <v>992</v>
      </c>
      <c r="C111" s="185" t="str">
        <f t="shared" si="10"/>
        <v>55000 FACILITY MAINTENANCE : 54000 RENT</v>
      </c>
      <c r="D111" s="185" t="str">
        <f t="shared" si="11"/>
        <v>54000 RENT</v>
      </c>
      <c r="E111" s="185" t="str">
        <f t="shared" si="12"/>
        <v>55000 FACILITY MAINTENANCE</v>
      </c>
      <c r="G111" s="191" t="s">
        <v>173</v>
      </c>
      <c r="H111" s="192">
        <v>765123.11</v>
      </c>
    </row>
    <row r="112" spans="1:8">
      <c r="A112" s="185" t="s">
        <v>82</v>
      </c>
      <c r="B112" s="186">
        <f t="shared" ca="1" si="9"/>
        <v>312.3</v>
      </c>
      <c r="C112" s="185" t="str">
        <f t="shared" si="10"/>
        <v>55000 FACILITY MAINTENANCE : 55000 FACILITY MAINTENANCE OTHER</v>
      </c>
      <c r="D112" s="185" t="str">
        <f t="shared" si="11"/>
        <v>55000 FACILITY MAINTENANCE OTHER</v>
      </c>
      <c r="E112" s="185" t="str">
        <f t="shared" si="12"/>
        <v>55000 FACILITY MAINTENANCE</v>
      </c>
      <c r="G112" s="191" t="s">
        <v>187</v>
      </c>
      <c r="H112" s="192">
        <v>-334.96</v>
      </c>
    </row>
    <row r="113" spans="1:8">
      <c r="A113" s="185"/>
      <c r="B113" s="186" t="str">
        <f t="shared" ca="1" si="9"/>
        <v/>
      </c>
      <c r="C113" s="185" t="str">
        <f t="shared" si="10"/>
        <v/>
      </c>
      <c r="D113" s="185" t="str">
        <f t="shared" si="11"/>
        <v/>
      </c>
      <c r="E113" s="185" t="str">
        <f t="shared" si="12"/>
        <v/>
      </c>
      <c r="G113" s="191"/>
      <c r="H113" s="192"/>
    </row>
    <row r="114" spans="1:8">
      <c r="A114" s="185" t="str">
        <f>IF(AND(LEN(G114)&gt;0,LEN(G113)=0,LEFT(G114,3)&lt;&gt;"TOT"),"GROUP","")</f>
        <v/>
      </c>
      <c r="B114" s="186" t="str">
        <f t="shared" ca="1" si="9"/>
        <v/>
      </c>
      <c r="C114" s="185" t="str">
        <f t="shared" si="10"/>
        <v/>
      </c>
      <c r="D114" s="185" t="str">
        <f t="shared" si="11"/>
        <v/>
      </c>
      <c r="E114" s="185" t="str">
        <f t="shared" si="12"/>
        <v/>
      </c>
      <c r="G114" s="191"/>
      <c r="H114" s="192"/>
    </row>
    <row r="115" spans="1:8">
      <c r="A115" s="185" t="str">
        <f t="shared" ref="A115:A124" si="13">IF(AND(LEN(G115)&gt;0,LEN(G114)=0,LEFT(G115,3)&lt;&gt;"TOT"),"GROUP","")</f>
        <v/>
      </c>
      <c r="B115" s="186" t="str">
        <f t="shared" ca="1" si="5"/>
        <v/>
      </c>
      <c r="C115" s="185" t="str">
        <f t="shared" si="6"/>
        <v/>
      </c>
      <c r="D115" s="185" t="str">
        <f t="shared" si="7"/>
        <v/>
      </c>
      <c r="E115" s="185" t="str">
        <f t="shared" si="8"/>
        <v/>
      </c>
      <c r="G115" s="191"/>
      <c r="H115" s="192"/>
    </row>
    <row r="116" spans="1:8">
      <c r="A116" s="185" t="str">
        <f t="shared" si="13"/>
        <v/>
      </c>
      <c r="B116" s="186" t="str">
        <f t="shared" ca="1" si="5"/>
        <v/>
      </c>
      <c r="C116" s="185" t="str">
        <f t="shared" si="6"/>
        <v/>
      </c>
      <c r="D116" s="185" t="str">
        <f t="shared" si="7"/>
        <v/>
      </c>
      <c r="E116" s="185" t="str">
        <f t="shared" si="8"/>
        <v/>
      </c>
      <c r="G116" s="191"/>
      <c r="H116" s="192"/>
    </row>
    <row r="117" spans="1:8">
      <c r="A117" s="185" t="str">
        <f t="shared" si="13"/>
        <v/>
      </c>
      <c r="B117" s="186" t="str">
        <f t="shared" ca="1" si="5"/>
        <v/>
      </c>
      <c r="C117" s="185" t="str">
        <f t="shared" si="6"/>
        <v/>
      </c>
      <c r="D117" s="185" t="str">
        <f t="shared" si="7"/>
        <v/>
      </c>
      <c r="E117" s="185" t="str">
        <f t="shared" si="8"/>
        <v/>
      </c>
      <c r="G117" s="191" t="s">
        <v>99</v>
      </c>
      <c r="H117" s="192"/>
    </row>
    <row r="118" spans="1:8">
      <c r="A118" s="185" t="str">
        <f t="shared" si="13"/>
        <v>GROUP</v>
      </c>
      <c r="B118" s="186"/>
      <c r="C118" s="185" t="str">
        <f t="shared" si="6"/>
        <v/>
      </c>
      <c r="D118" s="185" t="str">
        <f t="shared" si="7"/>
        <v/>
      </c>
      <c r="E118" s="185" t="str">
        <f t="shared" si="8"/>
        <v>55050 MAINTENANCE CONTRACTS</v>
      </c>
      <c r="G118" s="191" t="s">
        <v>179</v>
      </c>
      <c r="H118" s="201"/>
    </row>
    <row r="119" spans="1:8">
      <c r="A119" s="185" t="s">
        <v>82</v>
      </c>
      <c r="B119" s="186">
        <f t="shared" ca="1" si="5"/>
        <v>321.2</v>
      </c>
      <c r="C119" s="185" t="str">
        <f t="shared" si="6"/>
        <v>55050 MAINTENANCE CONTRACTS : 55056 PEST CONTROL</v>
      </c>
      <c r="D119" s="185" t="str">
        <f t="shared" si="7"/>
        <v>55056 PEST CONTROL</v>
      </c>
      <c r="E119" s="185" t="str">
        <f t="shared" si="8"/>
        <v>55050 MAINTENANCE CONTRACTS</v>
      </c>
      <c r="G119" s="191" t="s">
        <v>180</v>
      </c>
      <c r="H119" s="192">
        <v>4040</v>
      </c>
    </row>
    <row r="120" spans="1:8">
      <c r="A120" s="185" t="s">
        <v>82</v>
      </c>
      <c r="B120" s="186">
        <f t="shared" ca="1" si="5"/>
        <v>321.2</v>
      </c>
      <c r="C120" s="185" t="str">
        <f t="shared" si="6"/>
        <v>55050 MAINTENANCE CONTRACTS : 56055 LANDSCAPING</v>
      </c>
      <c r="D120" s="185" t="str">
        <f t="shared" si="7"/>
        <v>56055 LANDSCAPING</v>
      </c>
      <c r="E120" s="185" t="str">
        <f t="shared" si="8"/>
        <v>55050 MAINTENANCE CONTRACTS</v>
      </c>
      <c r="G120" s="191" t="s">
        <v>181</v>
      </c>
      <c r="H120" s="192">
        <v>24815.25</v>
      </c>
    </row>
    <row r="121" spans="1:8">
      <c r="A121" s="185" t="s">
        <v>82</v>
      </c>
      <c r="B121" s="186">
        <f t="shared" ca="1" si="5"/>
        <v>321.2</v>
      </c>
      <c r="C121" s="185" t="str">
        <f t="shared" si="6"/>
        <v>55050 MAINTENANCE CONTRACTS : 55050 MAINTENANCE CONTRACTS OTHER</v>
      </c>
      <c r="D121" s="185" t="str">
        <f t="shared" si="7"/>
        <v>55050 MAINTENANCE CONTRACTS OTHER</v>
      </c>
      <c r="E121" s="185" t="str">
        <f t="shared" si="8"/>
        <v>55050 MAINTENANCE CONTRACTS</v>
      </c>
      <c r="G121" s="191" t="s">
        <v>182</v>
      </c>
      <c r="H121" s="192">
        <v>5080.8500000000004</v>
      </c>
    </row>
    <row r="122" spans="1:8">
      <c r="A122" s="185"/>
      <c r="B122" s="186" t="str">
        <f t="shared" ca="1" si="5"/>
        <v/>
      </c>
      <c r="C122" s="185" t="str">
        <f t="shared" si="6"/>
        <v/>
      </c>
      <c r="D122" s="185" t="str">
        <f t="shared" si="7"/>
        <v/>
      </c>
      <c r="E122" s="185" t="str">
        <f t="shared" si="8"/>
        <v/>
      </c>
      <c r="G122" s="191" t="s">
        <v>183</v>
      </c>
      <c r="H122" s="192">
        <v>33936.1</v>
      </c>
    </row>
    <row r="123" spans="1:8">
      <c r="A123" s="185"/>
      <c r="B123" s="186" t="str">
        <f t="shared" ca="1" si="5"/>
        <v/>
      </c>
      <c r="C123" s="185" t="str">
        <f t="shared" si="6"/>
        <v/>
      </c>
      <c r="D123" s="185" t="str">
        <f t="shared" si="7"/>
        <v/>
      </c>
      <c r="E123" s="185" t="str">
        <f t="shared" si="8"/>
        <v/>
      </c>
      <c r="G123" s="191" t="s">
        <v>99</v>
      </c>
      <c r="H123" s="192"/>
    </row>
    <row r="124" spans="1:8">
      <c r="A124" s="185" t="str">
        <f t="shared" si="13"/>
        <v>GROUP</v>
      </c>
      <c r="B124" s="186"/>
      <c r="C124" s="185" t="str">
        <f t="shared" si="6"/>
        <v/>
      </c>
      <c r="D124" s="185" t="str">
        <f t="shared" si="7"/>
        <v/>
      </c>
      <c r="E124" s="185" t="str">
        <f t="shared" si="8"/>
        <v>56000 UTILITIES</v>
      </c>
      <c r="G124" s="191" t="s">
        <v>189</v>
      </c>
      <c r="H124" s="201"/>
    </row>
    <row r="125" spans="1:8">
      <c r="A125" s="185" t="s">
        <v>82</v>
      </c>
      <c r="B125" s="186">
        <f t="shared" ca="1" si="5"/>
        <v>313</v>
      </c>
      <c r="C125" s="185" t="str">
        <f t="shared" si="6"/>
        <v>56000 UTILITIES : 56100 GAS &amp; ELECTRIC</v>
      </c>
      <c r="D125" s="185" t="str">
        <f t="shared" si="7"/>
        <v>56100 GAS &amp; ELECTRIC</v>
      </c>
      <c r="E125" s="185" t="str">
        <f t="shared" si="8"/>
        <v>56000 UTILITIES</v>
      </c>
      <c r="G125" s="191" t="s">
        <v>190</v>
      </c>
      <c r="H125" s="192">
        <v>137137.34</v>
      </c>
    </row>
    <row r="126" spans="1:8">
      <c r="A126" s="185" t="s">
        <v>82</v>
      </c>
      <c r="B126" s="186">
        <f t="shared" ca="1" si="5"/>
        <v>313</v>
      </c>
      <c r="C126" s="185" t="str">
        <f t="shared" si="6"/>
        <v>56000 UTILITIES : 56200 CABLE</v>
      </c>
      <c r="D126" s="185" t="str">
        <f t="shared" si="7"/>
        <v>56200 CABLE</v>
      </c>
      <c r="E126" s="185" t="str">
        <f t="shared" si="8"/>
        <v>56000 UTILITIES</v>
      </c>
      <c r="G126" s="191" t="s">
        <v>191</v>
      </c>
      <c r="H126" s="192">
        <v>7163.38</v>
      </c>
    </row>
    <row r="127" spans="1:8">
      <c r="A127" s="185" t="s">
        <v>82</v>
      </c>
      <c r="B127" s="186">
        <f t="shared" ca="1" si="5"/>
        <v>313</v>
      </c>
      <c r="C127" s="185" t="str">
        <f t="shared" si="6"/>
        <v>56000 UTILITIES : 56300 PHONE</v>
      </c>
      <c r="D127" s="185" t="str">
        <f t="shared" si="7"/>
        <v>56300 PHONE</v>
      </c>
      <c r="E127" s="185" t="str">
        <f t="shared" si="8"/>
        <v>56000 UTILITIES</v>
      </c>
      <c r="G127" s="191" t="s">
        <v>192</v>
      </c>
      <c r="H127" s="192">
        <v>33726.26</v>
      </c>
    </row>
    <row r="128" spans="1:8">
      <c r="A128" s="185" t="s">
        <v>82</v>
      </c>
      <c r="B128" s="186">
        <f t="shared" ca="1" si="5"/>
        <v>313</v>
      </c>
      <c r="C128" s="185" t="str">
        <f t="shared" si="6"/>
        <v>56000 UTILITIES : 56700 WATER</v>
      </c>
      <c r="D128" s="185" t="str">
        <f t="shared" si="7"/>
        <v>56700 WATER</v>
      </c>
      <c r="E128" s="185" t="str">
        <f t="shared" si="8"/>
        <v>56000 UTILITIES</v>
      </c>
      <c r="G128" s="191" t="s">
        <v>193</v>
      </c>
      <c r="H128" s="192">
        <v>1015.59</v>
      </c>
    </row>
    <row r="129" spans="1:8">
      <c r="A129" s="185"/>
      <c r="B129" s="186" t="str">
        <f t="shared" ca="1" si="5"/>
        <v/>
      </c>
      <c r="C129" s="185" t="str">
        <f t="shared" si="6"/>
        <v/>
      </c>
      <c r="D129" s="185" t="str">
        <f t="shared" si="7"/>
        <v/>
      </c>
      <c r="E129" s="185" t="str">
        <f t="shared" si="8"/>
        <v/>
      </c>
      <c r="G129" s="191" t="s">
        <v>194</v>
      </c>
      <c r="H129" s="192">
        <v>179042.57</v>
      </c>
    </row>
    <row r="130" spans="1:8">
      <c r="A130" s="185"/>
      <c r="B130" s="186" t="str">
        <f t="shared" ca="1" si="5"/>
        <v/>
      </c>
      <c r="C130" s="185" t="str">
        <f t="shared" si="6"/>
        <v/>
      </c>
      <c r="D130" s="185" t="str">
        <f t="shared" si="7"/>
        <v/>
      </c>
      <c r="E130" s="185" t="str">
        <f t="shared" si="8"/>
        <v/>
      </c>
      <c r="G130" s="205" t="s">
        <v>99</v>
      </c>
      <c r="H130" s="201"/>
    </row>
    <row r="131" spans="1:8">
      <c r="A131" s="185" t="str">
        <f>IF(AND(LEN(G131)&gt;0,LEN(G130)=0,LEFT(G131,3)&lt;&gt;"TOT"),"GROUP","")</f>
        <v>GROUP</v>
      </c>
      <c r="B131" s="186"/>
      <c r="C131" s="185" t="str">
        <f t="shared" si="6"/>
        <v/>
      </c>
      <c r="D131" s="185" t="str">
        <f t="shared" si="7"/>
        <v/>
      </c>
      <c r="E131" s="185" t="str">
        <f t="shared" si="8"/>
        <v>58000 LICENSES &amp; FEES OTHER</v>
      </c>
      <c r="G131" s="191" t="s">
        <v>195</v>
      </c>
      <c r="H131" s="201"/>
    </row>
    <row r="132" spans="1:8">
      <c r="A132" s="185" t="s">
        <v>82</v>
      </c>
      <c r="B132" s="186">
        <f t="shared" ca="1" si="5"/>
        <v>990</v>
      </c>
      <c r="C132" s="185" t="str">
        <f t="shared" si="6"/>
        <v>58000 LICENSES &amp; FEES OTHER : 58100 PERSONAL PROPERTY TAX</v>
      </c>
      <c r="D132" s="185" t="str">
        <f t="shared" si="7"/>
        <v>58100 PERSONAL PROPERTY TAX</v>
      </c>
      <c r="E132" s="185" t="str">
        <f t="shared" si="8"/>
        <v>58000 LICENSES &amp; FEES OTHER</v>
      </c>
      <c r="G132" s="191" t="s">
        <v>196</v>
      </c>
      <c r="H132" s="192">
        <v>2546.5100000000002</v>
      </c>
    </row>
    <row r="133" spans="1:8">
      <c r="A133" s="185" t="s">
        <v>82</v>
      </c>
      <c r="B133" s="186">
        <f t="shared" ca="1" si="5"/>
        <v>306.3</v>
      </c>
      <c r="C133" s="185" t="str">
        <f t="shared" si="6"/>
        <v>58000 LICENSES &amp; FEES OTHER : 58000 LICENSES &amp; FEES OTHER</v>
      </c>
      <c r="D133" s="185" t="str">
        <f t="shared" si="7"/>
        <v>58000 LICENSES &amp; FEES OTHER</v>
      </c>
      <c r="E133" s="185" t="str">
        <f t="shared" si="8"/>
        <v>58000 LICENSES &amp; FEES OTHER</v>
      </c>
      <c r="G133" s="191" t="s">
        <v>195</v>
      </c>
      <c r="H133" s="192">
        <v>4114.5200000000004</v>
      </c>
    </row>
    <row r="134" spans="1:8">
      <c r="A134" s="185" t="str">
        <f>IF(AND(LEN(G134)&gt;0,LEN(G133)=0,LEFT(G134,3)&lt;&gt;"TOT"),"GROUP","")</f>
        <v/>
      </c>
      <c r="B134" s="186" t="str">
        <f t="shared" ref="B134:B197" ca="1" si="14">IF(LEN(A134)=0,"",IFERROR(VLOOKUP(C134,INDIRECT(A134&amp;"_LOOKUP"),2,FALSE),"-100"))</f>
        <v/>
      </c>
      <c r="C134" s="185" t="str">
        <f t="shared" ref="C134:C197" si="15">IF(LEN(D134)&gt;0,TRIM(E134&amp;" : "&amp;D134),"")</f>
        <v/>
      </c>
      <c r="D134" s="185" t="str">
        <f t="shared" ref="D134:D197" si="16">IFERROR(IF(AND(LEN(A134)&gt;0,A134&lt;&gt;"GROUP"),UPPER(G134),""),"")</f>
        <v/>
      </c>
      <c r="E134" s="185" t="str">
        <f t="shared" ref="E134:E197" si="17">IFERROR(IF(A134="GROUP",UPPER(G134),IF(AND(LEN(A134)&gt;0,A134&lt;&gt;"GROUP"),UPPER(E133),"")),"")</f>
        <v/>
      </c>
      <c r="G134" s="191" t="s">
        <v>197</v>
      </c>
      <c r="H134" s="192">
        <v>6661.03</v>
      </c>
    </row>
    <row r="135" spans="1:8">
      <c r="A135" s="185" t="str">
        <f>IF(AND(LEN(G135)&gt;0,LEN(G134)=0,LEFT(G135,3)&lt;&gt;"TOT"),"GROUP","")</f>
        <v/>
      </c>
      <c r="B135" s="186" t="str">
        <f t="shared" ca="1" si="14"/>
        <v/>
      </c>
      <c r="C135" s="185" t="str">
        <f t="shared" si="15"/>
        <v/>
      </c>
      <c r="D135" s="185" t="str">
        <f t="shared" si="16"/>
        <v/>
      </c>
      <c r="E135" s="185" t="str">
        <f t="shared" si="17"/>
        <v/>
      </c>
      <c r="G135" s="191" t="s">
        <v>99</v>
      </c>
      <c r="H135" s="192"/>
    </row>
    <row r="136" spans="1:8">
      <c r="A136" s="185" t="str">
        <f>IF(AND(LEN(G136)&gt;0,LEN(G135)=0,LEFT(G136,3)&lt;&gt;"TOT"),"GROUP","")</f>
        <v>GROUP</v>
      </c>
      <c r="B136" s="186"/>
      <c r="C136" s="185" t="str">
        <f t="shared" si="15"/>
        <v/>
      </c>
      <c r="D136" s="185" t="str">
        <f t="shared" si="16"/>
        <v/>
      </c>
      <c r="E136" s="185" t="str">
        <f t="shared" si="17"/>
        <v>60000 MARKETING EXPENSE</v>
      </c>
      <c r="G136" s="191" t="s">
        <v>198</v>
      </c>
      <c r="H136" s="201"/>
    </row>
    <row r="137" spans="1:8">
      <c r="A137" s="185" t="s">
        <v>82</v>
      </c>
      <c r="B137" s="186">
        <f t="shared" ca="1" si="14"/>
        <v>305.3</v>
      </c>
      <c r="C137" s="185" t="str">
        <f t="shared" si="15"/>
        <v>60000 MARKETING EXPENSE : 60060 REFERRAL FEES</v>
      </c>
      <c r="D137" s="185" t="str">
        <f t="shared" si="16"/>
        <v>60060 REFERRAL FEES</v>
      </c>
      <c r="E137" s="185" t="str">
        <f t="shared" si="17"/>
        <v>60000 MARKETING EXPENSE</v>
      </c>
      <c r="G137" s="191" t="s">
        <v>199</v>
      </c>
      <c r="H137" s="192">
        <v>27600.69</v>
      </c>
    </row>
    <row r="138" spans="1:8">
      <c r="A138" s="185" t="s">
        <v>82</v>
      </c>
      <c r="B138" s="186">
        <f t="shared" ca="1" si="14"/>
        <v>305.10000000000002</v>
      </c>
      <c r="C138" s="185" t="str">
        <f t="shared" si="15"/>
        <v>60000 MARKETING EXPENSE : 60010 MARKETING SALARY</v>
      </c>
      <c r="D138" s="185" t="str">
        <f t="shared" si="16"/>
        <v>60010 MARKETING SALARY</v>
      </c>
      <c r="E138" s="185" t="str">
        <f t="shared" si="17"/>
        <v>60000 MARKETING EXPENSE</v>
      </c>
      <c r="G138" s="191" t="s">
        <v>200</v>
      </c>
      <c r="H138" s="192">
        <v>34906.68</v>
      </c>
    </row>
    <row r="139" spans="1:8">
      <c r="A139" s="185" t="s">
        <v>82</v>
      </c>
      <c r="B139" s="186">
        <f t="shared" ca="1" si="14"/>
        <v>305.3</v>
      </c>
      <c r="C139" s="185" t="str">
        <f t="shared" si="15"/>
        <v>60000 MARKETING EXPENSE : 60030 MEDIA</v>
      </c>
      <c r="D139" s="185" t="str">
        <f t="shared" si="16"/>
        <v>60030 MEDIA</v>
      </c>
      <c r="E139" s="185" t="str">
        <f t="shared" si="17"/>
        <v>60000 MARKETING EXPENSE</v>
      </c>
      <c r="G139" s="191" t="s">
        <v>201</v>
      </c>
      <c r="H139" s="192">
        <v>7838.4</v>
      </c>
    </row>
    <row r="140" spans="1:8">
      <c r="A140" s="185" t="s">
        <v>82</v>
      </c>
      <c r="B140" s="186">
        <f t="shared" ca="1" si="14"/>
        <v>305.3</v>
      </c>
      <c r="C140" s="185" t="str">
        <f t="shared" si="15"/>
        <v>60000 MARKETING EXPENSE : 60040 MARKETING SUPPLIES</v>
      </c>
      <c r="D140" s="185" t="str">
        <f t="shared" si="16"/>
        <v>60040 MARKETING SUPPLIES</v>
      </c>
      <c r="E140" s="185" t="str">
        <f t="shared" si="17"/>
        <v>60000 MARKETING EXPENSE</v>
      </c>
      <c r="G140" s="191" t="s">
        <v>202</v>
      </c>
      <c r="H140" s="192">
        <v>102.02</v>
      </c>
    </row>
    <row r="141" spans="1:8">
      <c r="A141" s="185" t="s">
        <v>82</v>
      </c>
      <c r="B141" s="186">
        <f t="shared" ca="1" si="14"/>
        <v>305.3</v>
      </c>
      <c r="C141" s="185" t="str">
        <f t="shared" si="15"/>
        <v>60000 MARKETING EXPENSE : 60050 EVENTS</v>
      </c>
      <c r="D141" s="185" t="str">
        <f t="shared" si="16"/>
        <v>60050 EVENTS</v>
      </c>
      <c r="E141" s="185" t="str">
        <f t="shared" si="17"/>
        <v>60000 MARKETING EXPENSE</v>
      </c>
      <c r="G141" s="191" t="s">
        <v>203</v>
      </c>
      <c r="H141" s="192">
        <v>425</v>
      </c>
    </row>
    <row r="142" spans="1:8">
      <c r="A142" s="185" t="s">
        <v>82</v>
      </c>
      <c r="B142" s="186">
        <f t="shared" ca="1" si="14"/>
        <v>305.3</v>
      </c>
      <c r="C142" s="185" t="str">
        <f t="shared" si="15"/>
        <v>60000 MARKETING EXPENSE : 60000 MARKETING EXPENSE OTHER</v>
      </c>
      <c r="D142" s="185" t="str">
        <f t="shared" si="16"/>
        <v>60000 MARKETING EXPENSE OTHER</v>
      </c>
      <c r="E142" s="185" t="str">
        <f t="shared" si="17"/>
        <v>60000 MARKETING EXPENSE</v>
      </c>
      <c r="G142" s="191" t="s">
        <v>204</v>
      </c>
      <c r="H142" s="192">
        <v>1478.4</v>
      </c>
    </row>
    <row r="143" spans="1:8">
      <c r="A143" s="185"/>
      <c r="B143" s="186" t="str">
        <f t="shared" ca="1" si="14"/>
        <v/>
      </c>
      <c r="C143" s="185" t="str">
        <f t="shared" si="15"/>
        <v/>
      </c>
      <c r="D143" s="185" t="str">
        <f t="shared" si="16"/>
        <v/>
      </c>
      <c r="E143" s="185" t="str">
        <f t="shared" si="17"/>
        <v/>
      </c>
      <c r="G143" s="191" t="s">
        <v>205</v>
      </c>
      <c r="H143" s="192">
        <v>72351.19</v>
      </c>
    </row>
    <row r="144" spans="1:8">
      <c r="A144" s="185"/>
      <c r="B144" s="186" t="str">
        <f t="shared" ca="1" si="14"/>
        <v/>
      </c>
      <c r="C144" s="185" t="str">
        <f t="shared" si="15"/>
        <v/>
      </c>
      <c r="D144" s="185" t="str">
        <f t="shared" si="16"/>
        <v/>
      </c>
      <c r="E144" s="185" t="str">
        <f t="shared" si="17"/>
        <v/>
      </c>
      <c r="G144" s="191" t="s">
        <v>99</v>
      </c>
      <c r="H144" s="192"/>
    </row>
    <row r="145" spans="1:8">
      <c r="A145" s="185" t="str">
        <f>IF(AND(LEN(G145)&gt;0,LEN(G144)=0,LEFT(G145,3)&lt;&gt;"TOT"),"GROUP","")</f>
        <v>GROUP</v>
      </c>
      <c r="B145" s="186"/>
      <c r="C145" s="185" t="str">
        <f t="shared" si="15"/>
        <v/>
      </c>
      <c r="D145" s="185" t="str">
        <f t="shared" si="16"/>
        <v/>
      </c>
      <c r="E145" s="185" t="str">
        <f t="shared" si="17"/>
        <v>62000 EMPLOYEE BENEFITS</v>
      </c>
      <c r="G145" s="191" t="s">
        <v>206</v>
      </c>
      <c r="H145" s="201"/>
    </row>
    <row r="146" spans="1:8">
      <c r="A146" s="185" t="s">
        <v>82</v>
      </c>
      <c r="B146" s="186">
        <f t="shared" ca="1" si="14"/>
        <v>308</v>
      </c>
      <c r="C146" s="185" t="str">
        <f t="shared" si="15"/>
        <v>62000 EMPLOYEE BENEFITS : 62100 HEALTH INSURANCE</v>
      </c>
      <c r="D146" s="185" t="str">
        <f t="shared" si="16"/>
        <v>62100 HEALTH INSURANCE</v>
      </c>
      <c r="E146" s="185" t="str">
        <f t="shared" si="17"/>
        <v>62000 EMPLOYEE BENEFITS</v>
      </c>
      <c r="G146" s="191" t="s">
        <v>207</v>
      </c>
      <c r="H146" s="192">
        <v>0</v>
      </c>
    </row>
    <row r="147" spans="1:8">
      <c r="A147" s="185" t="s">
        <v>82</v>
      </c>
      <c r="B147" s="186">
        <f t="shared" ca="1" si="14"/>
        <v>308</v>
      </c>
      <c r="C147" s="185" t="str">
        <f t="shared" si="15"/>
        <v>62000 EMPLOYEE BENEFITS : 62300 LIFE &amp; DISABILITY INSURANCE</v>
      </c>
      <c r="D147" s="185" t="str">
        <f t="shared" si="16"/>
        <v>62300 LIFE &amp; DISABILITY INSURANCE</v>
      </c>
      <c r="E147" s="185" t="str">
        <f t="shared" si="17"/>
        <v>62000 EMPLOYEE BENEFITS</v>
      </c>
      <c r="G147" s="191" t="s">
        <v>208</v>
      </c>
      <c r="H147" s="192">
        <v>4412.32</v>
      </c>
    </row>
    <row r="148" spans="1:8">
      <c r="A148" s="185" t="str">
        <f>IF(AND(LEN(G148)&gt;0,LEN(G147)=0,LEFT(G148,3)&lt;&gt;"TOT"),"GROUP","")</f>
        <v/>
      </c>
      <c r="B148" s="186" t="str">
        <f t="shared" ca="1" si="14"/>
        <v/>
      </c>
      <c r="C148" s="185" t="str">
        <f t="shared" si="15"/>
        <v/>
      </c>
      <c r="D148" s="185" t="str">
        <f t="shared" si="16"/>
        <v/>
      </c>
      <c r="E148" s="185" t="str">
        <f t="shared" si="17"/>
        <v/>
      </c>
      <c r="G148" s="191" t="s">
        <v>209</v>
      </c>
      <c r="H148" s="192">
        <v>4412.32</v>
      </c>
    </row>
    <row r="149" spans="1:8">
      <c r="A149" s="185" t="str">
        <f>IF(AND(LEN(G149)&gt;0,LEN(G148)=0,LEFT(G149,3)&lt;&gt;"TOT"),"GROUP","")</f>
        <v/>
      </c>
      <c r="B149" s="186" t="str">
        <f t="shared" ca="1" si="14"/>
        <v/>
      </c>
      <c r="C149" s="185" t="str">
        <f t="shared" si="15"/>
        <v/>
      </c>
      <c r="D149" s="185" t="str">
        <f t="shared" si="16"/>
        <v/>
      </c>
      <c r="E149" s="185" t="str">
        <f t="shared" si="17"/>
        <v/>
      </c>
      <c r="G149" s="191" t="s">
        <v>99</v>
      </c>
      <c r="H149" s="192"/>
    </row>
    <row r="150" spans="1:8">
      <c r="A150" s="185" t="str">
        <f>IF(AND(LEN(G150)&gt;0,LEN(G149)=0,LEFT(G150,3)&lt;&gt;"TOT"),"GROUP","")</f>
        <v>GROUP</v>
      </c>
      <c r="B150" s="186"/>
      <c r="C150" s="185" t="str">
        <f t="shared" si="15"/>
        <v/>
      </c>
      <c r="D150" s="185" t="str">
        <f t="shared" si="16"/>
        <v/>
      </c>
      <c r="E150" s="185" t="str">
        <f t="shared" si="17"/>
        <v>70000 OFFICE &amp; ADMINISTRATIVE</v>
      </c>
      <c r="G150" s="191" t="s">
        <v>210</v>
      </c>
      <c r="H150" s="201"/>
    </row>
    <row r="151" spans="1:8">
      <c r="A151" s="185" t="s">
        <v>82</v>
      </c>
      <c r="B151" s="186">
        <f t="shared" ca="1" si="14"/>
        <v>309</v>
      </c>
      <c r="C151" s="185" t="str">
        <f t="shared" si="15"/>
        <v>70000 OFFICE &amp; ADMINISTRATIVE : 70016 W/C ADMIN</v>
      </c>
      <c r="D151" s="185" t="str">
        <f t="shared" si="16"/>
        <v>70016 W/C ADMIN</v>
      </c>
      <c r="E151" s="185" t="str">
        <f t="shared" si="17"/>
        <v>70000 OFFICE &amp; ADMINISTRATIVE</v>
      </c>
      <c r="G151" s="191" t="s">
        <v>211</v>
      </c>
      <c r="H151" s="192">
        <v>27</v>
      </c>
    </row>
    <row r="152" spans="1:8">
      <c r="A152" s="185" t="s">
        <v>82</v>
      </c>
      <c r="B152" s="186">
        <f t="shared" ca="1" si="14"/>
        <v>308</v>
      </c>
      <c r="C152" s="185" t="str">
        <f t="shared" si="15"/>
        <v>70000 OFFICE &amp; ADMINISTRATIVE : 70014 EMP BENES ADMIN</v>
      </c>
      <c r="D152" s="185" t="str">
        <f t="shared" si="16"/>
        <v>70014 EMP BENES ADMIN</v>
      </c>
      <c r="E152" s="185" t="str">
        <f t="shared" si="17"/>
        <v>70000 OFFICE &amp; ADMINISTRATIVE</v>
      </c>
      <c r="G152" s="191" t="s">
        <v>212</v>
      </c>
      <c r="H152" s="192">
        <v>3900</v>
      </c>
    </row>
    <row r="153" spans="1:8">
      <c r="A153" s="185" t="s">
        <v>82</v>
      </c>
      <c r="B153" s="186">
        <f t="shared" ca="1" si="14"/>
        <v>307</v>
      </c>
      <c r="C153" s="185" t="str">
        <f t="shared" si="15"/>
        <v>70000 OFFICE &amp; ADMINISTRATIVE : 70012 PAYROLL TAX ADMIN</v>
      </c>
      <c r="D153" s="185" t="str">
        <f t="shared" si="16"/>
        <v>70012 PAYROLL TAX ADMIN</v>
      </c>
      <c r="E153" s="185" t="str">
        <f t="shared" si="17"/>
        <v>70000 OFFICE &amp; ADMINISTRATIVE</v>
      </c>
      <c r="G153" s="191" t="s">
        <v>213</v>
      </c>
      <c r="H153" s="192">
        <v>5994.92</v>
      </c>
    </row>
    <row r="154" spans="1:8">
      <c r="A154" s="185" t="s">
        <v>82</v>
      </c>
      <c r="B154" s="186">
        <f t="shared" ca="1" si="14"/>
        <v>306.10000000000002</v>
      </c>
      <c r="C154" s="185" t="str">
        <f t="shared" si="15"/>
        <v>70000 OFFICE &amp; ADMINISTRATIVE : 70010 OFFICE &amp; ADMIN SALARIES</v>
      </c>
      <c r="D154" s="185" t="str">
        <f t="shared" si="16"/>
        <v>70010 OFFICE &amp; ADMIN SALARIES</v>
      </c>
      <c r="E154" s="185" t="str">
        <f t="shared" si="17"/>
        <v>70000 OFFICE &amp; ADMINISTRATIVE</v>
      </c>
      <c r="G154" s="191" t="s">
        <v>214</v>
      </c>
      <c r="H154" s="192">
        <v>45470.239999999998</v>
      </c>
    </row>
    <row r="155" spans="1:8">
      <c r="A155" s="185" t="s">
        <v>82</v>
      </c>
      <c r="B155" s="186">
        <f t="shared" ca="1" si="14"/>
        <v>306.3</v>
      </c>
      <c r="C155" s="185" t="str">
        <f t="shared" si="15"/>
        <v>70000 OFFICE &amp; ADMINISTRATIVE : 70300 DUES &amp; SUBSCRIPTIONS</v>
      </c>
      <c r="D155" s="185" t="str">
        <f t="shared" si="16"/>
        <v>70300 DUES &amp; SUBSCRIPTIONS</v>
      </c>
      <c r="E155" s="185" t="str">
        <f t="shared" si="17"/>
        <v>70000 OFFICE &amp; ADMINISTRATIVE</v>
      </c>
      <c r="G155" s="191" t="s">
        <v>215</v>
      </c>
      <c r="H155" s="192">
        <v>4776</v>
      </c>
    </row>
    <row r="156" spans="1:8">
      <c r="A156" s="185" t="s">
        <v>82</v>
      </c>
      <c r="B156" s="186">
        <f t="shared" ca="1" si="14"/>
        <v>306.3</v>
      </c>
      <c r="C156" s="185" t="str">
        <f t="shared" si="15"/>
        <v>70000 OFFICE &amp; ADMINISTRATIVE : 70400 COMPUTER EXPENSES</v>
      </c>
      <c r="D156" s="185" t="str">
        <f t="shared" si="16"/>
        <v>70400 COMPUTER EXPENSES</v>
      </c>
      <c r="E156" s="185" t="str">
        <f t="shared" si="17"/>
        <v>70000 OFFICE &amp; ADMINISTRATIVE</v>
      </c>
      <c r="G156" s="191" t="s">
        <v>216</v>
      </c>
      <c r="H156" s="192">
        <v>4832.5</v>
      </c>
    </row>
    <row r="157" spans="1:8">
      <c r="A157" s="185" t="str">
        <f>IF(AND(LEN(G157)&gt;0,LEN(G156)=0,LEFT(G157,3)&lt;&gt;"TOT"),"GROUP","")</f>
        <v/>
      </c>
      <c r="B157" s="186" t="str">
        <f t="shared" ca="1" si="14"/>
        <v/>
      </c>
      <c r="C157" s="185" t="str">
        <f t="shared" si="15"/>
        <v/>
      </c>
      <c r="D157" s="185" t="str">
        <f t="shared" si="16"/>
        <v/>
      </c>
      <c r="E157" s="185" t="str">
        <f t="shared" si="17"/>
        <v/>
      </c>
      <c r="G157" s="191" t="s">
        <v>99</v>
      </c>
      <c r="H157" s="192"/>
    </row>
    <row r="158" spans="1:8">
      <c r="A158" s="185" t="str">
        <f>IF(AND(LEN(G158)&gt;0,LEN(G157)=0,LEFT(G158,3)&lt;&gt;"TOT"),"GROUP","")</f>
        <v>GROUP</v>
      </c>
      <c r="B158" s="186"/>
      <c r="C158" s="185" t="str">
        <f t="shared" si="15"/>
        <v/>
      </c>
      <c r="D158" s="185" t="str">
        <f t="shared" si="16"/>
        <v/>
      </c>
      <c r="E158" s="185" t="str">
        <f t="shared" si="17"/>
        <v>70500 PROFESSIONAL FEES</v>
      </c>
      <c r="G158" s="191" t="s">
        <v>217</v>
      </c>
      <c r="H158" s="201"/>
    </row>
    <row r="159" spans="1:8">
      <c r="A159" s="185" t="s">
        <v>82</v>
      </c>
      <c r="B159" s="186">
        <f t="shared" ca="1" si="14"/>
        <v>306.3</v>
      </c>
      <c r="C159" s="185" t="str">
        <f t="shared" si="15"/>
        <v>70500 PROFESSIONAL FEES : 70525 LEGAL FEES</v>
      </c>
      <c r="D159" s="185" t="str">
        <f t="shared" si="16"/>
        <v>70525 LEGAL FEES</v>
      </c>
      <c r="E159" s="185" t="str">
        <f t="shared" si="17"/>
        <v>70500 PROFESSIONAL FEES</v>
      </c>
      <c r="G159" s="191" t="s">
        <v>218</v>
      </c>
      <c r="H159" s="192">
        <v>2485.9</v>
      </c>
    </row>
    <row r="160" spans="1:8">
      <c r="A160" s="185" t="s">
        <v>82</v>
      </c>
      <c r="B160" s="186">
        <f t="shared" ca="1" si="14"/>
        <v>306.3</v>
      </c>
      <c r="C160" s="185" t="str">
        <f t="shared" si="15"/>
        <v>70500 PROFESSIONAL FEES : 70515 BROKERS FEE</v>
      </c>
      <c r="D160" s="185" t="str">
        <f t="shared" si="16"/>
        <v>70515 BROKERS FEE</v>
      </c>
      <c r="E160" s="185" t="str">
        <f t="shared" si="17"/>
        <v>70500 PROFESSIONAL FEES</v>
      </c>
      <c r="G160" s="191" t="s">
        <v>219</v>
      </c>
      <c r="H160" s="192">
        <v>5395.11</v>
      </c>
    </row>
    <row r="161" spans="1:8">
      <c r="A161" s="185" t="s">
        <v>82</v>
      </c>
      <c r="B161" s="186">
        <f t="shared" ca="1" si="14"/>
        <v>306.3</v>
      </c>
      <c r="C161" s="185" t="str">
        <f t="shared" si="15"/>
        <v>70500 PROFESSIONAL FEES : 70510 ACCOUNTING</v>
      </c>
      <c r="D161" s="185" t="str">
        <f t="shared" si="16"/>
        <v>70510 ACCOUNTING</v>
      </c>
      <c r="E161" s="185" t="str">
        <f t="shared" si="17"/>
        <v>70500 PROFESSIONAL FEES</v>
      </c>
      <c r="G161" s="191" t="s">
        <v>220</v>
      </c>
      <c r="H161" s="192">
        <v>6000</v>
      </c>
    </row>
    <row r="162" spans="1:8">
      <c r="A162" s="185" t="s">
        <v>82</v>
      </c>
      <c r="B162" s="186">
        <f t="shared" ca="1" si="14"/>
        <v>306.3</v>
      </c>
      <c r="C162" s="185" t="str">
        <f t="shared" si="15"/>
        <v>70500 PROFESSIONAL FEES : 70550 PAYROLL ADMINISTRATION</v>
      </c>
      <c r="D162" s="185" t="str">
        <f t="shared" si="16"/>
        <v>70550 PAYROLL ADMINISTRATION</v>
      </c>
      <c r="E162" s="185" t="str">
        <f t="shared" si="17"/>
        <v>70500 PROFESSIONAL FEES</v>
      </c>
      <c r="G162" s="191" t="s">
        <v>221</v>
      </c>
      <c r="H162" s="192">
        <v>3750.32</v>
      </c>
    </row>
    <row r="163" spans="1:8">
      <c r="A163" s="185" t="s">
        <v>82</v>
      </c>
      <c r="B163" s="186">
        <f t="shared" ca="1" si="14"/>
        <v>306.3</v>
      </c>
      <c r="C163" s="185" t="str">
        <f t="shared" si="15"/>
        <v>70500 PROFESSIONAL FEES : 70520 EE BACKGROUND CHECK</v>
      </c>
      <c r="D163" s="185" t="str">
        <f t="shared" si="16"/>
        <v>70520 EE BACKGROUND CHECK</v>
      </c>
      <c r="E163" s="185" t="str">
        <f t="shared" si="17"/>
        <v>70500 PROFESSIONAL FEES</v>
      </c>
      <c r="G163" s="191" t="s">
        <v>222</v>
      </c>
      <c r="H163" s="192">
        <v>3307.72</v>
      </c>
    </row>
    <row r="164" spans="1:8">
      <c r="A164" s="185" t="s">
        <v>82</v>
      </c>
      <c r="B164" s="186">
        <f t="shared" ca="1" si="14"/>
        <v>306.3</v>
      </c>
      <c r="C164" s="185" t="str">
        <f t="shared" si="15"/>
        <v>70500 PROFESSIONAL FEES : 70500 PROFESSIONAL FEES OTHER</v>
      </c>
      <c r="D164" s="185" t="str">
        <f t="shared" si="16"/>
        <v>70500 PROFESSIONAL FEES OTHER</v>
      </c>
      <c r="E164" s="185" t="str">
        <f t="shared" si="17"/>
        <v>70500 PROFESSIONAL FEES</v>
      </c>
      <c r="G164" s="191" t="s">
        <v>223</v>
      </c>
      <c r="H164" s="192">
        <v>0</v>
      </c>
    </row>
    <row r="165" spans="1:8">
      <c r="A165" s="185" t="str">
        <f>IF(AND(LEN(G165)&gt;0,LEN(G164)=0,LEFT(G165,3)&lt;&gt;"TOT"),"GROUP","")</f>
        <v/>
      </c>
      <c r="B165" s="186" t="str">
        <f t="shared" ca="1" si="14"/>
        <v/>
      </c>
      <c r="C165" s="185" t="str">
        <f t="shared" si="15"/>
        <v/>
      </c>
      <c r="D165" s="185" t="str">
        <f t="shared" si="16"/>
        <v/>
      </c>
      <c r="E165" s="185" t="str">
        <f t="shared" si="17"/>
        <v/>
      </c>
      <c r="G165" s="191" t="s">
        <v>224</v>
      </c>
      <c r="H165" s="192">
        <v>20939.05</v>
      </c>
    </row>
    <row r="166" spans="1:8">
      <c r="A166" s="185" t="str">
        <f>IF(AND(LEN(G166)&gt;0,LEN(G165)=0,LEFT(G166,3)&lt;&gt;"TOT"),"GROUP","")</f>
        <v/>
      </c>
      <c r="B166" s="186" t="str">
        <f t="shared" ca="1" si="14"/>
        <v/>
      </c>
      <c r="C166" s="185" t="str">
        <f t="shared" si="15"/>
        <v/>
      </c>
      <c r="D166" s="185" t="str">
        <f t="shared" si="16"/>
        <v/>
      </c>
      <c r="E166" s="185" t="str">
        <f t="shared" si="17"/>
        <v/>
      </c>
      <c r="G166" s="191" t="s">
        <v>99</v>
      </c>
      <c r="H166" s="192"/>
    </row>
    <row r="167" spans="1:8">
      <c r="A167" s="185" t="str">
        <f>IF(AND(LEN(G167)&gt;0,LEN(G166)=0,LEFT(G167,3)&lt;&gt;"TOT"),"GROUP","")</f>
        <v>GROUP</v>
      </c>
      <c r="B167" s="186"/>
      <c r="C167" s="185" t="str">
        <f t="shared" si="15"/>
        <v/>
      </c>
      <c r="D167" s="185" t="str">
        <f t="shared" si="16"/>
        <v/>
      </c>
      <c r="E167" s="185" t="str">
        <f t="shared" si="17"/>
        <v>70600 OFFICE EQUIPMENT</v>
      </c>
      <c r="G167" s="191" t="s">
        <v>225</v>
      </c>
      <c r="H167" s="201"/>
    </row>
    <row r="168" spans="1:8">
      <c r="A168" s="185" t="s">
        <v>82</v>
      </c>
      <c r="B168" s="186">
        <f t="shared" ca="1" si="14"/>
        <v>306.3</v>
      </c>
      <c r="C168" s="185" t="str">
        <f t="shared" si="15"/>
        <v>70600 OFFICE EQUIPMENT : 70620 OFFICE EQUIPMENT LEASE</v>
      </c>
      <c r="D168" s="185" t="str">
        <f t="shared" si="16"/>
        <v>70620 OFFICE EQUIPMENT LEASE</v>
      </c>
      <c r="E168" s="185" t="str">
        <f t="shared" si="17"/>
        <v>70600 OFFICE EQUIPMENT</v>
      </c>
      <c r="G168" s="191" t="s">
        <v>226</v>
      </c>
      <c r="H168" s="192">
        <v>20301.95</v>
      </c>
    </row>
    <row r="169" spans="1:8">
      <c r="A169" s="185" t="s">
        <v>82</v>
      </c>
      <c r="B169" s="186">
        <f t="shared" ca="1" si="14"/>
        <v>306.3</v>
      </c>
      <c r="C169" s="185" t="str">
        <f t="shared" si="15"/>
        <v>70600 OFFICE EQUIPMENT : 70610 OFFICE EQUIPMENT REPAIRS</v>
      </c>
      <c r="D169" s="185" t="str">
        <f t="shared" si="16"/>
        <v>70610 OFFICE EQUIPMENT REPAIRS</v>
      </c>
      <c r="E169" s="185" t="str">
        <f t="shared" si="17"/>
        <v>70600 OFFICE EQUIPMENT</v>
      </c>
      <c r="G169" s="191" t="s">
        <v>227</v>
      </c>
      <c r="H169" s="192">
        <v>5283.55</v>
      </c>
    </row>
    <row r="170" spans="1:8">
      <c r="A170" s="185" t="s">
        <v>82</v>
      </c>
      <c r="B170" s="186">
        <f t="shared" ca="1" si="14"/>
        <v>306.3</v>
      </c>
      <c r="C170" s="185" t="str">
        <f t="shared" si="15"/>
        <v>70600 OFFICE EQUIPMENT : 70600 OFFICE EQUIPMENT OTHER</v>
      </c>
      <c r="D170" s="185" t="str">
        <f t="shared" si="16"/>
        <v>70600 OFFICE EQUIPMENT OTHER</v>
      </c>
      <c r="E170" s="185" t="str">
        <f t="shared" si="17"/>
        <v>70600 OFFICE EQUIPMENT</v>
      </c>
      <c r="G170" s="191" t="s">
        <v>228</v>
      </c>
      <c r="H170" s="192">
        <v>861.93</v>
      </c>
    </row>
    <row r="171" spans="1:8">
      <c r="A171" s="185" t="s">
        <v>82</v>
      </c>
      <c r="B171" s="186">
        <f t="shared" ca="1" si="14"/>
        <v>306.3</v>
      </c>
      <c r="C171" s="185" t="str">
        <f t="shared" si="15"/>
        <v>70600 OFFICE EQUIPMENT : 70710 POSTAGE &amp; SHIPPING</v>
      </c>
      <c r="D171" s="185" t="str">
        <f t="shared" si="16"/>
        <v>70710 POSTAGE &amp; SHIPPING</v>
      </c>
      <c r="E171" s="185" t="str">
        <f t="shared" si="17"/>
        <v>70600 OFFICE EQUIPMENT</v>
      </c>
      <c r="G171" s="191" t="s">
        <v>229</v>
      </c>
      <c r="H171" s="192">
        <v>3550.36</v>
      </c>
    </row>
    <row r="172" spans="1:8">
      <c r="A172" s="185" t="s">
        <v>82</v>
      </c>
      <c r="B172" s="186">
        <f t="shared" ca="1" si="14"/>
        <v>306.3</v>
      </c>
      <c r="C172" s="185" t="str">
        <f t="shared" si="15"/>
        <v>70600 OFFICE EQUIPMENT : 70800 MEALS &amp; ENTERTAINMENT</v>
      </c>
      <c r="D172" s="185" t="str">
        <f t="shared" si="16"/>
        <v>70800 MEALS &amp; ENTERTAINMENT</v>
      </c>
      <c r="E172" s="185" t="str">
        <f t="shared" si="17"/>
        <v>70600 OFFICE EQUIPMENT</v>
      </c>
      <c r="G172" s="191" t="s">
        <v>230</v>
      </c>
      <c r="H172" s="192">
        <v>12</v>
      </c>
    </row>
    <row r="173" spans="1:8">
      <c r="A173" s="185" t="s">
        <v>82</v>
      </c>
      <c r="B173" s="186">
        <f t="shared" ca="1" si="14"/>
        <v>306.3</v>
      </c>
      <c r="C173" s="185" t="str">
        <f t="shared" si="15"/>
        <v>70600 OFFICE EQUIPMENT : 70700 OFFICE SUPPLIES</v>
      </c>
      <c r="D173" s="185" t="str">
        <f t="shared" si="16"/>
        <v>70700 OFFICE SUPPLIES</v>
      </c>
      <c r="E173" s="185" t="str">
        <f t="shared" si="17"/>
        <v>70600 OFFICE EQUIPMENT</v>
      </c>
      <c r="G173" s="191" t="s">
        <v>231</v>
      </c>
      <c r="H173" s="192">
        <v>2402.0300000000002</v>
      </c>
    </row>
    <row r="174" spans="1:8">
      <c r="A174" s="185" t="s">
        <v>82</v>
      </c>
      <c r="B174" s="186">
        <f t="shared" ca="1" si="14"/>
        <v>306.3</v>
      </c>
      <c r="C174" s="185" t="str">
        <f t="shared" si="15"/>
        <v>70600 OFFICE EQUIPMENT : 70900 TRAINING &amp; TRAVEL</v>
      </c>
      <c r="D174" s="185" t="str">
        <f t="shared" si="16"/>
        <v>70900 TRAINING &amp; TRAVEL</v>
      </c>
      <c r="E174" s="185" t="str">
        <f t="shared" si="17"/>
        <v>70600 OFFICE EQUIPMENT</v>
      </c>
      <c r="G174" s="191" t="s">
        <v>232</v>
      </c>
      <c r="H174" s="192">
        <v>525</v>
      </c>
    </row>
    <row r="175" spans="1:8">
      <c r="A175" s="185" t="s">
        <v>82</v>
      </c>
      <c r="B175" s="186">
        <f t="shared" ca="1" si="14"/>
        <v>991</v>
      </c>
      <c r="C175" s="185" t="str">
        <f t="shared" si="15"/>
        <v>70600 OFFICE EQUIPMENT : 71000 QREC MANAGEMENT FEE</v>
      </c>
      <c r="D175" s="185" t="str">
        <f t="shared" si="16"/>
        <v>71000 QREC MANAGEMENT FEE</v>
      </c>
      <c r="E175" s="185" t="str">
        <f t="shared" si="17"/>
        <v>70600 OFFICE EQUIPMENT</v>
      </c>
      <c r="G175" s="191" t="s">
        <v>234</v>
      </c>
      <c r="H175" s="192">
        <v>128341</v>
      </c>
    </row>
    <row r="176" spans="1:8">
      <c r="A176" s="185" t="s">
        <v>82</v>
      </c>
      <c r="B176" s="186">
        <f t="shared" ca="1" si="14"/>
        <v>306.3</v>
      </c>
      <c r="C176" s="185" t="str">
        <f t="shared" si="15"/>
        <v>70600 OFFICE EQUIPMENT : 72000 CELLULAR PHONE</v>
      </c>
      <c r="D176" s="185" t="str">
        <f t="shared" si="16"/>
        <v>72000 CELLULAR PHONE</v>
      </c>
      <c r="E176" s="185" t="str">
        <f t="shared" si="17"/>
        <v>70600 OFFICE EQUIPMENT</v>
      </c>
      <c r="G176" s="191" t="s">
        <v>235</v>
      </c>
      <c r="H176" s="192">
        <v>4339.91</v>
      </c>
    </row>
    <row r="177" spans="1:8">
      <c r="A177" s="185" t="s">
        <v>82</v>
      </c>
      <c r="B177" s="186">
        <f t="shared" ca="1" si="14"/>
        <v>990</v>
      </c>
      <c r="C177" s="185" t="str">
        <f t="shared" si="15"/>
        <v>70600 OFFICE EQUIPMENT : 78000 BANK FEES</v>
      </c>
      <c r="D177" s="185" t="str">
        <f t="shared" si="16"/>
        <v>78000 BANK FEES</v>
      </c>
      <c r="E177" s="185" t="str">
        <f t="shared" si="17"/>
        <v>70600 OFFICE EQUIPMENT</v>
      </c>
      <c r="G177" s="191" t="s">
        <v>245</v>
      </c>
      <c r="H177" s="192">
        <v>586.38</v>
      </c>
    </row>
    <row r="178" spans="1:8">
      <c r="A178" s="185" t="s">
        <v>82</v>
      </c>
      <c r="B178" s="186">
        <f t="shared" ca="1" si="14"/>
        <v>306.3</v>
      </c>
      <c r="C178" s="185" t="str">
        <f t="shared" si="15"/>
        <v>70600 OFFICE EQUIPMENT : 79000 MISCELLANEOUS</v>
      </c>
      <c r="D178" s="185" t="str">
        <f t="shared" si="16"/>
        <v>79000 MISCELLANEOUS</v>
      </c>
      <c r="E178" s="185" t="str">
        <f t="shared" si="17"/>
        <v>70600 OFFICE EQUIPMENT</v>
      </c>
      <c r="G178" s="191" t="s">
        <v>246</v>
      </c>
      <c r="H178" s="192">
        <v>6200.55</v>
      </c>
    </row>
    <row r="179" spans="1:8">
      <c r="A179" s="185" t="str">
        <f>IF(AND(LEN(G179)&gt;0,LEN(G176)=0,LEFT(G179,3)&lt;&gt;"TOT"),"GROUP","")</f>
        <v/>
      </c>
      <c r="B179" s="186" t="str">
        <f t="shared" ca="1" si="14"/>
        <v/>
      </c>
      <c r="C179" s="185" t="str">
        <f t="shared" si="15"/>
        <v/>
      </c>
      <c r="D179" s="185" t="str">
        <f t="shared" si="16"/>
        <v/>
      </c>
      <c r="E179" s="185" t="str">
        <f t="shared" si="17"/>
        <v/>
      </c>
      <c r="G179" s="191" t="s">
        <v>99</v>
      </c>
      <c r="H179" s="201"/>
    </row>
    <row r="180" spans="1:8">
      <c r="A180" s="185" t="str">
        <f>IF(AND(LEN(G180)&gt;0,LEN(G179)=0,LEFT(G180,3)&lt;&gt;"TOT"),"GROUP","")</f>
        <v>GROUP</v>
      </c>
      <c r="B180" s="186"/>
      <c r="C180" s="185" t="str">
        <f t="shared" si="15"/>
        <v/>
      </c>
      <c r="D180" s="185" t="str">
        <f t="shared" si="16"/>
        <v/>
      </c>
      <c r="E180" s="185" t="str">
        <f t="shared" si="17"/>
        <v>73000 VEHICLE EXPENSES</v>
      </c>
      <c r="G180" s="191" t="s">
        <v>236</v>
      </c>
      <c r="H180" s="201"/>
    </row>
    <row r="181" spans="1:8">
      <c r="A181" s="185" t="s">
        <v>82</v>
      </c>
      <c r="B181" s="186">
        <f t="shared" ca="1" si="14"/>
        <v>312.3</v>
      </c>
      <c r="C181" s="185" t="str">
        <f t="shared" si="15"/>
        <v>73000 VEHICLE EXPENSES : 73790 MILEAGE REIMBURSEMENT</v>
      </c>
      <c r="D181" s="185" t="str">
        <f t="shared" si="16"/>
        <v>73790 MILEAGE REIMBURSEMENT</v>
      </c>
      <c r="E181" s="185" t="str">
        <f t="shared" si="17"/>
        <v>73000 VEHICLE EXPENSES</v>
      </c>
      <c r="G181" s="191" t="s">
        <v>237</v>
      </c>
      <c r="H181" s="192">
        <v>2833.74</v>
      </c>
    </row>
    <row r="182" spans="1:8">
      <c r="A182" s="185" t="s">
        <v>82</v>
      </c>
      <c r="B182" s="186">
        <f t="shared" ca="1" si="14"/>
        <v>312.3</v>
      </c>
      <c r="C182" s="185" t="str">
        <f t="shared" si="15"/>
        <v>73000 VEHICLE EXPENSES : 73200 PARKING &amp; TOLLS</v>
      </c>
      <c r="D182" s="185" t="str">
        <f t="shared" si="16"/>
        <v>73200 PARKING &amp; TOLLS</v>
      </c>
      <c r="E182" s="185" t="str">
        <f t="shared" si="17"/>
        <v>73000 VEHICLE EXPENSES</v>
      </c>
      <c r="G182" s="191" t="s">
        <v>238</v>
      </c>
      <c r="H182" s="192">
        <v>18</v>
      </c>
    </row>
    <row r="183" spans="1:8">
      <c r="A183" s="185" t="s">
        <v>82</v>
      </c>
      <c r="B183" s="186">
        <f t="shared" ca="1" si="14"/>
        <v>312.3</v>
      </c>
      <c r="C183" s="185" t="str">
        <f t="shared" si="15"/>
        <v>73000 VEHICLE EXPENSES : 73100 GAS</v>
      </c>
      <c r="D183" s="185" t="str">
        <f t="shared" si="16"/>
        <v>73100 GAS</v>
      </c>
      <c r="E183" s="185" t="str">
        <f t="shared" si="17"/>
        <v>73000 VEHICLE EXPENSES</v>
      </c>
      <c r="G183" s="191" t="s">
        <v>239</v>
      </c>
      <c r="H183" s="192">
        <v>969.86</v>
      </c>
    </row>
    <row r="184" spans="1:8">
      <c r="A184" s="185" t="s">
        <v>82</v>
      </c>
      <c r="B184" s="186">
        <f t="shared" ca="1" si="14"/>
        <v>312.3</v>
      </c>
      <c r="C184" s="185" t="str">
        <f t="shared" si="15"/>
        <v>73000 VEHICLE EXPENSES : 73400 INSURANCE</v>
      </c>
      <c r="D184" s="185" t="str">
        <f t="shared" si="16"/>
        <v>73400 INSURANCE</v>
      </c>
      <c r="E184" s="185" t="str">
        <f t="shared" si="17"/>
        <v>73000 VEHICLE EXPENSES</v>
      </c>
      <c r="G184" s="191" t="s">
        <v>240</v>
      </c>
      <c r="H184" s="192">
        <v>2903.5</v>
      </c>
    </row>
    <row r="185" spans="1:8">
      <c r="A185" s="185" t="s">
        <v>82</v>
      </c>
      <c r="B185" s="186">
        <f t="shared" ca="1" si="14"/>
        <v>312.3</v>
      </c>
      <c r="C185" s="185" t="str">
        <f t="shared" si="15"/>
        <v>73000 VEHICLE EXPENSES : 73600 REGISTRATION &amp; FEES</v>
      </c>
      <c r="D185" s="185" t="str">
        <f t="shared" si="16"/>
        <v>73600 REGISTRATION &amp; FEES</v>
      </c>
      <c r="E185" s="185" t="str">
        <f t="shared" si="17"/>
        <v>73000 VEHICLE EXPENSES</v>
      </c>
      <c r="G185" s="191" t="s">
        <v>241</v>
      </c>
      <c r="H185" s="192">
        <v>187</v>
      </c>
    </row>
    <row r="186" spans="1:8">
      <c r="A186" s="185" t="s">
        <v>82</v>
      </c>
      <c r="B186" s="186">
        <f t="shared" ca="1" si="14"/>
        <v>312.3</v>
      </c>
      <c r="C186" s="185" t="str">
        <f t="shared" si="15"/>
        <v>73000 VEHICLE EXPENSES : 73800 REPAIRS &amp; MAINTENANCE</v>
      </c>
      <c r="D186" s="185" t="str">
        <f t="shared" si="16"/>
        <v>73800 REPAIRS &amp; MAINTENANCE</v>
      </c>
      <c r="E186" s="185" t="str">
        <f t="shared" si="17"/>
        <v>73000 VEHICLE EXPENSES</v>
      </c>
      <c r="G186" s="191" t="s">
        <v>242</v>
      </c>
      <c r="H186" s="192">
        <v>2486.7399999999998</v>
      </c>
    </row>
    <row r="187" spans="1:8">
      <c r="A187" s="185" t="s">
        <v>82</v>
      </c>
      <c r="B187" s="186">
        <f t="shared" ca="1" si="14"/>
        <v>312.3</v>
      </c>
      <c r="C187" s="185" t="str">
        <f t="shared" si="15"/>
        <v>73000 VEHICLE EXPENSES : 73000 VEHICLE EXPENSES OTHER</v>
      </c>
      <c r="D187" s="185" t="str">
        <f t="shared" si="16"/>
        <v>73000 VEHICLE EXPENSES OTHER</v>
      </c>
      <c r="E187" s="185" t="str">
        <f t="shared" si="17"/>
        <v>73000 VEHICLE EXPENSES</v>
      </c>
      <c r="G187" s="191" t="s">
        <v>243</v>
      </c>
      <c r="H187" s="192">
        <v>12</v>
      </c>
    </row>
    <row r="188" spans="1:8">
      <c r="A188" s="185"/>
      <c r="B188" s="186" t="str">
        <f t="shared" ca="1" si="14"/>
        <v/>
      </c>
      <c r="C188" s="185" t="str">
        <f t="shared" si="15"/>
        <v/>
      </c>
      <c r="D188" s="185" t="str">
        <f t="shared" si="16"/>
        <v/>
      </c>
      <c r="E188" s="185" t="str">
        <f t="shared" si="17"/>
        <v/>
      </c>
      <c r="G188" s="191" t="s">
        <v>244</v>
      </c>
      <c r="H188" s="192">
        <v>9410.84</v>
      </c>
    </row>
    <row r="189" spans="1:8">
      <c r="A189" s="185" t="str">
        <f>IF(AND(LEN(G189)&gt;0,LEN(G188)=0,LEFT(G189,3)&lt;&gt;"TOT"),"GROUP","")</f>
        <v/>
      </c>
      <c r="B189" s="186" t="str">
        <f t="shared" ca="1" si="14"/>
        <v/>
      </c>
      <c r="C189" s="185" t="str">
        <f t="shared" si="15"/>
        <v/>
      </c>
      <c r="D189" s="185" t="str">
        <f t="shared" si="16"/>
        <v/>
      </c>
      <c r="E189" s="185" t="str">
        <f t="shared" si="17"/>
        <v/>
      </c>
      <c r="G189" s="205" t="s">
        <v>99</v>
      </c>
      <c r="H189" s="201"/>
    </row>
    <row r="190" spans="1:8">
      <c r="A190" s="185" t="str">
        <f>IF(AND(LEN(G190)&gt;0,LEN(G189)=0,LEFT(G190,3)&lt;&gt;"TOT"),"GROUP","")</f>
        <v>GROUP</v>
      </c>
      <c r="B190" s="186"/>
      <c r="C190" s="185" t="str">
        <f t="shared" si="15"/>
        <v/>
      </c>
      <c r="D190" s="185" t="str">
        <f t="shared" si="16"/>
        <v/>
      </c>
      <c r="E190" s="185" t="str">
        <f t="shared" si="17"/>
        <v>82000 INTEREST EXPENSE</v>
      </c>
      <c r="G190" s="191" t="s">
        <v>247</v>
      </c>
      <c r="H190" s="206"/>
    </row>
    <row r="191" spans="1:8">
      <c r="A191" s="185" t="s">
        <v>82</v>
      </c>
      <c r="B191" s="186">
        <f t="shared" ca="1" si="14"/>
        <v>990</v>
      </c>
      <c r="C191" s="185" t="str">
        <f t="shared" si="15"/>
        <v>82000 INTEREST EXPENSE : 82100 CREDIT CARD FINANCE CHARGES</v>
      </c>
      <c r="D191" s="185" t="str">
        <f t="shared" si="16"/>
        <v>82100 CREDIT CARD FINANCE CHARGES</v>
      </c>
      <c r="E191" s="185" t="str">
        <f t="shared" si="17"/>
        <v>82000 INTEREST EXPENSE</v>
      </c>
      <c r="G191" s="191" t="s">
        <v>248</v>
      </c>
      <c r="H191" s="192">
        <v>2849.24</v>
      </c>
    </row>
    <row r="192" spans="1:8">
      <c r="A192" s="185" t="s">
        <v>82</v>
      </c>
      <c r="B192" s="186">
        <f t="shared" ca="1" si="14"/>
        <v>990</v>
      </c>
      <c r="C192" s="185" t="str">
        <f t="shared" si="15"/>
        <v>82000 INTEREST EXPENSE : 82200 INTEREST NBRS WORKING CAPITAL</v>
      </c>
      <c r="D192" s="185" t="str">
        <f t="shared" si="16"/>
        <v>82200 INTEREST NBRS WORKING CAPITAL</v>
      </c>
      <c r="E192" s="185" t="str">
        <f t="shared" si="17"/>
        <v>82000 INTEREST EXPENSE</v>
      </c>
      <c r="G192" s="191" t="s">
        <v>249</v>
      </c>
      <c r="H192" s="192">
        <v>76.5</v>
      </c>
    </row>
    <row r="193" spans="1:8">
      <c r="A193" s="185" t="s">
        <v>82</v>
      </c>
      <c r="B193" s="186">
        <f t="shared" ca="1" si="14"/>
        <v>990</v>
      </c>
      <c r="C193" s="185" t="str">
        <f t="shared" si="15"/>
        <v>82000 INTEREST EXPENSE : 82400 INTEREST FFCU</v>
      </c>
      <c r="D193" s="185" t="str">
        <f t="shared" si="16"/>
        <v>82400 INTEREST FFCU</v>
      </c>
      <c r="E193" s="185" t="str">
        <f t="shared" si="17"/>
        <v>82000 INTEREST EXPENSE</v>
      </c>
      <c r="G193" s="191" t="s">
        <v>250</v>
      </c>
      <c r="H193" s="192">
        <v>-95.29</v>
      </c>
    </row>
    <row r="194" spans="1:8">
      <c r="A194" s="185"/>
      <c r="B194" s="186" t="str">
        <f t="shared" ca="1" si="14"/>
        <v/>
      </c>
      <c r="C194" s="185" t="str">
        <f t="shared" si="15"/>
        <v/>
      </c>
      <c r="D194" s="185" t="str">
        <f t="shared" si="16"/>
        <v/>
      </c>
      <c r="E194" s="185" t="str">
        <f t="shared" si="17"/>
        <v/>
      </c>
      <c r="G194" s="191" t="s">
        <v>251</v>
      </c>
      <c r="H194" s="192">
        <v>2830.45</v>
      </c>
    </row>
    <row r="195" spans="1:8">
      <c r="A195" s="185"/>
      <c r="B195" s="186" t="str">
        <f t="shared" ca="1" si="14"/>
        <v/>
      </c>
      <c r="C195" s="185" t="str">
        <f t="shared" si="15"/>
        <v/>
      </c>
      <c r="D195" s="185" t="str">
        <f t="shared" si="16"/>
        <v/>
      </c>
      <c r="E195" s="185" t="str">
        <f t="shared" si="17"/>
        <v/>
      </c>
      <c r="G195" s="191" t="s">
        <v>99</v>
      </c>
      <c r="H195" s="192"/>
    </row>
    <row r="196" spans="1:8">
      <c r="A196" s="193" t="s">
        <v>82</v>
      </c>
      <c r="B196" s="194">
        <v>333</v>
      </c>
      <c r="C196" s="193" t="str">
        <f>UPPER(G196)</f>
        <v>TOTAL EXPENSE</v>
      </c>
      <c r="D196" s="193" t="str">
        <f t="shared" si="16"/>
        <v>TOTAL EXPENSE</v>
      </c>
      <c r="E196" s="193" t="str">
        <f t="shared" si="17"/>
        <v/>
      </c>
      <c r="G196" s="191" t="s">
        <v>75</v>
      </c>
      <c r="H196" s="192">
        <v>2879718.9</v>
      </c>
    </row>
    <row r="197" spans="1:8">
      <c r="A197" s="185" t="str">
        <f t="shared" ref="A197:A203" si="18">IF(AND(LEN(G197)&gt;0,LEN(G196)=0,LEFT(G197,3)&lt;&gt;"TOT"),"GROUP","")</f>
        <v/>
      </c>
      <c r="B197" s="186" t="str">
        <f t="shared" ca="1" si="14"/>
        <v/>
      </c>
      <c r="C197" s="185" t="str">
        <f t="shared" si="15"/>
        <v/>
      </c>
      <c r="D197" s="185" t="str">
        <f t="shared" si="16"/>
        <v/>
      </c>
      <c r="E197" s="185" t="str">
        <f t="shared" si="17"/>
        <v/>
      </c>
      <c r="G197" s="191" t="s">
        <v>76</v>
      </c>
      <c r="H197" s="192">
        <v>-312901.99</v>
      </c>
    </row>
    <row r="198" spans="1:8">
      <c r="A198" s="185" t="str">
        <f t="shared" si="18"/>
        <v/>
      </c>
      <c r="B198" s="186" t="str">
        <f t="shared" ref="B198:B261" ca="1" si="19">IF(LEN(A198)=0,"",IFERROR(VLOOKUP(C198,INDIRECT(A198&amp;"_LOOKUP"),2,FALSE),"-100"))</f>
        <v/>
      </c>
      <c r="C198" s="185" t="str">
        <f t="shared" ref="C198:C261" si="20">IF(LEN(D198)&gt;0,TRIM(E198&amp;" : "&amp;D198),"")</f>
        <v/>
      </c>
      <c r="D198" s="185" t="str">
        <f t="shared" ref="D198:D261" si="21">IFERROR(IF(AND(LEN(A198)&gt;0,A198&lt;&gt;"GROUP"),UPPER(G198),""),"")</f>
        <v/>
      </c>
      <c r="E198" s="185" t="str">
        <f t="shared" ref="E198:E261" si="22">IFERROR(IF(A198="GROUP",UPPER(G198),IF(AND(LEN(A198)&gt;0,A198&lt;&gt;"GROUP"),UPPER(E197),"")),"")</f>
        <v/>
      </c>
      <c r="G198" s="191" t="s">
        <v>99</v>
      </c>
      <c r="H198" s="192"/>
    </row>
    <row r="199" spans="1:8">
      <c r="A199" s="185" t="str">
        <f t="shared" si="18"/>
        <v/>
      </c>
      <c r="B199" s="186" t="str">
        <f t="shared" ca="1" si="19"/>
        <v/>
      </c>
      <c r="C199" s="185" t="str">
        <f t="shared" si="20"/>
        <v/>
      </c>
      <c r="D199" s="185" t="str">
        <f t="shared" si="21"/>
        <v/>
      </c>
      <c r="E199" s="185" t="str">
        <f t="shared" si="22"/>
        <v/>
      </c>
      <c r="G199" s="191"/>
      <c r="H199" s="201"/>
    </row>
    <row r="200" spans="1:8">
      <c r="A200" s="185" t="str">
        <f t="shared" si="18"/>
        <v>GROUP</v>
      </c>
      <c r="B200" s="186"/>
      <c r="C200" s="185" t="str">
        <f t="shared" si="20"/>
        <v/>
      </c>
      <c r="D200" s="185" t="str">
        <f t="shared" si="21"/>
        <v/>
      </c>
      <c r="E200" s="185" t="str">
        <f t="shared" si="22"/>
        <v>OTHER EXPENSE</v>
      </c>
      <c r="G200" s="191" t="s">
        <v>77</v>
      </c>
      <c r="H200" s="201"/>
    </row>
    <row r="201" spans="1:8">
      <c r="A201" s="185" t="s">
        <v>82</v>
      </c>
      <c r="B201" s="186">
        <f t="shared" ca="1" si="19"/>
        <v>990</v>
      </c>
      <c r="C201" s="185" t="str">
        <f t="shared" si="20"/>
        <v>OTHER EXPENSE : 85000 DEPRECIATION &amp; AMORTIZATION</v>
      </c>
      <c r="D201" s="185" t="str">
        <f t="shared" si="21"/>
        <v>85000 DEPRECIATION &amp; AMORTIZATION</v>
      </c>
      <c r="E201" s="185" t="str">
        <f t="shared" si="22"/>
        <v>OTHER EXPENSE</v>
      </c>
      <c r="G201" s="191" t="s">
        <v>253</v>
      </c>
      <c r="H201" s="192">
        <v>3052</v>
      </c>
    </row>
    <row r="202" spans="1:8">
      <c r="A202" s="185" t="str">
        <f t="shared" si="18"/>
        <v/>
      </c>
      <c r="B202" s="186" t="str">
        <f t="shared" ca="1" si="19"/>
        <v/>
      </c>
      <c r="C202" s="185" t="str">
        <f t="shared" si="20"/>
        <v/>
      </c>
      <c r="D202" s="185" t="str">
        <f t="shared" si="21"/>
        <v/>
      </c>
      <c r="E202" s="185" t="str">
        <f t="shared" si="22"/>
        <v/>
      </c>
      <c r="G202" s="191" t="s">
        <v>78</v>
      </c>
      <c r="H202" s="192">
        <v>3052</v>
      </c>
    </row>
    <row r="203" spans="1:8">
      <c r="A203" s="185" t="str">
        <f t="shared" si="18"/>
        <v/>
      </c>
      <c r="B203" s="186" t="str">
        <f t="shared" ca="1" si="19"/>
        <v/>
      </c>
      <c r="C203" s="185" t="str">
        <f t="shared" si="20"/>
        <v/>
      </c>
      <c r="D203" s="185" t="str">
        <f t="shared" si="21"/>
        <v/>
      </c>
      <c r="E203" s="185" t="str">
        <f t="shared" si="22"/>
        <v/>
      </c>
      <c r="G203" s="191" t="s">
        <v>99</v>
      </c>
      <c r="H203" s="192"/>
    </row>
    <row r="204" spans="1:8">
      <c r="A204" s="185"/>
      <c r="B204" s="186" t="str">
        <f t="shared" ca="1" si="19"/>
        <v/>
      </c>
      <c r="C204" s="185" t="str">
        <f t="shared" si="20"/>
        <v/>
      </c>
      <c r="D204" s="185" t="str">
        <f t="shared" si="21"/>
        <v/>
      </c>
      <c r="E204" s="185" t="str">
        <f t="shared" si="22"/>
        <v/>
      </c>
      <c r="G204" s="191" t="s">
        <v>79</v>
      </c>
      <c r="H204" s="192">
        <v>-3052</v>
      </c>
    </row>
    <row r="205" spans="1:8">
      <c r="A205" s="193" t="s">
        <v>82</v>
      </c>
      <c r="B205" s="194">
        <v>444</v>
      </c>
      <c r="C205" s="193" t="str">
        <f>UPPER(G205)</f>
        <v>NET INCOME</v>
      </c>
      <c r="D205" s="193" t="str">
        <f t="shared" si="21"/>
        <v>NET INCOME</v>
      </c>
      <c r="E205" s="193" t="str">
        <f t="shared" si="22"/>
        <v/>
      </c>
      <c r="G205" s="191" t="s">
        <v>80</v>
      </c>
      <c r="H205" s="192">
        <v>-315953.99</v>
      </c>
    </row>
    <row r="206" spans="1:8">
      <c r="B206" s="186" t="str">
        <f t="shared" ca="1" si="19"/>
        <v/>
      </c>
      <c r="C206" s="185" t="str">
        <f t="shared" si="20"/>
        <v/>
      </c>
      <c r="D206" s="185" t="str">
        <f t="shared" si="21"/>
        <v/>
      </c>
      <c r="E206" s="185" t="str">
        <f t="shared" si="22"/>
        <v/>
      </c>
    </row>
    <row r="207" spans="1:8">
      <c r="A207" s="208"/>
      <c r="B207" s="196" t="str">
        <f t="shared" ca="1" si="19"/>
        <v/>
      </c>
      <c r="C207" s="197" t="str">
        <f t="shared" si="20"/>
        <v/>
      </c>
      <c r="D207" s="185" t="str">
        <f t="shared" si="21"/>
        <v/>
      </c>
      <c r="E207" s="185" t="str">
        <f t="shared" si="22"/>
        <v/>
      </c>
      <c r="F207" s="209"/>
      <c r="G207" s="209"/>
      <c r="H207" s="210"/>
    </row>
    <row r="208" spans="1:8">
      <c r="B208" s="186" t="str">
        <f t="shared" ca="1" si="19"/>
        <v/>
      </c>
      <c r="C208" s="185" t="str">
        <f t="shared" si="20"/>
        <v/>
      </c>
      <c r="D208" s="185" t="str">
        <f t="shared" si="21"/>
        <v/>
      </c>
      <c r="E208" s="185" t="str">
        <f t="shared" si="22"/>
        <v/>
      </c>
    </row>
    <row r="209" spans="1:9">
      <c r="A209" s="185" t="str">
        <f>IF(AND(LEN(G209)&gt;0,LEN(G208)=0,LEFT(G209,3)&lt;&gt;"TOT"),"GROUP","")</f>
        <v>GROUP</v>
      </c>
      <c r="B209" s="186"/>
      <c r="C209" s="185" t="str">
        <f t="shared" si="20"/>
        <v/>
      </c>
      <c r="D209" s="185" t="str">
        <f t="shared" si="21"/>
        <v/>
      </c>
      <c r="E209" s="185" t="str">
        <f t="shared" si="22"/>
        <v>INCOME</v>
      </c>
      <c r="G209" s="191" t="s">
        <v>73</v>
      </c>
      <c r="H209" s="192"/>
      <c r="I209" s="191"/>
    </row>
    <row r="210" spans="1:9">
      <c r="A210" s="185" t="s">
        <v>312</v>
      </c>
      <c r="B210" s="186">
        <f t="shared" ca="1" si="19"/>
        <v>201</v>
      </c>
      <c r="C210" s="185" t="str">
        <f t="shared" si="20"/>
        <v>INCOME : 40100 ROOM &amp; BOARD</v>
      </c>
      <c r="D210" s="185" t="str">
        <f t="shared" si="21"/>
        <v>40100 ROOM &amp; BOARD</v>
      </c>
      <c r="E210" s="185" t="str">
        <f t="shared" si="22"/>
        <v>INCOME</v>
      </c>
      <c r="G210" s="191" t="s">
        <v>92</v>
      </c>
      <c r="H210" s="192"/>
      <c r="I210" s="191"/>
    </row>
    <row r="211" spans="1:9">
      <c r="A211" s="185" t="s">
        <v>312</v>
      </c>
      <c r="B211" s="186">
        <f t="shared" ca="1" si="19"/>
        <v>201</v>
      </c>
      <c r="C211" s="185" t="str">
        <f t="shared" si="20"/>
        <v>INCOME : 40101 BUILDING 9900</v>
      </c>
      <c r="D211" s="185" t="str">
        <f t="shared" si="21"/>
        <v>40101 BUILDING 9900</v>
      </c>
      <c r="E211" s="185" t="str">
        <f t="shared" si="22"/>
        <v>INCOME</v>
      </c>
      <c r="G211" s="191" t="s">
        <v>93</v>
      </c>
      <c r="H211" s="192"/>
      <c r="I211" s="192">
        <v>740185.79</v>
      </c>
    </row>
    <row r="212" spans="1:9">
      <c r="A212" s="185" t="s">
        <v>312</v>
      </c>
      <c r="B212" s="186">
        <f t="shared" ca="1" si="19"/>
        <v>201</v>
      </c>
      <c r="C212" s="185" t="str">
        <f t="shared" si="20"/>
        <v>INCOME : 40102 BUILDING 9902</v>
      </c>
      <c r="D212" s="185" t="str">
        <f t="shared" si="21"/>
        <v>40102 BUILDING 9902</v>
      </c>
      <c r="E212" s="185" t="str">
        <f t="shared" si="22"/>
        <v>INCOME</v>
      </c>
      <c r="G212" s="191" t="s">
        <v>94</v>
      </c>
      <c r="H212" s="192"/>
      <c r="I212" s="192">
        <v>733612.43</v>
      </c>
    </row>
    <row r="213" spans="1:9">
      <c r="A213" s="185" t="s">
        <v>312</v>
      </c>
      <c r="B213" s="186">
        <f t="shared" ca="1" si="19"/>
        <v>201</v>
      </c>
      <c r="C213" s="185" t="str">
        <f t="shared" si="20"/>
        <v>INCOME : 40104 BUILDING 9904</v>
      </c>
      <c r="D213" s="185" t="str">
        <f t="shared" si="21"/>
        <v>40104 BUILDING 9904</v>
      </c>
      <c r="E213" s="185" t="str">
        <f t="shared" si="22"/>
        <v>INCOME</v>
      </c>
      <c r="G213" s="191" t="s">
        <v>95</v>
      </c>
      <c r="H213" s="201"/>
      <c r="I213" s="192">
        <v>641214.06999999995</v>
      </c>
    </row>
    <row r="214" spans="1:9">
      <c r="A214" s="185" t="s">
        <v>312</v>
      </c>
      <c r="B214" s="186">
        <f t="shared" ca="1" si="19"/>
        <v>202</v>
      </c>
      <c r="C214" s="185" t="str">
        <f t="shared" si="20"/>
        <v>INCOME : 40106 BUILDING 9906</v>
      </c>
      <c r="D214" s="185" t="str">
        <f t="shared" si="21"/>
        <v>40106 BUILDING 9906</v>
      </c>
      <c r="E214" s="185" t="str">
        <f t="shared" si="22"/>
        <v>INCOME</v>
      </c>
      <c r="G214" s="191" t="s">
        <v>256</v>
      </c>
      <c r="H214" s="201"/>
      <c r="I214" s="192">
        <v>401955.11</v>
      </c>
    </row>
    <row r="215" spans="1:9">
      <c r="A215" s="185" t="s">
        <v>312</v>
      </c>
      <c r="B215" s="186">
        <f t="shared" ca="1" si="19"/>
        <v>205</v>
      </c>
      <c r="C215" s="185" t="str">
        <f t="shared" si="20"/>
        <v>INCOME : 40100 ROOM &amp; BOARD OTHER</v>
      </c>
      <c r="D215" s="185" t="str">
        <f t="shared" si="21"/>
        <v>40100 ROOM &amp; BOARD OTHER</v>
      </c>
      <c r="E215" s="185" t="str">
        <f t="shared" si="22"/>
        <v>INCOME</v>
      </c>
      <c r="G215" s="191" t="s">
        <v>97</v>
      </c>
      <c r="H215" s="192"/>
      <c r="I215" s="192">
        <v>4183.74</v>
      </c>
    </row>
    <row r="216" spans="1:9">
      <c r="A216" s="185" t="str">
        <f>IF(AND(LEN(G216)&gt;0,LEN(G215)=0,LEFT(G216,3)&lt;&gt;"TOT"),"GROUP","")</f>
        <v/>
      </c>
      <c r="B216" s="186" t="str">
        <f t="shared" ca="1" si="19"/>
        <v/>
      </c>
      <c r="C216" s="185" t="str">
        <f t="shared" si="20"/>
        <v/>
      </c>
      <c r="D216" s="185" t="str">
        <f t="shared" si="21"/>
        <v/>
      </c>
      <c r="E216" s="185" t="str">
        <f t="shared" si="22"/>
        <v/>
      </c>
      <c r="G216" s="191" t="s">
        <v>98</v>
      </c>
      <c r="H216" s="192"/>
      <c r="I216" s="192">
        <v>2521151.14</v>
      </c>
    </row>
    <row r="217" spans="1:9">
      <c r="A217" s="185" t="str">
        <f>IF(AND(LEN(G217)&gt;0,LEN(G216)=0,LEFT(G217,3)&lt;&gt;"TOT"),"GROUP","")</f>
        <v/>
      </c>
      <c r="B217" s="186" t="str">
        <f t="shared" ca="1" si="19"/>
        <v/>
      </c>
      <c r="C217" s="185" t="str">
        <f t="shared" si="20"/>
        <v/>
      </c>
      <c r="D217" s="185" t="str">
        <f t="shared" si="21"/>
        <v/>
      </c>
      <c r="E217" s="185" t="str">
        <f t="shared" si="22"/>
        <v/>
      </c>
      <c r="G217" s="191" t="s">
        <v>99</v>
      </c>
      <c r="H217" s="192"/>
      <c r="I217" s="192"/>
    </row>
    <row r="218" spans="1:9">
      <c r="A218" s="185" t="str">
        <f>IF(AND(LEN(G218)&gt;0,LEN(G217)=0,LEFT(G218,3)&lt;&gt;"TOT"),"GROUP","")</f>
        <v>GROUP</v>
      </c>
      <c r="B218" s="186"/>
      <c r="C218" s="185" t="str">
        <f t="shared" si="20"/>
        <v/>
      </c>
      <c r="D218" s="185" t="str">
        <f t="shared" si="21"/>
        <v/>
      </c>
      <c r="E218" s="185" t="str">
        <f t="shared" si="22"/>
        <v>40110 MEDICAID WAIVER</v>
      </c>
      <c r="G218" s="191" t="s">
        <v>100</v>
      </c>
      <c r="H218" s="192"/>
      <c r="I218" s="192"/>
    </row>
    <row r="219" spans="1:9">
      <c r="A219" s="185" t="s">
        <v>312</v>
      </c>
      <c r="B219" s="186">
        <f t="shared" ca="1" si="19"/>
        <v>201</v>
      </c>
      <c r="C219" s="185" t="str">
        <f t="shared" si="20"/>
        <v>40110 MEDICAID WAIVER : 40113 BUILDING 9904</v>
      </c>
      <c r="D219" s="185" t="str">
        <f t="shared" si="21"/>
        <v>40113 BUILDING 9904</v>
      </c>
      <c r="E219" s="185" t="str">
        <f t="shared" si="22"/>
        <v>40110 MEDICAID WAIVER</v>
      </c>
      <c r="G219" s="191" t="s">
        <v>101</v>
      </c>
      <c r="H219" s="201"/>
      <c r="I219" s="192">
        <v>32003.25</v>
      </c>
    </row>
    <row r="220" spans="1:9">
      <c r="A220" s="185" t="s">
        <v>312</v>
      </c>
      <c r="B220" s="186">
        <f t="shared" ca="1" si="19"/>
        <v>201</v>
      </c>
      <c r="C220" s="185" t="str">
        <f t="shared" si="20"/>
        <v>40110 MEDICAID WAIVER : 40111 BUILDING 9900</v>
      </c>
      <c r="D220" s="185" t="str">
        <f t="shared" si="21"/>
        <v>40111 BUILDING 9900</v>
      </c>
      <c r="E220" s="185" t="str">
        <f t="shared" si="22"/>
        <v>40110 MEDICAID WAIVER</v>
      </c>
      <c r="G220" s="191" t="s">
        <v>102</v>
      </c>
      <c r="H220" s="201"/>
      <c r="I220" s="192">
        <v>26530.3</v>
      </c>
    </row>
    <row r="221" spans="1:9">
      <c r="A221" s="185" t="str">
        <f>IF(AND(LEN(G221)&gt;0,LEN(G220)=0,LEFT(G221,3)&lt;&gt;"TOT"),"GROUP","")</f>
        <v/>
      </c>
      <c r="B221" s="186" t="str">
        <f t="shared" ca="1" si="19"/>
        <v/>
      </c>
      <c r="C221" s="185" t="str">
        <f t="shared" si="20"/>
        <v/>
      </c>
      <c r="D221" s="185" t="str">
        <f t="shared" si="21"/>
        <v/>
      </c>
      <c r="E221" s="185" t="str">
        <f t="shared" si="22"/>
        <v/>
      </c>
      <c r="G221" s="191" t="s">
        <v>103</v>
      </c>
      <c r="H221" s="192"/>
      <c r="I221" s="192">
        <v>58533.55</v>
      </c>
    </row>
    <row r="222" spans="1:9">
      <c r="A222" s="185" t="str">
        <f>IF(AND(LEN(G222)&gt;0,LEN(G221)=0,LEFT(G222,3)&lt;&gt;"TOT"),"GROUP","")</f>
        <v/>
      </c>
      <c r="B222" s="186" t="str">
        <f t="shared" ca="1" si="19"/>
        <v/>
      </c>
      <c r="C222" s="185" t="str">
        <f t="shared" si="20"/>
        <v/>
      </c>
      <c r="D222" s="185" t="str">
        <f t="shared" si="21"/>
        <v/>
      </c>
      <c r="E222" s="185" t="str">
        <f t="shared" si="22"/>
        <v/>
      </c>
      <c r="G222" s="191" t="s">
        <v>99</v>
      </c>
      <c r="H222" s="192"/>
      <c r="I222" s="192"/>
    </row>
    <row r="223" spans="1:9">
      <c r="A223" s="185" t="str">
        <f>IF(AND(LEN(G223)&gt;0,LEN(G222)=0,LEFT(G223,3)&lt;&gt;"TOT"),"GROUP","")</f>
        <v>GROUP</v>
      </c>
      <c r="B223" s="186"/>
      <c r="C223" s="185" t="str">
        <f t="shared" si="20"/>
        <v/>
      </c>
      <c r="D223" s="185" t="str">
        <f t="shared" si="21"/>
        <v/>
      </c>
      <c r="E223" s="185" t="str">
        <f t="shared" si="22"/>
        <v>40300 RESPITE CARE</v>
      </c>
      <c r="G223" s="191" t="s">
        <v>104</v>
      </c>
      <c r="H223" s="192"/>
      <c r="I223" s="192"/>
    </row>
    <row r="224" spans="1:9">
      <c r="A224" s="185" t="s">
        <v>312</v>
      </c>
      <c r="B224" s="186">
        <f t="shared" ca="1" si="19"/>
        <v>203</v>
      </c>
      <c r="C224" s="185" t="str">
        <f t="shared" si="20"/>
        <v>40300 RESPITE CARE : 40301 BUILDING 9900</v>
      </c>
      <c r="D224" s="185" t="str">
        <f t="shared" si="21"/>
        <v>40301 BUILDING 9900</v>
      </c>
      <c r="E224" s="185" t="str">
        <f t="shared" si="22"/>
        <v>40300 RESPITE CARE</v>
      </c>
      <c r="G224" s="191" t="s">
        <v>257</v>
      </c>
      <c r="H224" s="192"/>
      <c r="I224" s="192">
        <v>4375</v>
      </c>
    </row>
    <row r="225" spans="1:9">
      <c r="A225" s="185" t="s">
        <v>312</v>
      </c>
      <c r="B225" s="186">
        <f t="shared" ca="1" si="19"/>
        <v>203</v>
      </c>
      <c r="C225" s="185" t="str">
        <f t="shared" si="20"/>
        <v>40300 RESPITE CARE : 40302 BUILDING 9902</v>
      </c>
      <c r="D225" s="185" t="str">
        <f t="shared" si="21"/>
        <v>40302 BUILDING 9902</v>
      </c>
      <c r="E225" s="185" t="str">
        <f t="shared" si="22"/>
        <v>40300 RESPITE CARE</v>
      </c>
      <c r="G225" s="191" t="s">
        <v>106</v>
      </c>
      <c r="H225" s="201"/>
      <c r="I225" s="192">
        <v>6650</v>
      </c>
    </row>
    <row r="226" spans="1:9">
      <c r="A226" s="185" t="s">
        <v>312</v>
      </c>
      <c r="B226" s="186">
        <f t="shared" ca="1" si="19"/>
        <v>203</v>
      </c>
      <c r="C226" s="185" t="str">
        <f t="shared" si="20"/>
        <v>40300 RESPITE CARE : 40304 BUILDING 9904</v>
      </c>
      <c r="D226" s="185" t="str">
        <f t="shared" si="21"/>
        <v>40304 BUILDING 9904</v>
      </c>
      <c r="E226" s="185" t="str">
        <f t="shared" si="22"/>
        <v>40300 RESPITE CARE</v>
      </c>
      <c r="G226" s="191" t="s">
        <v>258</v>
      </c>
      <c r="H226" s="201"/>
      <c r="I226" s="192">
        <v>6629</v>
      </c>
    </row>
    <row r="227" spans="1:9">
      <c r="A227" s="185" t="s">
        <v>312</v>
      </c>
      <c r="B227" s="186">
        <f t="shared" ca="1" si="19"/>
        <v>203</v>
      </c>
      <c r="C227" s="185" t="str">
        <f t="shared" si="20"/>
        <v>40300 RESPITE CARE : 40306 BUILDING 9906</v>
      </c>
      <c r="D227" s="185" t="str">
        <f t="shared" si="21"/>
        <v>40306 BUILDING 9906</v>
      </c>
      <c r="E227" s="185" t="str">
        <f t="shared" si="22"/>
        <v>40300 RESPITE CARE</v>
      </c>
      <c r="G227" s="191" t="s">
        <v>107</v>
      </c>
      <c r="H227" s="192"/>
      <c r="I227" s="192">
        <v>26533</v>
      </c>
    </row>
    <row r="228" spans="1:9">
      <c r="A228" s="185" t="str">
        <f>IF(AND(LEN(G228)&gt;0,LEN(G227)=0,LEFT(G228,3)&lt;&gt;"TOT"),"GROUP","")</f>
        <v/>
      </c>
      <c r="B228" s="186" t="str">
        <f t="shared" ca="1" si="19"/>
        <v/>
      </c>
      <c r="C228" s="185" t="str">
        <f t="shared" si="20"/>
        <v/>
      </c>
      <c r="D228" s="185" t="str">
        <f t="shared" si="21"/>
        <v/>
      </c>
      <c r="E228" s="185" t="str">
        <f t="shared" si="22"/>
        <v/>
      </c>
      <c r="G228" s="191" t="s">
        <v>108</v>
      </c>
      <c r="H228" s="192"/>
      <c r="I228" s="192">
        <v>44187</v>
      </c>
    </row>
    <row r="229" spans="1:9">
      <c r="A229" s="185" t="str">
        <f>IF(AND(LEN(G229)&gt;0,LEN(G228)=0,LEFT(G229,3)&lt;&gt;"TOT"),"GROUP","")</f>
        <v/>
      </c>
      <c r="B229" s="186" t="str">
        <f t="shared" ca="1" si="19"/>
        <v/>
      </c>
      <c r="C229" s="185" t="str">
        <f t="shared" si="20"/>
        <v/>
      </c>
      <c r="D229" s="185" t="str">
        <f t="shared" si="21"/>
        <v/>
      </c>
      <c r="E229" s="185" t="str">
        <f t="shared" si="22"/>
        <v/>
      </c>
      <c r="G229" s="191" t="s">
        <v>99</v>
      </c>
      <c r="H229" s="192"/>
      <c r="I229" s="192"/>
    </row>
    <row r="230" spans="1:9">
      <c r="A230" s="185" t="str">
        <f>IF(AND(LEN(G230)&gt;0,LEN(G229)=0,LEFT(G230,3)&lt;&gt;"TOT"),"GROUP","")</f>
        <v>GROUP</v>
      </c>
      <c r="B230" s="186"/>
      <c r="C230" s="185" t="str">
        <f t="shared" si="20"/>
        <v/>
      </c>
      <c r="D230" s="185" t="str">
        <f t="shared" si="21"/>
        <v/>
      </c>
      <c r="E230" s="185" t="str">
        <f t="shared" si="22"/>
        <v>40200 COMMUNITY ENTRANCE FEE</v>
      </c>
      <c r="G230" s="191" t="s">
        <v>109</v>
      </c>
      <c r="H230" s="192"/>
      <c r="I230" s="192"/>
    </row>
    <row r="231" spans="1:9">
      <c r="A231" s="185" t="s">
        <v>312</v>
      </c>
      <c r="B231" s="186">
        <f t="shared" ca="1" si="19"/>
        <v>204</v>
      </c>
      <c r="C231" s="185" t="str">
        <f t="shared" si="20"/>
        <v>40200 COMMUNITY ENTRANCE FEE : 40201 BUILDING 9900</v>
      </c>
      <c r="D231" s="185" t="str">
        <f t="shared" si="21"/>
        <v>40201 BUILDING 9900</v>
      </c>
      <c r="E231" s="185" t="str">
        <f t="shared" si="22"/>
        <v>40200 COMMUNITY ENTRANCE FEE</v>
      </c>
      <c r="G231" s="191" t="s">
        <v>110</v>
      </c>
      <c r="H231" s="201"/>
      <c r="I231" s="192">
        <v>4500</v>
      </c>
    </row>
    <row r="232" spans="1:9">
      <c r="A232" s="185" t="s">
        <v>312</v>
      </c>
      <c r="B232" s="186">
        <f t="shared" ca="1" si="19"/>
        <v>204</v>
      </c>
      <c r="C232" s="185" t="str">
        <f t="shared" si="20"/>
        <v>40200 COMMUNITY ENTRANCE FEE : 40202 BUILDING 9902</v>
      </c>
      <c r="D232" s="185" t="str">
        <f t="shared" si="21"/>
        <v>40202 BUILDING 9902</v>
      </c>
      <c r="E232" s="185" t="str">
        <f t="shared" si="22"/>
        <v>40200 COMMUNITY ENTRANCE FEE</v>
      </c>
      <c r="G232" s="191" t="s">
        <v>111</v>
      </c>
      <c r="H232" s="201"/>
      <c r="I232" s="192">
        <v>15500</v>
      </c>
    </row>
    <row r="233" spans="1:9">
      <c r="A233" s="185" t="s">
        <v>312</v>
      </c>
      <c r="B233" s="186">
        <f t="shared" ca="1" si="19"/>
        <v>204</v>
      </c>
      <c r="C233" s="185" t="str">
        <f t="shared" si="20"/>
        <v>40200 COMMUNITY ENTRANCE FEE : 40204 BUILDING 9904</v>
      </c>
      <c r="D233" s="185" t="str">
        <f t="shared" si="21"/>
        <v>40204 BUILDING 9904</v>
      </c>
      <c r="E233" s="185" t="str">
        <f t="shared" si="22"/>
        <v>40200 COMMUNITY ENTRANCE FEE</v>
      </c>
      <c r="G233" s="191" t="s">
        <v>112</v>
      </c>
      <c r="H233" s="192"/>
      <c r="I233" s="192">
        <v>3000</v>
      </c>
    </row>
    <row r="234" spans="1:9">
      <c r="A234" s="185" t="s">
        <v>312</v>
      </c>
      <c r="B234" s="186">
        <f t="shared" ca="1" si="19"/>
        <v>204</v>
      </c>
      <c r="C234" s="185" t="str">
        <f t="shared" si="20"/>
        <v>40200 COMMUNITY ENTRANCE FEE : 40206 BUILDING 9906</v>
      </c>
      <c r="D234" s="185" t="str">
        <f t="shared" si="21"/>
        <v>40206 BUILDING 9906</v>
      </c>
      <c r="E234" s="185" t="str">
        <f t="shared" si="22"/>
        <v>40200 COMMUNITY ENTRANCE FEE</v>
      </c>
      <c r="G234" s="191" t="s">
        <v>259</v>
      </c>
      <c r="H234" s="192"/>
      <c r="I234" s="192">
        <v>6000</v>
      </c>
    </row>
    <row r="235" spans="1:9">
      <c r="A235" s="185" t="str">
        <f>IF(AND(LEN(G235)&gt;0,LEN(G234)=0,LEFT(G235,3)&lt;&gt;"TOT"),"GROUP","")</f>
        <v/>
      </c>
      <c r="B235" s="186" t="str">
        <f t="shared" ca="1" si="19"/>
        <v/>
      </c>
      <c r="C235" s="185" t="str">
        <f t="shared" si="20"/>
        <v/>
      </c>
      <c r="D235" s="185" t="str">
        <f t="shared" si="21"/>
        <v/>
      </c>
      <c r="E235" s="185" t="str">
        <f t="shared" si="22"/>
        <v/>
      </c>
      <c r="G235" s="191" t="s">
        <v>114</v>
      </c>
      <c r="H235" s="192"/>
      <c r="I235" s="192">
        <v>29000</v>
      </c>
    </row>
    <row r="236" spans="1:9">
      <c r="A236" s="185" t="str">
        <f>IF(AND(LEN(G236)&gt;0,LEN(G235)=0,LEFT(G236,3)&lt;&gt;"TOT"),"GROUP","")</f>
        <v/>
      </c>
      <c r="B236" s="186" t="str">
        <f t="shared" ca="1" si="19"/>
        <v/>
      </c>
      <c r="C236" s="185" t="str">
        <f t="shared" si="20"/>
        <v/>
      </c>
      <c r="D236" s="185" t="str">
        <f t="shared" si="21"/>
        <v/>
      </c>
      <c r="E236" s="185" t="str">
        <f t="shared" si="22"/>
        <v/>
      </c>
      <c r="G236" s="191" t="s">
        <v>99</v>
      </c>
      <c r="H236" s="192"/>
      <c r="I236" s="192"/>
    </row>
    <row r="237" spans="1:9">
      <c r="A237" s="185" t="str">
        <f>IF(AND(LEN(G237)&gt;0,LEN(G236)=0,LEFT(G237,3)&lt;&gt;"TOT"),"GROUP","")</f>
        <v>GROUP</v>
      </c>
      <c r="B237" s="186"/>
      <c r="C237" s="185" t="str">
        <f t="shared" si="20"/>
        <v/>
      </c>
      <c r="D237" s="185" t="str">
        <f t="shared" si="21"/>
        <v/>
      </c>
      <c r="E237" s="185" t="str">
        <f t="shared" si="22"/>
        <v>41000 ANCILLARY SERVICES</v>
      </c>
      <c r="G237" s="191" t="s">
        <v>115</v>
      </c>
      <c r="H237" s="201"/>
      <c r="I237" s="192"/>
    </row>
    <row r="238" spans="1:9">
      <c r="A238" s="185" t="s">
        <v>312</v>
      </c>
      <c r="B238" s="186">
        <f t="shared" ca="1" si="19"/>
        <v>206</v>
      </c>
      <c r="C238" s="185" t="str">
        <f t="shared" si="20"/>
        <v>41000 ANCILLARY SERVICES : 41400 SPECIAL CARE SERVICES</v>
      </c>
      <c r="D238" s="185" t="str">
        <f t="shared" si="21"/>
        <v>41400 SPECIAL CARE SERVICES</v>
      </c>
      <c r="E238" s="185" t="str">
        <f t="shared" si="22"/>
        <v>41000 ANCILLARY SERVICES</v>
      </c>
      <c r="G238" s="191" t="s">
        <v>116</v>
      </c>
      <c r="H238" s="201"/>
      <c r="I238" s="192">
        <v>14985</v>
      </c>
    </row>
    <row r="239" spans="1:9">
      <c r="A239" s="185" t="s">
        <v>312</v>
      </c>
      <c r="B239" s="186">
        <f t="shared" ca="1" si="19"/>
        <v>206</v>
      </c>
      <c r="C239" s="185" t="str">
        <f t="shared" si="20"/>
        <v>41000 ANCILLARY SERVICES : 41700 BARBER &amp; SALON SERVICES</v>
      </c>
      <c r="D239" s="185" t="str">
        <f t="shared" si="21"/>
        <v>41700 BARBER &amp; SALON SERVICES</v>
      </c>
      <c r="E239" s="185" t="str">
        <f t="shared" si="22"/>
        <v>41000 ANCILLARY SERVICES</v>
      </c>
      <c r="G239" s="191" t="s">
        <v>117</v>
      </c>
      <c r="H239" s="192"/>
      <c r="I239" s="192">
        <v>10641</v>
      </c>
    </row>
    <row r="240" spans="1:9">
      <c r="A240" s="185" t="s">
        <v>312</v>
      </c>
      <c r="B240" s="186">
        <f t="shared" ca="1" si="19"/>
        <v>206</v>
      </c>
      <c r="C240" s="185" t="str">
        <f t="shared" si="20"/>
        <v>41000 ANCILLARY SERVICES : 41800 ACTIVITY REVENUE</v>
      </c>
      <c r="D240" s="185" t="str">
        <f t="shared" si="21"/>
        <v>41800 ACTIVITY REVENUE</v>
      </c>
      <c r="E240" s="185" t="str">
        <f t="shared" si="22"/>
        <v>41000 ANCILLARY SERVICES</v>
      </c>
      <c r="G240" s="191" t="s">
        <v>118</v>
      </c>
      <c r="H240" s="192"/>
      <c r="I240" s="192">
        <v>5476.14</v>
      </c>
    </row>
    <row r="241" spans="1:9">
      <c r="A241" s="185" t="str">
        <f>IF(AND(LEN(G241)&gt;0,LEN(G240)=0,LEFT(G241,3)&lt;&gt;"TOT"),"GROUP","")</f>
        <v/>
      </c>
      <c r="B241" s="186" t="str">
        <f t="shared" ca="1" si="19"/>
        <v/>
      </c>
      <c r="C241" s="185" t="str">
        <f t="shared" si="20"/>
        <v/>
      </c>
      <c r="D241" s="185" t="str">
        <f t="shared" si="21"/>
        <v/>
      </c>
      <c r="E241" s="185" t="str">
        <f t="shared" si="22"/>
        <v/>
      </c>
      <c r="G241" s="191" t="s">
        <v>99</v>
      </c>
      <c r="H241" s="192"/>
      <c r="I241" s="192"/>
    </row>
    <row r="242" spans="1:9">
      <c r="A242" s="185" t="str">
        <f>IF(AND(LEN(G242)&gt;0,LEN(G241)=0,LEFT(G242,3)&lt;&gt;"TOT"),"GROUP","")</f>
        <v>GROUP</v>
      </c>
      <c r="B242" s="186"/>
      <c r="C242" s="185" t="str">
        <f t="shared" si="20"/>
        <v/>
      </c>
      <c r="D242" s="185" t="str">
        <f t="shared" si="21"/>
        <v/>
      </c>
      <c r="E242" s="185" t="str">
        <f t="shared" si="22"/>
        <v>42000 OTHER RESIDENT INCOME</v>
      </c>
      <c r="G242" s="191" t="s">
        <v>119</v>
      </c>
      <c r="H242" s="192"/>
      <c r="I242" s="192"/>
    </row>
    <row r="243" spans="1:9">
      <c r="A243" s="185" t="s">
        <v>312</v>
      </c>
      <c r="B243" s="186">
        <f t="shared" ca="1" si="19"/>
        <v>205</v>
      </c>
      <c r="C243" s="185" t="str">
        <f t="shared" si="20"/>
        <v>42000 OTHER RESIDENT INCOME : 42100 REIMBURSEMENTS</v>
      </c>
      <c r="D243" s="185" t="str">
        <f t="shared" si="21"/>
        <v>42100 REIMBURSEMENTS</v>
      </c>
      <c r="E243" s="185" t="str">
        <f t="shared" si="22"/>
        <v>42000 OTHER RESIDENT INCOME</v>
      </c>
      <c r="G243" s="191" t="s">
        <v>120</v>
      </c>
      <c r="H243" s="201"/>
      <c r="I243" s="192">
        <v>577.22</v>
      </c>
    </row>
    <row r="244" spans="1:9">
      <c r="A244" s="185" t="s">
        <v>312</v>
      </c>
      <c r="B244" s="186">
        <f t="shared" ca="1" si="19"/>
        <v>205</v>
      </c>
      <c r="C244" s="185" t="str">
        <f t="shared" si="20"/>
        <v>42000 OTHER RESIDENT INCOME : 42200 GUEST SERVICES</v>
      </c>
      <c r="D244" s="185" t="str">
        <f t="shared" si="21"/>
        <v>42200 GUEST SERVICES</v>
      </c>
      <c r="E244" s="185" t="str">
        <f t="shared" si="22"/>
        <v>42000 OTHER RESIDENT INCOME</v>
      </c>
      <c r="G244" s="191" t="s">
        <v>121</v>
      </c>
      <c r="H244" s="201"/>
      <c r="I244" s="192">
        <v>50</v>
      </c>
    </row>
    <row r="245" spans="1:9">
      <c r="A245" s="185" t="s">
        <v>312</v>
      </c>
      <c r="B245" s="186">
        <f t="shared" ca="1" si="19"/>
        <v>205</v>
      </c>
      <c r="C245" s="185" t="str">
        <f t="shared" si="20"/>
        <v>42000 OTHER RESIDENT INCOME : 42900 RESIDENT FINANCE CHARGE</v>
      </c>
      <c r="D245" s="185" t="str">
        <f t="shared" si="21"/>
        <v>42900 RESIDENT FINANCE CHARGE</v>
      </c>
      <c r="E245" s="185" t="str">
        <f t="shared" si="22"/>
        <v>42000 OTHER RESIDENT INCOME</v>
      </c>
      <c r="G245" s="191" t="s">
        <v>260</v>
      </c>
      <c r="H245" s="192"/>
      <c r="I245" s="192">
        <v>1399.34</v>
      </c>
    </row>
    <row r="246" spans="1:9">
      <c r="A246" s="185" t="s">
        <v>312</v>
      </c>
      <c r="B246" s="186">
        <f t="shared" ca="1" si="19"/>
        <v>205</v>
      </c>
      <c r="C246" s="185" t="str">
        <f t="shared" si="20"/>
        <v>42000 OTHER RESIDENT INCOME : 42000 OTHER RESIDENT LNCOME OTHER</v>
      </c>
      <c r="D246" s="185" t="str">
        <f t="shared" si="21"/>
        <v>42000 OTHER RESIDENT LNCOME OTHER</v>
      </c>
      <c r="E246" s="185" t="str">
        <f t="shared" si="22"/>
        <v>42000 OTHER RESIDENT INCOME</v>
      </c>
      <c r="G246" s="191" t="s">
        <v>261</v>
      </c>
      <c r="H246" s="192"/>
      <c r="I246" s="192">
        <v>8</v>
      </c>
    </row>
    <row r="247" spans="1:9">
      <c r="A247" s="185" t="str">
        <f>IF(AND(LEN(G247)&gt;0,LEN(G246)=0,LEFT(G247,3)&lt;&gt;"TOT"),"GROUP","")</f>
        <v/>
      </c>
      <c r="B247" s="186" t="str">
        <f t="shared" ca="1" si="19"/>
        <v/>
      </c>
      <c r="C247" s="185" t="str">
        <f t="shared" si="20"/>
        <v/>
      </c>
      <c r="D247" s="185" t="str">
        <f t="shared" si="21"/>
        <v/>
      </c>
      <c r="E247" s="185" t="str">
        <f t="shared" si="22"/>
        <v/>
      </c>
      <c r="G247" s="191" t="s">
        <v>262</v>
      </c>
      <c r="H247" s="192"/>
      <c r="I247" s="192">
        <v>2034.56</v>
      </c>
    </row>
    <row r="248" spans="1:9">
      <c r="A248" s="185" t="str">
        <f>IF(AND(LEN(G248)&gt;0,LEN(G247)=0,LEFT(G248,3)&lt;&gt;"TOT"),"GROUP","")</f>
        <v/>
      </c>
      <c r="B248" s="186" t="str">
        <f t="shared" ca="1" si="19"/>
        <v/>
      </c>
      <c r="C248" s="185" t="str">
        <f t="shared" si="20"/>
        <v/>
      </c>
      <c r="D248" s="185" t="str">
        <f t="shared" si="21"/>
        <v/>
      </c>
      <c r="E248" s="185" t="str">
        <f t="shared" si="22"/>
        <v/>
      </c>
      <c r="G248" s="191" t="s">
        <v>99</v>
      </c>
      <c r="H248" s="192"/>
      <c r="I248" s="192"/>
    </row>
    <row r="249" spans="1:9">
      <c r="A249" s="185" t="str">
        <f>IF(AND(LEN(G249)&gt;0,LEN(G248)=0,LEFT(G249,3)&lt;&gt;"TOT"),"GROUP","")</f>
        <v>GROUP</v>
      </c>
      <c r="B249" s="186"/>
      <c r="C249" s="185" t="str">
        <f t="shared" si="20"/>
        <v/>
      </c>
      <c r="D249" s="185" t="str">
        <f t="shared" si="21"/>
        <v/>
      </c>
      <c r="E249" s="185" t="str">
        <f t="shared" si="22"/>
        <v>49000 REFUNDS</v>
      </c>
      <c r="G249" s="191" t="s">
        <v>125</v>
      </c>
      <c r="H249" s="201"/>
      <c r="I249" s="192"/>
    </row>
    <row r="250" spans="1:9">
      <c r="A250" s="185" t="s">
        <v>312</v>
      </c>
      <c r="B250" s="186">
        <f t="shared" ca="1" si="19"/>
        <v>201</v>
      </c>
      <c r="C250" s="185" t="str">
        <f t="shared" si="20"/>
        <v>49000 REFUNDS : 49100 ROOM AND BOARD</v>
      </c>
      <c r="D250" s="185" t="str">
        <f t="shared" si="21"/>
        <v>49100 ROOM AND BOARD</v>
      </c>
      <c r="E250" s="185" t="str">
        <f t="shared" si="22"/>
        <v>49000 REFUNDS</v>
      </c>
      <c r="G250" s="191" t="s">
        <v>126</v>
      </c>
      <c r="H250" s="201"/>
      <c r="I250" s="192">
        <v>-42498.8</v>
      </c>
    </row>
    <row r="251" spans="1:9">
      <c r="A251" s="185" t="s">
        <v>312</v>
      </c>
      <c r="B251" s="186">
        <f t="shared" ca="1" si="19"/>
        <v>201</v>
      </c>
      <c r="C251" s="185" t="str">
        <f t="shared" si="20"/>
        <v>49000 REFUNDS : 49900 ALL OTHER REFUNDS</v>
      </c>
      <c r="D251" s="185" t="str">
        <f t="shared" si="21"/>
        <v>49900 ALL OTHER REFUNDS</v>
      </c>
      <c r="E251" s="185" t="str">
        <f t="shared" si="22"/>
        <v>49000 REFUNDS</v>
      </c>
      <c r="G251" s="191" t="s">
        <v>127</v>
      </c>
      <c r="H251" s="192"/>
      <c r="I251" s="192">
        <v>-250</v>
      </c>
    </row>
    <row r="252" spans="1:9">
      <c r="A252" s="185" t="s">
        <v>312</v>
      </c>
      <c r="B252" s="186">
        <f t="shared" ca="1" si="19"/>
        <v>205</v>
      </c>
      <c r="C252" s="185" t="str">
        <f t="shared" si="20"/>
        <v>49000 REFUNDS : 49000 REFUNDS OTHER</v>
      </c>
      <c r="D252" s="185" t="str">
        <f t="shared" si="21"/>
        <v>49000 REFUNDS OTHER</v>
      </c>
      <c r="E252" s="185" t="str">
        <f t="shared" si="22"/>
        <v>49000 REFUNDS</v>
      </c>
      <c r="G252" s="191" t="s">
        <v>263</v>
      </c>
      <c r="H252" s="192"/>
      <c r="I252" s="192">
        <v>1575</v>
      </c>
    </row>
    <row r="253" spans="1:9">
      <c r="A253" s="185" t="str">
        <f t="shared" ref="A253:A258" si="23">IF(AND(LEN(G253)&gt;0,LEN(G252)=0,LEFT(G253,3)&lt;&gt;"TOT"),"GROUP","")</f>
        <v/>
      </c>
      <c r="B253" s="186" t="str">
        <f t="shared" ca="1" si="19"/>
        <v/>
      </c>
      <c r="C253" s="185" t="str">
        <f t="shared" si="20"/>
        <v/>
      </c>
      <c r="D253" s="185" t="str">
        <f t="shared" si="21"/>
        <v/>
      </c>
      <c r="E253" s="185" t="str">
        <f t="shared" si="22"/>
        <v/>
      </c>
      <c r="G253" s="191" t="s">
        <v>128</v>
      </c>
      <c r="H253" s="192"/>
      <c r="I253" s="192">
        <v>41173.800000000003</v>
      </c>
    </row>
    <row r="254" spans="1:9">
      <c r="A254" s="185" t="str">
        <f t="shared" si="23"/>
        <v/>
      </c>
      <c r="B254" s="186" t="str">
        <f t="shared" ca="1" si="19"/>
        <v/>
      </c>
      <c r="C254" s="185" t="str">
        <f t="shared" si="20"/>
        <v/>
      </c>
      <c r="D254" s="185" t="str">
        <f t="shared" si="21"/>
        <v/>
      </c>
      <c r="E254" s="185" t="str">
        <f t="shared" si="22"/>
        <v/>
      </c>
      <c r="G254" s="191" t="s">
        <v>99</v>
      </c>
      <c r="H254" s="192"/>
      <c r="I254" s="192"/>
    </row>
    <row r="255" spans="1:9">
      <c r="A255" s="185" t="str">
        <f t="shared" si="23"/>
        <v/>
      </c>
      <c r="B255" s="186" t="str">
        <f t="shared" ca="1" si="19"/>
        <v/>
      </c>
      <c r="C255" s="185" t="str">
        <f t="shared" si="20"/>
        <v/>
      </c>
      <c r="D255" s="185" t="str">
        <f t="shared" si="21"/>
        <v/>
      </c>
      <c r="E255" s="185" t="str">
        <f t="shared" si="22"/>
        <v/>
      </c>
      <c r="G255" s="191" t="s">
        <v>99</v>
      </c>
      <c r="H255" s="201"/>
      <c r="I255" s="192"/>
    </row>
    <row r="256" spans="1:9">
      <c r="A256" s="193" t="s">
        <v>312</v>
      </c>
      <c r="B256" s="194">
        <f t="shared" ca="1" si="19"/>
        <v>222</v>
      </c>
      <c r="C256" s="193" t="str">
        <f>UPPER(G256)</f>
        <v>TOTAL INCOME</v>
      </c>
      <c r="D256" s="193" t="str">
        <f t="shared" si="21"/>
        <v>TOTAL INCOME</v>
      </c>
      <c r="E256" s="193" t="str">
        <f t="shared" si="22"/>
        <v/>
      </c>
      <c r="G256" s="191" t="s">
        <v>55</v>
      </c>
      <c r="H256" s="192"/>
      <c r="I256" s="192">
        <v>2644834.59</v>
      </c>
    </row>
    <row r="257" spans="1:9">
      <c r="A257" s="185" t="str">
        <f t="shared" si="23"/>
        <v/>
      </c>
      <c r="B257" s="186" t="str">
        <f t="shared" ca="1" si="19"/>
        <v/>
      </c>
      <c r="C257" s="185" t="str">
        <f t="shared" si="20"/>
        <v/>
      </c>
      <c r="D257" s="185" t="str">
        <f t="shared" si="21"/>
        <v/>
      </c>
      <c r="E257" s="185" t="str">
        <f t="shared" si="22"/>
        <v/>
      </c>
      <c r="G257" s="191" t="s">
        <v>99</v>
      </c>
      <c r="H257" s="192"/>
      <c r="I257" s="192"/>
    </row>
    <row r="258" spans="1:9">
      <c r="A258" s="185" t="str">
        <f t="shared" si="23"/>
        <v>GROUP</v>
      </c>
      <c r="B258" s="186"/>
      <c r="C258" s="185" t="str">
        <f t="shared" si="20"/>
        <v/>
      </c>
      <c r="D258" s="185" t="str">
        <f t="shared" si="21"/>
        <v/>
      </c>
      <c r="E258" s="185" t="str">
        <f t="shared" si="22"/>
        <v>EXPENSES</v>
      </c>
      <c r="G258" s="191" t="s">
        <v>311</v>
      </c>
      <c r="H258" s="192"/>
      <c r="I258" s="192"/>
    </row>
    <row r="259" spans="1:9">
      <c r="A259" s="185" t="s">
        <v>82</v>
      </c>
      <c r="B259" s="186"/>
      <c r="C259" s="185" t="str">
        <f t="shared" si="20"/>
        <v>EXPENSES : 50000 RESIDENT CARE</v>
      </c>
      <c r="D259" s="185" t="str">
        <f t="shared" si="21"/>
        <v>50000 RESIDENT CARE</v>
      </c>
      <c r="E259" s="185" t="str">
        <f t="shared" si="22"/>
        <v>EXPENSES</v>
      </c>
      <c r="G259" s="191" t="s">
        <v>131</v>
      </c>
      <c r="H259" s="192"/>
      <c r="I259" s="192"/>
    </row>
    <row r="260" spans="1:9">
      <c r="A260" s="185" t="s">
        <v>82</v>
      </c>
      <c r="B260" s="186">
        <f t="shared" ca="1" si="19"/>
        <v>309</v>
      </c>
      <c r="C260" s="185" t="str">
        <f t="shared" si="20"/>
        <v>EXPENSES : 50046 WIC RESIDENT CARE</v>
      </c>
      <c r="D260" s="185" t="str">
        <f t="shared" si="21"/>
        <v>50046 WIC RESIDENT CARE</v>
      </c>
      <c r="E260" s="185" t="str">
        <f t="shared" si="22"/>
        <v>EXPENSES</v>
      </c>
      <c r="G260" s="191" t="s">
        <v>264</v>
      </c>
      <c r="H260" s="201"/>
      <c r="I260" s="192">
        <v>11756</v>
      </c>
    </row>
    <row r="261" spans="1:9">
      <c r="A261" s="185" t="s">
        <v>82</v>
      </c>
      <c r="B261" s="186">
        <f t="shared" ca="1" si="19"/>
        <v>308</v>
      </c>
      <c r="C261" s="185" t="str">
        <f t="shared" si="20"/>
        <v>EXPENSES : 50044 EMP BENES RES CARE</v>
      </c>
      <c r="D261" s="185" t="str">
        <f t="shared" si="21"/>
        <v>50044 EMP BENES RES CARE</v>
      </c>
      <c r="E261" s="185" t="str">
        <f t="shared" si="22"/>
        <v>EXPENSES</v>
      </c>
      <c r="G261" s="191" t="s">
        <v>265</v>
      </c>
      <c r="H261" s="201"/>
      <c r="I261" s="192">
        <v>10697.72</v>
      </c>
    </row>
    <row r="262" spans="1:9">
      <c r="A262" s="185" t="s">
        <v>82</v>
      </c>
      <c r="B262" s="186">
        <f t="shared" ref="B262:B314" ca="1" si="24">IF(LEN(A262)=0,"",IFERROR(VLOOKUP(C262,INDIRECT(A262&amp;"_LOOKUP"),2,FALSE),"-100"))</f>
        <v>307</v>
      </c>
      <c r="C262" s="185" t="str">
        <f t="shared" ref="C262:C314" si="25">IF(LEN(D262)&gt;0,TRIM(E262&amp;" : "&amp;D262),"")</f>
        <v>EXPENSES : 50042 PAYROLL TAX RES. CARE</v>
      </c>
      <c r="D262" s="185" t="str">
        <f t="shared" ref="D262:D314" si="26">IFERROR(IF(AND(LEN(A262)&gt;0,A262&lt;&gt;"GROUP"),UPPER(G262),""),"")</f>
        <v>50042 PAYROLL TAX RES. CARE</v>
      </c>
      <c r="E262" s="185" t="str">
        <f t="shared" ref="E262:E314" si="27">IFERROR(IF(A262="GROUP",UPPER(G262),IF(AND(LEN(A262)&gt;0,A262&lt;&gt;"GROUP"),UPPER(E261),"")),"")</f>
        <v>EXPENSES</v>
      </c>
      <c r="G262" s="191" t="s">
        <v>134</v>
      </c>
      <c r="H262" s="192"/>
      <c r="I262" s="192">
        <v>87209.600000000006</v>
      </c>
    </row>
    <row r="263" spans="1:9">
      <c r="A263" s="185" t="str">
        <f>IF(AND(LEN(G263)&gt;0,LEN(G262)=0,LEFT(G263,3)&lt;&gt;"TOT"),"GROUP","")</f>
        <v/>
      </c>
      <c r="B263" s="186" t="str">
        <f t="shared" ca="1" si="24"/>
        <v/>
      </c>
      <c r="C263" s="185" t="str">
        <f t="shared" si="25"/>
        <v/>
      </c>
      <c r="D263" s="185" t="str">
        <f t="shared" si="26"/>
        <v/>
      </c>
      <c r="E263" s="185" t="str">
        <f t="shared" si="27"/>
        <v/>
      </c>
      <c r="G263" s="191" t="s">
        <v>99</v>
      </c>
      <c r="H263" s="192"/>
      <c r="I263" s="192"/>
    </row>
    <row r="264" spans="1:9">
      <c r="A264" s="185" t="str">
        <f>IF(AND(LEN(G264)&gt;0,LEN(G263)=0,LEFT(G264,3)&lt;&gt;"TOT"),"GROUP","")</f>
        <v>GROUP</v>
      </c>
      <c r="B264" s="186"/>
      <c r="C264" s="185" t="str">
        <f t="shared" si="25"/>
        <v/>
      </c>
      <c r="D264" s="185" t="str">
        <f t="shared" si="26"/>
        <v/>
      </c>
      <c r="E264" s="185" t="str">
        <f t="shared" si="27"/>
        <v>50010 RESIDENT CARE WAGES</v>
      </c>
      <c r="G264" s="191" t="s">
        <v>135</v>
      </c>
      <c r="H264" s="192"/>
      <c r="I264" s="192"/>
    </row>
    <row r="265" spans="1:9">
      <c r="A265" s="185" t="s">
        <v>82</v>
      </c>
      <c r="B265" s="186">
        <f t="shared" ca="1" si="24"/>
        <v>301.10000000000002</v>
      </c>
      <c r="C265" s="185" t="str">
        <f t="shared" si="25"/>
        <v>50010 RESIDENT CARE WAGES : 50011 RESIDENT CARE SUPERVISORS</v>
      </c>
      <c r="D265" s="185" t="str">
        <f t="shared" si="26"/>
        <v>50011 RESIDENT CARE SUPERVISORS</v>
      </c>
      <c r="E265" s="185" t="str">
        <f t="shared" si="27"/>
        <v>50010 RESIDENT CARE WAGES</v>
      </c>
      <c r="G265" s="191" t="s">
        <v>136</v>
      </c>
      <c r="H265" s="192"/>
      <c r="I265" s="192">
        <v>206158.11</v>
      </c>
    </row>
    <row r="266" spans="1:9">
      <c r="A266" s="185" t="s">
        <v>82</v>
      </c>
      <c r="B266" s="186">
        <f t="shared" ca="1" si="24"/>
        <v>301.10000000000002</v>
      </c>
      <c r="C266" s="185" t="str">
        <f t="shared" si="25"/>
        <v>50010 RESIDENT CARE WAGES : 50012 RESIDENT CARE AIDES</v>
      </c>
      <c r="D266" s="185" t="str">
        <f t="shared" si="26"/>
        <v>50012 RESIDENT CARE AIDES</v>
      </c>
      <c r="E266" s="185" t="str">
        <f t="shared" si="27"/>
        <v>50010 RESIDENT CARE WAGES</v>
      </c>
      <c r="G266" s="191" t="s">
        <v>137</v>
      </c>
      <c r="H266" s="201"/>
      <c r="I266" s="192">
        <v>781950.59</v>
      </c>
    </row>
    <row r="267" spans="1:9">
      <c r="A267" s="185" t="s">
        <v>82</v>
      </c>
      <c r="B267" s="186">
        <f t="shared" ca="1" si="24"/>
        <v>301.10000000000002</v>
      </c>
      <c r="C267" s="185" t="str">
        <f t="shared" si="25"/>
        <v>50010 RESIDENT CARE WAGES : 50010 RESIDENT CARE WAGES OTHER</v>
      </c>
      <c r="D267" s="185" t="str">
        <f t="shared" si="26"/>
        <v>50010 RESIDENT CARE WAGES OTHER</v>
      </c>
      <c r="E267" s="185" t="str">
        <f t="shared" si="27"/>
        <v>50010 RESIDENT CARE WAGES</v>
      </c>
      <c r="G267" s="191" t="s">
        <v>266</v>
      </c>
      <c r="H267" s="201"/>
      <c r="I267" s="192">
        <v>0</v>
      </c>
    </row>
    <row r="268" spans="1:9">
      <c r="A268" s="185"/>
      <c r="B268" s="186" t="str">
        <f t="shared" ca="1" si="24"/>
        <v/>
      </c>
      <c r="C268" s="185" t="str">
        <f t="shared" si="25"/>
        <v/>
      </c>
      <c r="D268" s="185" t="str">
        <f t="shared" si="26"/>
        <v/>
      </c>
      <c r="E268" s="185" t="str">
        <f t="shared" si="27"/>
        <v/>
      </c>
      <c r="G268" s="191" t="s">
        <v>138</v>
      </c>
      <c r="H268" s="192"/>
      <c r="I268" s="192">
        <v>988108.7</v>
      </c>
    </row>
    <row r="269" spans="1:9">
      <c r="A269" s="185" t="str">
        <f>IF(AND(LEN(G269)&gt;0,LEN(G268)=0,LEFT(G269,3)&lt;&gt;"TOT"),"GROUP","")</f>
        <v/>
      </c>
      <c r="B269" s="186" t="str">
        <f t="shared" ca="1" si="24"/>
        <v/>
      </c>
      <c r="C269" s="185" t="str">
        <f t="shared" si="25"/>
        <v/>
      </c>
      <c r="D269" s="185" t="str">
        <f t="shared" si="26"/>
        <v/>
      </c>
      <c r="E269" s="185" t="str">
        <f t="shared" si="27"/>
        <v/>
      </c>
      <c r="G269" s="191" t="s">
        <v>99</v>
      </c>
      <c r="H269" s="192"/>
      <c r="I269" s="192"/>
    </row>
    <row r="270" spans="1:9">
      <c r="A270" s="185" t="str">
        <f>IF(AND(LEN(G270)&gt;0,LEN(G269)=0,LEFT(G270,3)&lt;&gt;"TOT"),"GROUP","")</f>
        <v>GROUP</v>
      </c>
      <c r="B270" s="186"/>
      <c r="C270" s="185" t="str">
        <f t="shared" si="25"/>
        <v/>
      </c>
      <c r="D270" s="185" t="str">
        <f t="shared" si="26"/>
        <v/>
      </c>
      <c r="E270" s="185" t="str">
        <f t="shared" si="27"/>
        <v>50020 RESIDENT CARE SUPPLIES</v>
      </c>
      <c r="G270" s="191" t="s">
        <v>139</v>
      </c>
      <c r="H270" s="192"/>
      <c r="I270" s="192"/>
    </row>
    <row r="271" spans="1:9">
      <c r="A271" s="185" t="s">
        <v>82</v>
      </c>
      <c r="B271" s="186">
        <f t="shared" ca="1" si="24"/>
        <v>301.3</v>
      </c>
      <c r="C271" s="185" t="str">
        <f t="shared" si="25"/>
        <v>50020 RESIDENT CARE SUPPLIES : 50022 PHARMACY ITEMS</v>
      </c>
      <c r="D271" s="185" t="str">
        <f t="shared" si="26"/>
        <v>50022 PHARMACY ITEMS</v>
      </c>
      <c r="E271" s="185" t="str">
        <f t="shared" si="27"/>
        <v>50020 RESIDENT CARE SUPPLIES</v>
      </c>
      <c r="G271" s="191" t="s">
        <v>267</v>
      </c>
      <c r="H271" s="192"/>
      <c r="I271" s="192">
        <v>698</v>
      </c>
    </row>
    <row r="272" spans="1:9">
      <c r="A272" s="185" t="s">
        <v>82</v>
      </c>
      <c r="B272" s="186">
        <f t="shared" ca="1" si="24"/>
        <v>301.3</v>
      </c>
      <c r="C272" s="185" t="str">
        <f t="shared" si="25"/>
        <v>50020 RESIDENT CARE SUPPLIES : 50024 MEDICAL SUPPLIES</v>
      </c>
      <c r="D272" s="185" t="str">
        <f t="shared" si="26"/>
        <v>50024 MEDICAL SUPPLIES</v>
      </c>
      <c r="E272" s="185" t="str">
        <f t="shared" si="27"/>
        <v>50020 RESIDENT CARE SUPPLIES</v>
      </c>
      <c r="G272" s="191" t="s">
        <v>268</v>
      </c>
      <c r="H272" s="201"/>
      <c r="I272" s="192">
        <v>9837.17</v>
      </c>
    </row>
    <row r="273" spans="1:9">
      <c r="A273" s="185" t="s">
        <v>82</v>
      </c>
      <c r="B273" s="186">
        <f t="shared" ca="1" si="24"/>
        <v>301.3</v>
      </c>
      <c r="C273" s="185" t="str">
        <f t="shared" si="25"/>
        <v>50020 RESIDENT CARE SUPPLIES : 50020 RESIDENT CARE SUPPLIES OTHER</v>
      </c>
      <c r="D273" s="185" t="str">
        <f t="shared" si="26"/>
        <v>50020 RESIDENT CARE SUPPLIES OTHER</v>
      </c>
      <c r="E273" s="185" t="str">
        <f t="shared" si="27"/>
        <v>50020 RESIDENT CARE SUPPLIES</v>
      </c>
      <c r="G273" s="191" t="s">
        <v>141</v>
      </c>
      <c r="H273" s="201"/>
      <c r="I273" s="192">
        <v>420.82</v>
      </c>
    </row>
    <row r="274" spans="1:9">
      <c r="A274" s="185" t="s">
        <v>82</v>
      </c>
      <c r="B274" s="186">
        <f t="shared" ca="1" si="24"/>
        <v>301.2</v>
      </c>
      <c r="C274" s="185" t="str">
        <f t="shared" si="25"/>
        <v>50020 RESIDENT CARE SUPPLIES : 50030 CONSULTING</v>
      </c>
      <c r="D274" s="185" t="str">
        <f t="shared" si="26"/>
        <v>50030 CONSULTING</v>
      </c>
      <c r="E274" s="185" t="str">
        <f t="shared" si="27"/>
        <v>50020 RESIDENT CARE SUPPLIES</v>
      </c>
      <c r="G274" s="191" t="s">
        <v>142</v>
      </c>
      <c r="H274" s="192"/>
      <c r="I274" s="192">
        <v>2306.5</v>
      </c>
    </row>
    <row r="275" spans="1:9">
      <c r="A275" s="185" t="s">
        <v>82</v>
      </c>
      <c r="B275" s="186">
        <f t="shared" ca="1" si="24"/>
        <v>301.3</v>
      </c>
      <c r="C275" s="185" t="str">
        <f t="shared" si="25"/>
        <v>50020 RESIDENT CARE SUPPLIES : 50000 RESIDENT CARE OTHER</v>
      </c>
      <c r="D275" s="185" t="str">
        <f t="shared" si="26"/>
        <v>50000 RESIDENT CARE OTHER</v>
      </c>
      <c r="E275" s="185" t="str">
        <f t="shared" si="27"/>
        <v>50020 RESIDENT CARE SUPPLIES</v>
      </c>
      <c r="G275" s="191" t="s">
        <v>269</v>
      </c>
      <c r="H275" s="192"/>
      <c r="I275" s="192">
        <v>-20</v>
      </c>
    </row>
    <row r="276" spans="1:9">
      <c r="A276" s="185"/>
      <c r="B276" s="186" t="str">
        <f t="shared" ca="1" si="24"/>
        <v/>
      </c>
      <c r="C276" s="185" t="str">
        <f t="shared" si="25"/>
        <v/>
      </c>
      <c r="D276" s="185" t="str">
        <f t="shared" si="26"/>
        <v/>
      </c>
      <c r="E276" s="185" t="str">
        <f t="shared" si="27"/>
        <v/>
      </c>
      <c r="G276" s="191" t="s">
        <v>143</v>
      </c>
      <c r="H276" s="201"/>
      <c r="I276" s="192">
        <v>1111014.51</v>
      </c>
    </row>
    <row r="277" spans="1:9">
      <c r="A277" s="185" t="str">
        <f t="shared" ref="A277:A288" si="28">IF(AND(LEN(G277)&gt;0,LEN(G276)=0,LEFT(G277,3)&lt;&gt;"TOT"),"GROUP","")</f>
        <v/>
      </c>
      <c r="B277" s="186" t="str">
        <f t="shared" ca="1" si="24"/>
        <v/>
      </c>
      <c r="C277" s="185" t="str">
        <f t="shared" si="25"/>
        <v/>
      </c>
      <c r="D277" s="185" t="str">
        <f t="shared" si="26"/>
        <v/>
      </c>
      <c r="E277" s="185" t="str">
        <f t="shared" si="27"/>
        <v/>
      </c>
      <c r="H277" s="211"/>
      <c r="I277" s="199"/>
    </row>
    <row r="278" spans="1:9">
      <c r="A278" s="185" t="str">
        <f t="shared" si="28"/>
        <v/>
      </c>
      <c r="B278" s="186" t="str">
        <f t="shared" ca="1" si="24"/>
        <v/>
      </c>
      <c r="C278" s="185" t="str">
        <f t="shared" si="25"/>
        <v/>
      </c>
      <c r="D278" s="185" t="str">
        <f t="shared" si="26"/>
        <v/>
      </c>
      <c r="E278" s="185" t="str">
        <f t="shared" si="27"/>
        <v/>
      </c>
      <c r="G278" s="191" t="s">
        <v>99</v>
      </c>
      <c r="H278" s="201"/>
      <c r="I278" s="192"/>
    </row>
    <row r="279" spans="1:9">
      <c r="A279" s="185" t="str">
        <f t="shared" si="28"/>
        <v>GROUP</v>
      </c>
      <c r="B279" s="186"/>
      <c r="C279" s="185" t="str">
        <f t="shared" si="25"/>
        <v/>
      </c>
      <c r="D279" s="185" t="str">
        <f t="shared" si="26"/>
        <v/>
      </c>
      <c r="E279" s="185" t="str">
        <f t="shared" si="27"/>
        <v>50100 RESIDENT DIETARY EXPENSES</v>
      </c>
      <c r="G279" s="191" t="s">
        <v>144</v>
      </c>
      <c r="H279" s="192"/>
      <c r="I279" s="192"/>
    </row>
    <row r="280" spans="1:9">
      <c r="A280" s="185" t="s">
        <v>82</v>
      </c>
      <c r="B280" s="186">
        <f t="shared" ca="1" si="24"/>
        <v>302.3</v>
      </c>
      <c r="C280" s="185" t="str">
        <f t="shared" si="25"/>
        <v>50100 RESIDENT DIETARY EXPENSES : 50170 BULK FOOD PURCHASES</v>
      </c>
      <c r="D280" s="185" t="str">
        <f t="shared" si="26"/>
        <v>50170 BULK FOOD PURCHASES</v>
      </c>
      <c r="E280" s="185" t="str">
        <f t="shared" si="27"/>
        <v>50100 RESIDENT DIETARY EXPENSES</v>
      </c>
      <c r="G280" s="191" t="s">
        <v>270</v>
      </c>
      <c r="H280" s="192"/>
      <c r="I280" s="192">
        <v>146264.38</v>
      </c>
    </row>
    <row r="281" spans="1:9">
      <c r="A281" s="185" t="s">
        <v>82</v>
      </c>
      <c r="B281" s="186">
        <f t="shared" ca="1" si="24"/>
        <v>302.3</v>
      </c>
      <c r="C281" s="185" t="str">
        <f t="shared" si="25"/>
        <v>50100 RESIDENT DIETARY EXPENSES : 50122 COFFEE</v>
      </c>
      <c r="D281" s="185" t="str">
        <f t="shared" si="26"/>
        <v>50122 COFFEE</v>
      </c>
      <c r="E281" s="185" t="str">
        <f t="shared" si="27"/>
        <v>50100 RESIDENT DIETARY EXPENSES</v>
      </c>
      <c r="G281" s="191" t="s">
        <v>271</v>
      </c>
      <c r="H281" s="192"/>
      <c r="I281" s="192">
        <v>448.01</v>
      </c>
    </row>
    <row r="282" spans="1:9">
      <c r="A282" s="185" t="s">
        <v>82</v>
      </c>
      <c r="B282" s="186">
        <f t="shared" ca="1" si="24"/>
        <v>302.3</v>
      </c>
      <c r="C282" s="185" t="str">
        <f t="shared" si="25"/>
        <v>50100 RESIDENT DIETARY EXPENSES : 50102 DAIRY</v>
      </c>
      <c r="D282" s="185" t="str">
        <f t="shared" si="26"/>
        <v>50102 DAIRY</v>
      </c>
      <c r="E282" s="185" t="str">
        <f t="shared" si="27"/>
        <v>50100 RESIDENT DIETARY EXPENSES</v>
      </c>
      <c r="G282" s="191" t="s">
        <v>272</v>
      </c>
      <c r="H282" s="192"/>
      <c r="I282" s="192">
        <v>2768.36</v>
      </c>
    </row>
    <row r="283" spans="1:9">
      <c r="A283" s="185" t="s">
        <v>82</v>
      </c>
      <c r="B283" s="186">
        <f t="shared" ca="1" si="24"/>
        <v>302.3</v>
      </c>
      <c r="C283" s="185" t="str">
        <f t="shared" si="25"/>
        <v>50100 RESIDENT DIETARY EXPENSES : 50130 FOOD SUPPLEMENTS</v>
      </c>
      <c r="D283" s="185" t="str">
        <f t="shared" si="26"/>
        <v>50130 FOOD SUPPLEMENTS</v>
      </c>
      <c r="E283" s="185" t="str">
        <f t="shared" si="27"/>
        <v>50100 RESIDENT DIETARY EXPENSES</v>
      </c>
      <c r="G283" s="191" t="s">
        <v>147</v>
      </c>
      <c r="H283" s="201"/>
      <c r="I283" s="192">
        <v>73.08</v>
      </c>
    </row>
    <row r="284" spans="1:9">
      <c r="A284" s="185" t="s">
        <v>82</v>
      </c>
      <c r="B284" s="186">
        <f t="shared" ca="1" si="24"/>
        <v>302.3</v>
      </c>
      <c r="C284" s="185" t="str">
        <f t="shared" si="25"/>
        <v>50100 RESIDENT DIETARY EXPENSES : 50140 GROCERY ITEMS</v>
      </c>
      <c r="D284" s="185" t="str">
        <f t="shared" si="26"/>
        <v>50140 GROCERY ITEMS</v>
      </c>
      <c r="E284" s="185" t="str">
        <f t="shared" si="27"/>
        <v>50100 RESIDENT DIETARY EXPENSES</v>
      </c>
      <c r="G284" s="191" t="s">
        <v>148</v>
      </c>
      <c r="H284" s="201"/>
      <c r="I284" s="192">
        <v>15662.69</v>
      </c>
    </row>
    <row r="285" spans="1:9">
      <c r="A285" s="185" t="s">
        <v>82</v>
      </c>
      <c r="B285" s="186">
        <f t="shared" ca="1" si="24"/>
        <v>302.3</v>
      </c>
      <c r="C285" s="185" t="str">
        <f t="shared" si="25"/>
        <v>50100 RESIDENT DIETARY EXPENSES : 50100 RESIDENT DIETARY EXPENSES OTHER</v>
      </c>
      <c r="D285" s="185" t="str">
        <f t="shared" si="26"/>
        <v>50100 RESIDENT DIETARY EXPENSES OTHER</v>
      </c>
      <c r="E285" s="185" t="str">
        <f t="shared" si="27"/>
        <v>50100 RESIDENT DIETARY EXPENSES</v>
      </c>
      <c r="G285" s="191" t="s">
        <v>149</v>
      </c>
      <c r="H285" s="192"/>
      <c r="I285" s="192">
        <v>0</v>
      </c>
    </row>
    <row r="286" spans="1:9">
      <c r="A286" s="185" t="str">
        <f t="shared" si="28"/>
        <v/>
      </c>
      <c r="B286" s="186" t="str">
        <f t="shared" ca="1" si="24"/>
        <v/>
      </c>
      <c r="C286" s="185" t="str">
        <f t="shared" si="25"/>
        <v/>
      </c>
      <c r="D286" s="185" t="str">
        <f t="shared" si="26"/>
        <v/>
      </c>
      <c r="E286" s="185" t="str">
        <f t="shared" si="27"/>
        <v/>
      </c>
      <c r="G286" s="191" t="s">
        <v>150</v>
      </c>
      <c r="H286" s="192"/>
      <c r="I286" s="192">
        <v>165216.51999999999</v>
      </c>
    </row>
    <row r="287" spans="1:9">
      <c r="A287" s="185" t="str">
        <f t="shared" si="28"/>
        <v/>
      </c>
      <c r="B287" s="186" t="str">
        <f t="shared" ca="1" si="24"/>
        <v/>
      </c>
      <c r="C287" s="185" t="str">
        <f t="shared" si="25"/>
        <v/>
      </c>
      <c r="D287" s="185" t="str">
        <f t="shared" si="26"/>
        <v/>
      </c>
      <c r="E287" s="185" t="str">
        <f t="shared" si="27"/>
        <v/>
      </c>
      <c r="G287" s="191" t="s">
        <v>99</v>
      </c>
      <c r="H287" s="192"/>
      <c r="I287" s="192"/>
    </row>
    <row r="288" spans="1:9">
      <c r="A288" s="185" t="str">
        <f t="shared" si="28"/>
        <v>GROUP</v>
      </c>
      <c r="B288" s="186"/>
      <c r="C288" s="185" t="str">
        <f t="shared" si="25"/>
        <v/>
      </c>
      <c r="D288" s="185" t="str">
        <f t="shared" si="26"/>
        <v/>
      </c>
      <c r="E288" s="185" t="str">
        <f t="shared" si="27"/>
        <v>50400 RESIDENT RECREATION EXPENSE</v>
      </c>
      <c r="G288" s="191" t="s">
        <v>151</v>
      </c>
      <c r="H288" s="192"/>
      <c r="I288" s="192"/>
    </row>
    <row r="289" spans="1:9">
      <c r="A289" s="185" t="s">
        <v>82</v>
      </c>
      <c r="B289" s="186">
        <f t="shared" ca="1" si="24"/>
        <v>309</v>
      </c>
      <c r="C289" s="185" t="str">
        <f t="shared" si="25"/>
        <v>50400 RESIDENT RECREATION EXPENSE : 50415 W/C ACTIVITIES</v>
      </c>
      <c r="D289" s="185" t="str">
        <f t="shared" si="26"/>
        <v>50415 W/C ACTIVITIES</v>
      </c>
      <c r="E289" s="185" t="str">
        <f t="shared" si="27"/>
        <v>50400 RESIDENT RECREATION EXPENSE</v>
      </c>
      <c r="G289" s="191" t="s">
        <v>273</v>
      </c>
      <c r="H289" s="201"/>
      <c r="I289" s="192">
        <v>480</v>
      </c>
    </row>
    <row r="290" spans="1:9">
      <c r="A290" s="185" t="s">
        <v>82</v>
      </c>
      <c r="B290" s="186">
        <f t="shared" ca="1" si="24"/>
        <v>308</v>
      </c>
      <c r="C290" s="185" t="str">
        <f t="shared" si="25"/>
        <v>50400 RESIDENT RECREATION EXPENSE : 50414 EMP BENES ACTIVITIES</v>
      </c>
      <c r="D290" s="185" t="str">
        <f t="shared" si="26"/>
        <v>50414 EMP BENES ACTIVITIES</v>
      </c>
      <c r="E290" s="185" t="str">
        <f t="shared" si="27"/>
        <v>50400 RESIDENT RECREATION EXPENSE</v>
      </c>
      <c r="G290" s="191" t="s">
        <v>274</v>
      </c>
      <c r="H290" s="201"/>
      <c r="I290" s="192">
        <v>776.57</v>
      </c>
    </row>
    <row r="291" spans="1:9">
      <c r="A291" s="185" t="s">
        <v>82</v>
      </c>
      <c r="B291" s="186">
        <f t="shared" ca="1" si="24"/>
        <v>307</v>
      </c>
      <c r="C291" s="185" t="str">
        <f t="shared" si="25"/>
        <v>50400 RESIDENT RECREATION EXPENSE : 50412 PAYROLL TAX ACTIVITIES</v>
      </c>
      <c r="D291" s="185" t="str">
        <f t="shared" si="26"/>
        <v>50412 PAYROLL TAX ACTIVITIES</v>
      </c>
      <c r="E291" s="185" t="str">
        <f t="shared" si="27"/>
        <v>50400 RESIDENT RECREATION EXPENSE</v>
      </c>
      <c r="G291" s="191" t="s">
        <v>154</v>
      </c>
      <c r="H291" s="192"/>
      <c r="I291" s="192">
        <v>2444.64</v>
      </c>
    </row>
    <row r="292" spans="1:9">
      <c r="A292" s="185" t="s">
        <v>82</v>
      </c>
      <c r="B292" s="186">
        <f t="shared" ca="1" si="24"/>
        <v>303.10000000000002</v>
      </c>
      <c r="C292" s="185" t="str">
        <f t="shared" si="25"/>
        <v>50400 RESIDENT RECREATION EXPENSE : 50410 RECREATION SUPERISOR SALARY</v>
      </c>
      <c r="D292" s="185" t="str">
        <f t="shared" si="26"/>
        <v>50410 RECREATION SUPERISOR SALARY</v>
      </c>
      <c r="E292" s="185" t="str">
        <f t="shared" si="27"/>
        <v>50400 RESIDENT RECREATION EXPENSE</v>
      </c>
      <c r="G292" s="191" t="s">
        <v>275</v>
      </c>
      <c r="H292" s="192"/>
      <c r="I292" s="192">
        <v>30702.720000000001</v>
      </c>
    </row>
    <row r="293" spans="1:9">
      <c r="A293" s="185" t="s">
        <v>82</v>
      </c>
      <c r="B293" s="186">
        <f t="shared" ca="1" si="24"/>
        <v>303.3</v>
      </c>
      <c r="C293" s="185" t="str">
        <f t="shared" si="25"/>
        <v>50400 RESIDENT RECREATION EXPENSE : 50420 ENTERTAINMENT</v>
      </c>
      <c r="D293" s="185" t="str">
        <f t="shared" si="26"/>
        <v>50420 ENTERTAINMENT</v>
      </c>
      <c r="E293" s="185" t="str">
        <f t="shared" si="27"/>
        <v>50400 RESIDENT RECREATION EXPENSE</v>
      </c>
      <c r="G293" s="191" t="s">
        <v>156</v>
      </c>
      <c r="H293" s="192"/>
      <c r="I293" s="192">
        <v>3332.98</v>
      </c>
    </row>
    <row r="294" spans="1:9">
      <c r="A294" s="185" t="s">
        <v>82</v>
      </c>
      <c r="B294" s="186">
        <f t="shared" ca="1" si="24"/>
        <v>303.3</v>
      </c>
      <c r="C294" s="185" t="str">
        <f t="shared" si="25"/>
        <v>50400 RESIDENT RECREATION EXPENSE : 50435 HOLIDAY EVENTS</v>
      </c>
      <c r="D294" s="185" t="str">
        <f t="shared" si="26"/>
        <v>50435 HOLIDAY EVENTS</v>
      </c>
      <c r="E294" s="185" t="str">
        <f t="shared" si="27"/>
        <v>50400 RESIDENT RECREATION EXPENSE</v>
      </c>
      <c r="G294" s="191" t="s">
        <v>276</v>
      </c>
      <c r="H294" s="192"/>
      <c r="I294" s="192">
        <v>50</v>
      </c>
    </row>
    <row r="295" spans="1:9">
      <c r="A295" s="185" t="s">
        <v>82</v>
      </c>
      <c r="B295" s="186">
        <f t="shared" ca="1" si="24"/>
        <v>303.3</v>
      </c>
      <c r="C295" s="185" t="str">
        <f t="shared" si="25"/>
        <v>50400 RESIDENT RECREATION EXPENSE : 5040 OFFSITE ACTIVITIES</v>
      </c>
      <c r="D295" s="185" t="str">
        <f t="shared" si="26"/>
        <v>5040 OFFSITE ACTIVITIES</v>
      </c>
      <c r="E295" s="185" t="str">
        <f t="shared" si="27"/>
        <v>50400 RESIDENT RECREATION EXPENSE</v>
      </c>
      <c r="G295" s="191" t="s">
        <v>277</v>
      </c>
      <c r="H295" s="201"/>
      <c r="I295" s="192">
        <v>5334.98</v>
      </c>
    </row>
    <row r="296" spans="1:9">
      <c r="A296" s="185" t="s">
        <v>82</v>
      </c>
      <c r="B296" s="186">
        <f t="shared" ca="1" si="24"/>
        <v>303.3</v>
      </c>
      <c r="C296" s="185" t="str">
        <f t="shared" si="25"/>
        <v>50400 RESIDENT RECREATION EXPENSE : 50480 RECREATION SUPPLIES</v>
      </c>
      <c r="D296" s="185" t="str">
        <f t="shared" si="26"/>
        <v>50480 RECREATION SUPPLIES</v>
      </c>
      <c r="E296" s="185" t="str">
        <f t="shared" si="27"/>
        <v>50400 RESIDENT RECREATION EXPENSE</v>
      </c>
      <c r="G296" s="191" t="s">
        <v>159</v>
      </c>
      <c r="H296" s="201"/>
      <c r="I296" s="192">
        <v>2473.7399999999998</v>
      </c>
    </row>
    <row r="297" spans="1:9">
      <c r="A297" s="185" t="s">
        <v>82</v>
      </c>
      <c r="B297" s="186">
        <f t="shared" ca="1" si="24"/>
        <v>301.2</v>
      </c>
      <c r="C297" s="185" t="str">
        <f t="shared" si="25"/>
        <v>50400 RESIDENT RECREATION EXPENSE : 50800 BEAUTICIAN</v>
      </c>
      <c r="D297" s="185" t="str">
        <f t="shared" si="26"/>
        <v>50800 BEAUTICIAN</v>
      </c>
      <c r="E297" s="185" t="str">
        <f t="shared" si="27"/>
        <v>50400 RESIDENT RECREATION EXPENSE</v>
      </c>
      <c r="G297" s="191" t="s">
        <v>168</v>
      </c>
      <c r="H297" s="201"/>
      <c r="I297" s="192">
        <v>7070.8</v>
      </c>
    </row>
    <row r="298" spans="1:9">
      <c r="A298" s="185" t="str">
        <f t="shared" ref="A298:A314" si="29">IF(AND(LEN(G298)&gt;0,LEN(G297)=0,LEFT(G298,3)&lt;&gt;"TOT"),"GROUP","")</f>
        <v/>
      </c>
      <c r="B298" s="186" t="str">
        <f t="shared" ca="1" si="24"/>
        <v/>
      </c>
      <c r="C298" s="185" t="str">
        <f t="shared" si="25"/>
        <v/>
      </c>
      <c r="D298" s="185" t="str">
        <f t="shared" si="26"/>
        <v/>
      </c>
      <c r="E298" s="185" t="str">
        <f t="shared" si="27"/>
        <v/>
      </c>
      <c r="G298" s="191" t="s">
        <v>160</v>
      </c>
      <c r="H298" s="192"/>
      <c r="I298" s="192">
        <v>45595.63</v>
      </c>
    </row>
    <row r="299" spans="1:9">
      <c r="A299" s="185" t="str">
        <f t="shared" si="29"/>
        <v/>
      </c>
      <c r="B299" s="186" t="str">
        <f t="shared" ca="1" si="24"/>
        <v/>
      </c>
      <c r="C299" s="185" t="str">
        <f t="shared" si="25"/>
        <v/>
      </c>
      <c r="D299" s="185" t="str">
        <f t="shared" si="26"/>
        <v/>
      </c>
      <c r="E299" s="185" t="str">
        <f t="shared" si="27"/>
        <v/>
      </c>
      <c r="H299" s="211"/>
      <c r="I299" s="199"/>
    </row>
    <row r="300" spans="1:9">
      <c r="A300" s="185" t="str">
        <f t="shared" si="29"/>
        <v/>
      </c>
      <c r="B300" s="186" t="str">
        <f t="shared" ca="1" si="24"/>
        <v/>
      </c>
      <c r="C300" s="185" t="str">
        <f t="shared" si="25"/>
        <v/>
      </c>
      <c r="D300" s="185" t="str">
        <f t="shared" si="26"/>
        <v/>
      </c>
      <c r="E300" s="185" t="str">
        <f t="shared" si="27"/>
        <v/>
      </c>
      <c r="G300" s="191" t="s">
        <v>99</v>
      </c>
      <c r="H300" s="192"/>
      <c r="I300" s="192"/>
    </row>
    <row r="301" spans="1:9">
      <c r="A301" s="185" t="str">
        <f t="shared" si="29"/>
        <v>GROUP</v>
      </c>
      <c r="B301" s="186"/>
      <c r="C301" s="185" t="str">
        <f t="shared" si="25"/>
        <v/>
      </c>
      <c r="D301" s="185" t="str">
        <f t="shared" si="26"/>
        <v/>
      </c>
      <c r="E301" s="185" t="str">
        <f t="shared" si="27"/>
        <v>50600 RESIDENT HOUSEKEEPING &amp; LAUNDRY</v>
      </c>
      <c r="G301" s="191" t="s">
        <v>278</v>
      </c>
      <c r="H301" s="192"/>
      <c r="I301" s="192"/>
    </row>
    <row r="302" spans="1:9">
      <c r="A302" s="185" t="s">
        <v>82</v>
      </c>
      <c r="B302" s="186">
        <f t="shared" ca="1" si="24"/>
        <v>309</v>
      </c>
      <c r="C302" s="185" t="str">
        <f t="shared" si="25"/>
        <v>50600 RESIDENT HOUSEKEEPING &amp; LAUNDRY : 50611 W/C HSKPG &amp; LAUNDRY</v>
      </c>
      <c r="D302" s="185" t="str">
        <f t="shared" si="26"/>
        <v>50611 W/C HSKPG &amp; LAUNDRY</v>
      </c>
      <c r="E302" s="185" t="str">
        <f t="shared" si="27"/>
        <v>50600 RESIDENT HOUSEKEEPING &amp; LAUNDRY</v>
      </c>
      <c r="G302" s="191" t="s">
        <v>279</v>
      </c>
      <c r="H302" s="192"/>
      <c r="I302" s="192">
        <v>497</v>
      </c>
    </row>
    <row r="303" spans="1:9">
      <c r="A303" s="185" t="s">
        <v>82</v>
      </c>
      <c r="B303" s="186">
        <f t="shared" ca="1" si="24"/>
        <v>308</v>
      </c>
      <c r="C303" s="185" t="str">
        <f t="shared" si="25"/>
        <v>50600 RESIDENT HOUSEKEEPING &amp; LAUNDRY : 50614 EMP BENES HSKPG LAURND</v>
      </c>
      <c r="D303" s="185" t="str">
        <f t="shared" si="26"/>
        <v>50614 EMP BENES HSKPG LAURND</v>
      </c>
      <c r="E303" s="185" t="str">
        <f t="shared" si="27"/>
        <v>50600 RESIDENT HOUSEKEEPING &amp; LAUNDRY</v>
      </c>
      <c r="G303" s="191" t="s">
        <v>163</v>
      </c>
      <c r="H303" s="201"/>
      <c r="I303" s="192">
        <v>638.12</v>
      </c>
    </row>
    <row r="304" spans="1:9">
      <c r="A304" s="185" t="s">
        <v>82</v>
      </c>
      <c r="B304" s="186">
        <f t="shared" ca="1" si="24"/>
        <v>307</v>
      </c>
      <c r="C304" s="185" t="str">
        <f t="shared" si="25"/>
        <v>50600 RESIDENT HOUSEKEEPING &amp; LAUNDRY : 50612 PAYROLL TAX HSKPG LAURND</v>
      </c>
      <c r="D304" s="185" t="str">
        <f t="shared" si="26"/>
        <v>50612 PAYROLL TAX HSKPG LAURND</v>
      </c>
      <c r="E304" s="185" t="str">
        <f t="shared" si="27"/>
        <v>50600 RESIDENT HOUSEKEEPING &amp; LAUNDRY</v>
      </c>
      <c r="G304" s="191" t="s">
        <v>280</v>
      </c>
      <c r="H304" s="201"/>
      <c r="I304" s="192">
        <v>2506.8000000000002</v>
      </c>
    </row>
    <row r="305" spans="1:9">
      <c r="A305" s="185" t="s">
        <v>82</v>
      </c>
      <c r="B305" s="186">
        <f t="shared" ca="1" si="24"/>
        <v>304.10000000000002</v>
      </c>
      <c r="C305" s="185" t="str">
        <f t="shared" si="25"/>
        <v>50600 RESIDENT HOUSEKEEPING &amp; LAUNDRY : 50610 HOUSEKEEPING LAUNDRY SALARY</v>
      </c>
      <c r="D305" s="185" t="str">
        <f t="shared" si="26"/>
        <v>50610 HOUSEKEEPING LAUNDRY SALARY</v>
      </c>
      <c r="E305" s="185" t="str">
        <f t="shared" si="27"/>
        <v>50600 RESIDENT HOUSEKEEPING &amp; LAUNDRY</v>
      </c>
      <c r="G305" s="191" t="s">
        <v>281</v>
      </c>
      <c r="H305" s="192"/>
      <c r="I305" s="192">
        <v>31749.43</v>
      </c>
    </row>
    <row r="306" spans="1:9">
      <c r="A306" s="185" t="s">
        <v>82</v>
      </c>
      <c r="B306" s="186">
        <f t="shared" ca="1" si="24"/>
        <v>304.3</v>
      </c>
      <c r="C306" s="185" t="str">
        <f t="shared" si="25"/>
        <v>50600 RESIDENT HOUSEKEEPING &amp; LAUNDRY : 50680 HOUSEKEEPING SUPPLIES</v>
      </c>
      <c r="D306" s="185" t="str">
        <f t="shared" si="26"/>
        <v>50680 HOUSEKEEPING SUPPLIES</v>
      </c>
      <c r="E306" s="185" t="str">
        <f t="shared" si="27"/>
        <v>50600 RESIDENT HOUSEKEEPING &amp; LAUNDRY</v>
      </c>
      <c r="G306" s="191" t="s">
        <v>166</v>
      </c>
      <c r="H306" s="192"/>
      <c r="I306" s="192">
        <v>15344.66</v>
      </c>
    </row>
    <row r="307" spans="1:9">
      <c r="A307" s="185"/>
      <c r="B307" s="186" t="str">
        <f t="shared" ca="1" si="24"/>
        <v/>
      </c>
      <c r="C307" s="185" t="str">
        <f t="shared" si="25"/>
        <v/>
      </c>
      <c r="D307" s="185" t="str">
        <f t="shared" si="26"/>
        <v/>
      </c>
      <c r="E307" s="185" t="str">
        <f t="shared" si="27"/>
        <v/>
      </c>
      <c r="G307" s="191" t="s">
        <v>167</v>
      </c>
      <c r="H307" s="192"/>
      <c r="I307" s="192">
        <v>50736.01</v>
      </c>
    </row>
    <row r="308" spans="1:9">
      <c r="A308" s="185" t="str">
        <f t="shared" si="29"/>
        <v/>
      </c>
      <c r="B308" s="186" t="str">
        <f t="shared" ca="1" si="24"/>
        <v/>
      </c>
      <c r="C308" s="185" t="str">
        <f t="shared" si="25"/>
        <v/>
      </c>
      <c r="D308" s="185" t="str">
        <f t="shared" si="26"/>
        <v/>
      </c>
      <c r="E308" s="185" t="str">
        <f t="shared" si="27"/>
        <v/>
      </c>
      <c r="G308" s="191" t="s">
        <v>99</v>
      </c>
      <c r="H308" s="192"/>
      <c r="I308" s="192"/>
    </row>
    <row r="309" spans="1:9">
      <c r="A309" s="185" t="str">
        <f t="shared" si="29"/>
        <v/>
      </c>
      <c r="B309" s="186" t="str">
        <f t="shared" ca="1" si="24"/>
        <v/>
      </c>
      <c r="C309" s="185" t="str">
        <f t="shared" si="25"/>
        <v/>
      </c>
      <c r="D309" s="185" t="str">
        <f t="shared" si="26"/>
        <v/>
      </c>
      <c r="E309" s="185" t="str">
        <f t="shared" si="27"/>
        <v/>
      </c>
      <c r="G309" s="191" t="s">
        <v>99</v>
      </c>
      <c r="H309" s="201"/>
      <c r="I309" s="192"/>
    </row>
    <row r="310" spans="1:9">
      <c r="A310" s="185" t="str">
        <f t="shared" si="29"/>
        <v>GROUP</v>
      </c>
      <c r="B310" s="186"/>
      <c r="C310" s="185" t="str">
        <f t="shared" si="25"/>
        <v/>
      </c>
      <c r="D310" s="185" t="str">
        <f t="shared" si="26"/>
        <v/>
      </c>
      <c r="E310" s="185" t="str">
        <f t="shared" si="27"/>
        <v>52000 INSURANCE</v>
      </c>
      <c r="G310" s="191" t="s">
        <v>169</v>
      </c>
      <c r="H310" s="192"/>
      <c r="I310" s="192"/>
    </row>
    <row r="311" spans="1:9">
      <c r="A311" s="185" t="s">
        <v>82</v>
      </c>
      <c r="B311" s="186">
        <f t="shared" ca="1" si="24"/>
        <v>310</v>
      </c>
      <c r="C311" s="185" t="str">
        <f t="shared" si="25"/>
        <v>52000 INSURANCE : 52100 LIABILITY</v>
      </c>
      <c r="D311" s="185" t="str">
        <f t="shared" si="26"/>
        <v>52100 LIABILITY</v>
      </c>
      <c r="E311" s="185" t="str">
        <f t="shared" si="27"/>
        <v>52000 INSURANCE</v>
      </c>
      <c r="G311" s="191" t="s">
        <v>170</v>
      </c>
      <c r="H311" s="192"/>
      <c r="I311" s="192">
        <v>33298.31</v>
      </c>
    </row>
    <row r="312" spans="1:9">
      <c r="A312" s="185" t="s">
        <v>82</v>
      </c>
      <c r="B312" s="186">
        <f t="shared" ca="1" si="24"/>
        <v>310</v>
      </c>
      <c r="C312" s="185" t="str">
        <f t="shared" si="25"/>
        <v>52000 INSURANCE : 52300 PROPERTY INSURANCE</v>
      </c>
      <c r="D312" s="185" t="str">
        <f t="shared" si="26"/>
        <v>52300 PROPERTY INSURANCE</v>
      </c>
      <c r="E312" s="185" t="str">
        <f t="shared" si="27"/>
        <v>52000 INSURANCE</v>
      </c>
      <c r="G312" s="191" t="s">
        <v>282</v>
      </c>
      <c r="H312" s="192"/>
      <c r="I312" s="192">
        <v>5560.63</v>
      </c>
    </row>
    <row r="313" spans="1:9">
      <c r="A313" s="185" t="str">
        <f t="shared" si="29"/>
        <v/>
      </c>
      <c r="B313" s="186" t="str">
        <f t="shared" ca="1" si="24"/>
        <v/>
      </c>
      <c r="C313" s="185" t="str">
        <f t="shared" si="25"/>
        <v/>
      </c>
      <c r="D313" s="185" t="str">
        <f t="shared" si="26"/>
        <v/>
      </c>
      <c r="E313" s="185" t="str">
        <f t="shared" si="27"/>
        <v/>
      </c>
      <c r="G313" s="191" t="s">
        <v>172</v>
      </c>
      <c r="H313" s="192"/>
      <c r="I313" s="192">
        <v>38858.94</v>
      </c>
    </row>
    <row r="314" spans="1:9">
      <c r="A314" s="185" t="str">
        <f t="shared" si="29"/>
        <v/>
      </c>
      <c r="B314" s="186" t="str">
        <f t="shared" ca="1" si="24"/>
        <v/>
      </c>
      <c r="C314" s="185" t="str">
        <f t="shared" si="25"/>
        <v/>
      </c>
      <c r="D314" s="185" t="str">
        <f t="shared" si="26"/>
        <v/>
      </c>
      <c r="E314" s="185" t="str">
        <f t="shared" si="27"/>
        <v/>
      </c>
      <c r="G314" s="191" t="s">
        <v>99</v>
      </c>
      <c r="H314" s="201"/>
      <c r="I314" s="192"/>
    </row>
    <row r="315" spans="1:9">
      <c r="A315" s="185" t="str">
        <f>IF(AND(LEN(G315)&gt;0,LEN(G314)=0,LEFT(G315,3)&lt;&gt;"TOT"),"GROUP","")</f>
        <v/>
      </c>
      <c r="B315" s="186" t="str">
        <f t="shared" ref="B315:B325" ca="1" si="30">IF(LEN(A315)=0,"",IFERROR(VLOOKUP(C315,INDIRECT(A315&amp;"_LOOKUP"),2,FALSE),"-100"))</f>
        <v/>
      </c>
      <c r="C315" s="185" t="str">
        <f t="shared" ref="C315:C322" si="31">IF(LEN(D315)&gt;0,TRIM(E315&amp;" : "&amp;D315),"")</f>
        <v/>
      </c>
      <c r="D315" s="185" t="str">
        <f t="shared" ref="D315:D322" si="32">IFERROR(IF(AND(LEN(A315)&gt;0,A315&lt;&gt;"GROUP"),UPPER(G315),""),"")</f>
        <v/>
      </c>
      <c r="E315" s="185" t="str">
        <f t="shared" ref="E315:E322" si="33">IFERROR(IF(A315="GROUP",UPPER(G315),IF(AND(LEN(A315)&gt;0,A315&lt;&gt;"GROUP"),UPPER(E314),"")),"")</f>
        <v/>
      </c>
      <c r="G315" s="191" t="s">
        <v>99</v>
      </c>
      <c r="H315" s="192"/>
      <c r="I315" s="192"/>
    </row>
    <row r="316" spans="1:9">
      <c r="A316" s="185" t="str">
        <f>IF(AND(LEN(G316)&gt;0,LEN(G315)=0,LEFT(G316,3)&lt;&gt;"TOT"),"GROUP","")</f>
        <v>GROUP</v>
      </c>
      <c r="B316" s="186"/>
      <c r="C316" s="185" t="str">
        <f t="shared" si="31"/>
        <v/>
      </c>
      <c r="D316" s="185" t="str">
        <f t="shared" si="32"/>
        <v/>
      </c>
      <c r="E316" s="185" t="str">
        <f t="shared" si="33"/>
        <v>55000 FACILITY MAINTENANCE</v>
      </c>
      <c r="G316" s="191" t="s">
        <v>283</v>
      </c>
      <c r="H316" s="192"/>
      <c r="I316" s="192"/>
    </row>
    <row r="317" spans="1:9">
      <c r="A317" s="185" t="s">
        <v>82</v>
      </c>
      <c r="B317" s="186">
        <f t="shared" ca="1" si="30"/>
        <v>309</v>
      </c>
      <c r="C317" s="185" t="str">
        <f t="shared" si="31"/>
        <v>55000 FACILITY MAINTENANCE : 55016 W/C PLANT</v>
      </c>
      <c r="D317" s="185" t="str">
        <f t="shared" si="32"/>
        <v>55016 W/C PLANT</v>
      </c>
      <c r="E317" s="185" t="str">
        <f t="shared" si="33"/>
        <v>55000 FACILITY MAINTENANCE</v>
      </c>
      <c r="G317" s="191" t="s">
        <v>174</v>
      </c>
      <c r="H317" s="192"/>
      <c r="I317" s="192">
        <v>994</v>
      </c>
    </row>
    <row r="318" spans="1:9">
      <c r="A318" s="185" t="s">
        <v>82</v>
      </c>
      <c r="B318" s="186">
        <f t="shared" ca="1" si="30"/>
        <v>308</v>
      </c>
      <c r="C318" s="185" t="str">
        <f t="shared" si="31"/>
        <v>55000 FACILITY MAINTENANCE : 55014 EMP BENES PLANT</v>
      </c>
      <c r="D318" s="185" t="str">
        <f t="shared" si="32"/>
        <v>55014 EMP BENES PLANT</v>
      </c>
      <c r="E318" s="185" t="str">
        <f t="shared" si="33"/>
        <v>55000 FACILITY MAINTENANCE</v>
      </c>
      <c r="G318" s="191" t="s">
        <v>175</v>
      </c>
      <c r="H318" s="192"/>
      <c r="I318" s="192">
        <v>1801.58</v>
      </c>
    </row>
    <row r="319" spans="1:9">
      <c r="A319" s="185" t="s">
        <v>82</v>
      </c>
      <c r="B319" s="186">
        <f t="shared" ca="1" si="30"/>
        <v>307</v>
      </c>
      <c r="C319" s="185" t="str">
        <f t="shared" si="31"/>
        <v>55000 FACILITY MAINTENANCE : 55012 PAYROLL TAX PLANT</v>
      </c>
      <c r="D319" s="185" t="str">
        <f t="shared" si="32"/>
        <v>55012 PAYROLL TAX PLANT</v>
      </c>
      <c r="E319" s="185" t="str">
        <f t="shared" si="33"/>
        <v>55000 FACILITY MAINTENANCE</v>
      </c>
      <c r="G319" s="191" t="s">
        <v>176</v>
      </c>
      <c r="H319" s="201"/>
      <c r="I319" s="192">
        <v>5275.24</v>
      </c>
    </row>
    <row r="320" spans="1:9">
      <c r="A320" s="185" t="s">
        <v>82</v>
      </c>
      <c r="B320" s="186">
        <f t="shared" ca="1" si="30"/>
        <v>312.10000000000002</v>
      </c>
      <c r="C320" s="185" t="str">
        <f t="shared" si="31"/>
        <v>55000 FACILITY MAINTENANCE : 55010 MAINTENANCE SALARIES</v>
      </c>
      <c r="D320" s="185" t="str">
        <f t="shared" si="32"/>
        <v>55010 MAINTENANCE SALARIES</v>
      </c>
      <c r="E320" s="185" t="str">
        <f t="shared" si="33"/>
        <v>55000 FACILITY MAINTENANCE</v>
      </c>
      <c r="G320" s="191" t="s">
        <v>177</v>
      </c>
      <c r="H320" s="201"/>
      <c r="I320" s="192">
        <v>58233.64</v>
      </c>
    </row>
    <row r="321" spans="1:9">
      <c r="A321" s="185" t="s">
        <v>82</v>
      </c>
      <c r="B321" s="186">
        <f t="shared" ca="1" si="30"/>
        <v>312.3</v>
      </c>
      <c r="C321" s="185" t="str">
        <f t="shared" si="31"/>
        <v>55000 FACILITY MAINTENANCE : 55040 INSPECTIONS &amp; CERTIFICATIONS</v>
      </c>
      <c r="D321" s="185" t="str">
        <f t="shared" si="32"/>
        <v>55040 INSPECTIONS &amp; CERTIFICATIONS</v>
      </c>
      <c r="E321" s="185" t="str">
        <f t="shared" si="33"/>
        <v>55000 FACILITY MAINTENANCE</v>
      </c>
      <c r="G321" s="191" t="s">
        <v>284</v>
      </c>
      <c r="H321" s="192"/>
      <c r="I321" s="192">
        <v>272</v>
      </c>
    </row>
    <row r="322" spans="1:9">
      <c r="A322" s="185" t="s">
        <v>82</v>
      </c>
      <c r="B322" s="186">
        <f t="shared" ca="1" si="30"/>
        <v>992</v>
      </c>
      <c r="C322" s="185" t="str">
        <f t="shared" si="31"/>
        <v>55000 FACILITY MAINTENANCE : 54000 RENT</v>
      </c>
      <c r="D322" s="185" t="str">
        <f t="shared" si="32"/>
        <v>54000 RENT</v>
      </c>
      <c r="E322" s="185" t="str">
        <f t="shared" si="33"/>
        <v>55000 FACILITY MAINTENANCE</v>
      </c>
      <c r="G322" s="191" t="s">
        <v>173</v>
      </c>
      <c r="H322" s="201"/>
      <c r="I322" s="192">
        <v>766840.92</v>
      </c>
    </row>
    <row r="323" spans="1:9">
      <c r="A323" s="185" t="s">
        <v>82</v>
      </c>
      <c r="B323" s="186">
        <f t="shared" ca="1" si="30"/>
        <v>312.3</v>
      </c>
      <c r="C323" s="185" t="str">
        <f t="shared" ref="C323" si="34">IF(LEN(D323)&gt;0,TRIM(E323&amp;" : "&amp;D323),"")</f>
        <v>55000 FACILITY MAINTENANCE : 55200 MAINTENANCE SUPPLIES</v>
      </c>
      <c r="D323" s="185" t="str">
        <f t="shared" ref="D323" si="35">IFERROR(IF(AND(LEN(A323)&gt;0,A323&lt;&gt;"GROUP"),UPPER(G323),""),"")</f>
        <v>55200 MAINTENANCE SUPPLIES</v>
      </c>
      <c r="E323" s="185" t="str">
        <f t="shared" ref="E323" si="36">IFERROR(IF(A323="GROUP",UPPER(G323),IF(AND(LEN(A323)&gt;0,A323&lt;&gt;"GROUP"),UPPER(E322),"")),"")</f>
        <v>55000 FACILITY MAINTENANCE</v>
      </c>
      <c r="G323" s="191" t="s">
        <v>184</v>
      </c>
      <c r="H323" s="201"/>
      <c r="I323" s="192">
        <v>44452.66</v>
      </c>
    </row>
    <row r="324" spans="1:9">
      <c r="A324" s="185" t="s">
        <v>82</v>
      </c>
      <c r="B324" s="186">
        <f t="shared" ca="1" si="30"/>
        <v>312.3</v>
      </c>
      <c r="C324" s="185" t="str">
        <f t="shared" ref="C324:C325" si="37">IF(LEN(D324)&gt;0,TRIM(E324&amp;" : "&amp;D324),"")</f>
        <v>55000 FACILITY MAINTENANCE : 55300 REPAIRS AND SERVICE</v>
      </c>
      <c r="D324" s="185" t="str">
        <f t="shared" ref="D324:D325" si="38">IFERROR(IF(AND(LEN(A324)&gt;0,A324&lt;&gt;"GROUP"),UPPER(G324),""),"")</f>
        <v>55300 REPAIRS AND SERVICE</v>
      </c>
      <c r="E324" s="185" t="str">
        <f t="shared" ref="E324:E325" si="39">IFERROR(IF(A324="GROUP",UPPER(G324),IF(AND(LEN(A324)&gt;0,A324&lt;&gt;"GROUP"),UPPER(E323),"")),"")</f>
        <v>55000 FACILITY MAINTENANCE</v>
      </c>
      <c r="G324" s="191" t="s">
        <v>185</v>
      </c>
      <c r="H324" s="201"/>
      <c r="I324" s="192">
        <v>11392.09</v>
      </c>
    </row>
    <row r="325" spans="1:9">
      <c r="A325" s="185" t="s">
        <v>82</v>
      </c>
      <c r="B325" s="186">
        <f t="shared" ca="1" si="30"/>
        <v>312.3</v>
      </c>
      <c r="C325" s="185" t="str">
        <f t="shared" si="37"/>
        <v>55000 FACILITY MAINTENANCE : 55600 TRASH REMOVAL</v>
      </c>
      <c r="D325" s="185" t="str">
        <f t="shared" si="38"/>
        <v>55600 TRASH REMOVAL</v>
      </c>
      <c r="E325" s="185" t="str">
        <f t="shared" si="39"/>
        <v>55000 FACILITY MAINTENANCE</v>
      </c>
      <c r="G325" s="191" t="s">
        <v>186</v>
      </c>
      <c r="H325" s="201"/>
      <c r="I325" s="192">
        <v>16356.14</v>
      </c>
    </row>
    <row r="326" spans="1:9">
      <c r="A326" s="185"/>
      <c r="B326" s="186"/>
      <c r="C326" s="185"/>
      <c r="D326" s="185"/>
      <c r="E326" s="185"/>
      <c r="G326" s="191" t="s">
        <v>188</v>
      </c>
      <c r="H326" s="201"/>
      <c r="I326" s="192">
        <v>170159.07</v>
      </c>
    </row>
    <row r="327" spans="1:9">
      <c r="A327" s="185"/>
      <c r="B327" s="186"/>
      <c r="C327" s="185"/>
      <c r="D327" s="185"/>
      <c r="E327" s="185"/>
      <c r="G327" s="191"/>
      <c r="H327" s="201"/>
      <c r="I327" s="192"/>
    </row>
    <row r="328" spans="1:9">
      <c r="A328" s="185"/>
      <c r="B328" s="186"/>
      <c r="C328" s="185"/>
      <c r="D328" s="185"/>
      <c r="E328" s="185"/>
      <c r="G328" s="191"/>
      <c r="H328" s="201"/>
      <c r="I328" s="192"/>
    </row>
    <row r="329" spans="1:9">
      <c r="A329" s="185" t="str">
        <f>IF(AND(LEN(G329)&gt;0,LEN(G322)=0,LEFT(G329,3)&lt;&gt;"TOT"),"GROUP","")</f>
        <v/>
      </c>
      <c r="B329" s="186" t="str">
        <f ca="1">IF(LEN(A329)=0,"",IFERROR(VLOOKUP(C329,INDIRECT(A329&amp;"_LOOKUP"),2,FALSE),"-100"))</f>
        <v/>
      </c>
      <c r="C329" s="185" t="str">
        <f>IF(LEN(D329)&gt;0,TRIM(E329&amp;" : "&amp;D329),"")</f>
        <v/>
      </c>
      <c r="D329" s="185" t="str">
        <f>IFERROR(IF(AND(LEN(A329)&gt;0,A329&lt;&gt;"GROUP"),UPPER(G329),""),"")</f>
        <v/>
      </c>
      <c r="E329" s="185" t="str">
        <f>IFERROR(IF(A329="GROUP",UPPER(G329),IF(AND(LEN(A329)&gt;0,A329&lt;&gt;"GROUP"),UPPER(E322),"")),"")</f>
        <v/>
      </c>
      <c r="G329" s="191" t="s">
        <v>99</v>
      </c>
      <c r="H329" s="192"/>
      <c r="I329" s="192"/>
    </row>
    <row r="330" spans="1:9">
      <c r="A330" s="185" t="str">
        <f>IF(AND(LEN(G330)&gt;0,LEN(G329)=0,LEFT(G330,3)&lt;&gt;"TOT"),"GROUP","")</f>
        <v>GROUP</v>
      </c>
      <c r="B330" s="186"/>
      <c r="C330" s="185" t="str">
        <f>IF(LEN(D330)&gt;0,TRIM(E330&amp;" : "&amp;D330),"")</f>
        <v/>
      </c>
      <c r="D330" s="185" t="str">
        <f>IFERROR(IF(AND(LEN(A330)&gt;0,A330&lt;&gt;"GROUP"),UPPER(G330),""),"")</f>
        <v/>
      </c>
      <c r="E330" s="185" t="str">
        <f>IFERROR(IF(A330="GROUP",UPPER(G330),IF(AND(LEN(A330)&gt;0,A330&lt;&gt;"GROUP"),UPPER(E329),"")),"")</f>
        <v>55050 MAINTENANCE CONTRACTS</v>
      </c>
      <c r="G330" s="191" t="s">
        <v>179</v>
      </c>
      <c r="H330" s="192"/>
      <c r="I330" s="192"/>
    </row>
    <row r="331" spans="1:9">
      <c r="A331" s="185" t="s">
        <v>82</v>
      </c>
      <c r="B331" s="186">
        <f ca="1">IF(LEN(A331)=0,"",IFERROR(VLOOKUP(C331,INDIRECT(A331&amp;"_LOOKUP"),2,FALSE),"-100"))</f>
        <v>321.2</v>
      </c>
      <c r="C331" s="185" t="str">
        <f>IF(LEN(D331)&gt;0,TRIM(E331&amp;" : "&amp;D331),"")</f>
        <v>55050 MAINTENANCE CONTRACTS : 55057 SECURITY</v>
      </c>
      <c r="D331" s="185" t="str">
        <f>IFERROR(IF(AND(LEN(A331)&gt;0,A331&lt;&gt;"GROUP"),UPPER(G331),""),"")</f>
        <v>55057 SECURITY</v>
      </c>
      <c r="E331" s="185" t="str">
        <f>IFERROR(IF(A331="GROUP",UPPER(G331),IF(AND(LEN(A331)&gt;0,A331&lt;&gt;"GROUP"),UPPER(E330),"")),"")</f>
        <v>55050 MAINTENANCE CONTRACTS</v>
      </c>
      <c r="G331" s="191" t="s">
        <v>285</v>
      </c>
      <c r="H331" s="192"/>
      <c r="I331" s="192">
        <v>0</v>
      </c>
    </row>
    <row r="332" spans="1:9">
      <c r="A332" s="185" t="s">
        <v>82</v>
      </c>
      <c r="B332" s="186">
        <f ca="1">IF(LEN(A332)=0,"",IFERROR(VLOOKUP(C332,INDIRECT(A332&amp;"_LOOKUP"),2,FALSE),"-100"))</f>
        <v>321.2</v>
      </c>
      <c r="C332" s="185" t="str">
        <f>IF(LEN(D332)&gt;0,TRIM(E332&amp;" : "&amp;D332),"")</f>
        <v>55050 MAINTENANCE CONTRACTS : 55058 PEST CONTROL</v>
      </c>
      <c r="D332" s="185" t="str">
        <f>IFERROR(IF(AND(LEN(A332)&gt;0,A332&lt;&gt;"GROUP"),UPPER(G332),""),"")</f>
        <v>55058 PEST CONTROL</v>
      </c>
      <c r="E332" s="185" t="str">
        <f>IFERROR(IF(A332="GROUP",UPPER(G332),IF(AND(LEN(A332)&gt;0,A332&lt;&gt;"GROUP"),UPPER(E331),"")),"")</f>
        <v>55050 MAINTENANCE CONTRACTS</v>
      </c>
      <c r="G332" s="191" t="s">
        <v>286</v>
      </c>
      <c r="H332" s="201"/>
      <c r="I332" s="192">
        <v>6161</v>
      </c>
    </row>
    <row r="333" spans="1:9">
      <c r="A333" s="185" t="s">
        <v>82</v>
      </c>
      <c r="B333" s="186">
        <f t="shared" ref="B333:B394" ca="1" si="40">IF(LEN(A333)=0,"",IFERROR(VLOOKUP(C333,INDIRECT(A333&amp;"_LOOKUP"),2,FALSE),"-100"))</f>
        <v>321.2</v>
      </c>
      <c r="C333" s="185" t="str">
        <f t="shared" ref="C333:C394" si="41">IF(LEN(D333)&gt;0,TRIM(E333&amp;" : "&amp;D333),"")</f>
        <v>55050 MAINTENANCE CONTRACTS : 54085 LANDSCAPING</v>
      </c>
      <c r="D333" s="185" t="str">
        <f t="shared" ref="D333:D394" si="42">IFERROR(IF(AND(LEN(A333)&gt;0,A333&lt;&gt;"GROUP"),UPPER(G333),""),"")</f>
        <v>54085 LANDSCAPING</v>
      </c>
      <c r="E333" s="185" t="str">
        <f t="shared" ref="E333:E394" si="43">IFERROR(IF(A333="GROUP",UPPER(G333),IF(AND(LEN(A333)&gt;0,A333&lt;&gt;"GROUP"),UPPER(E332),"")),"")</f>
        <v>55050 MAINTENANCE CONTRACTS</v>
      </c>
      <c r="G333" s="191" t="s">
        <v>287</v>
      </c>
      <c r="H333" s="201"/>
      <c r="I333" s="192">
        <v>20676.25</v>
      </c>
    </row>
    <row r="334" spans="1:9">
      <c r="A334" s="185" t="s">
        <v>82</v>
      </c>
      <c r="B334" s="186">
        <f t="shared" ca="1" si="40"/>
        <v>321.2</v>
      </c>
      <c r="C334" s="185" t="str">
        <f t="shared" si="41"/>
        <v>55050 MAINTENANCE CONTRACTS : 55050 MAINTENANCE CONTRACTS OTHER</v>
      </c>
      <c r="D334" s="185" t="str">
        <f t="shared" si="42"/>
        <v>55050 MAINTENANCE CONTRACTS OTHER</v>
      </c>
      <c r="E334" s="185" t="str">
        <f t="shared" si="43"/>
        <v>55050 MAINTENANCE CONTRACTS</v>
      </c>
      <c r="G334" s="191" t="s">
        <v>182</v>
      </c>
      <c r="H334" s="192"/>
      <c r="I334" s="192">
        <v>4544.47</v>
      </c>
    </row>
    <row r="335" spans="1:9">
      <c r="A335" s="185" t="str">
        <f t="shared" ref="A335:A337" si="44">IF(AND(LEN(G335)&gt;0,LEN(G334)=0,LEFT(G335,3)&lt;&gt;"TOT"),"GROUP","")</f>
        <v/>
      </c>
      <c r="B335" s="186" t="str">
        <f t="shared" ca="1" si="40"/>
        <v/>
      </c>
      <c r="C335" s="185" t="str">
        <f t="shared" si="41"/>
        <v/>
      </c>
      <c r="D335" s="185" t="str">
        <f t="shared" si="42"/>
        <v/>
      </c>
      <c r="E335" s="185" t="str">
        <f t="shared" si="43"/>
        <v/>
      </c>
      <c r="G335" s="191" t="s">
        <v>183</v>
      </c>
      <c r="H335" s="192"/>
      <c r="I335" s="192">
        <v>31381.72</v>
      </c>
    </row>
    <row r="336" spans="1:9">
      <c r="A336" s="185"/>
      <c r="B336" s="186"/>
      <c r="C336" s="185"/>
      <c r="D336" s="185" t="str">
        <f t="shared" si="42"/>
        <v/>
      </c>
      <c r="E336" s="185" t="str">
        <f>IFERROR(IF(A336="GROUP",UPPER(G336),IF(AND(LEN(A336)&gt;0,A336&lt;&gt;"GROUP"),UPPER(#REF!),"")),"")</f>
        <v/>
      </c>
      <c r="G336" s="191" t="s">
        <v>99</v>
      </c>
      <c r="H336" s="192"/>
      <c r="I336" s="192"/>
    </row>
    <row r="337" spans="1:9">
      <c r="A337" s="185" t="str">
        <f t="shared" si="44"/>
        <v>GROUP</v>
      </c>
      <c r="B337" s="186"/>
      <c r="C337" s="185" t="str">
        <f t="shared" si="41"/>
        <v/>
      </c>
      <c r="D337" s="185" t="str">
        <f t="shared" si="42"/>
        <v/>
      </c>
      <c r="E337" s="185" t="str">
        <f t="shared" si="43"/>
        <v>56000 UTILITIES</v>
      </c>
      <c r="G337" s="191" t="s">
        <v>189</v>
      </c>
      <c r="H337" s="192"/>
      <c r="I337" s="192"/>
    </row>
    <row r="338" spans="1:9">
      <c r="A338" s="185" t="s">
        <v>82</v>
      </c>
      <c r="B338" s="186">
        <f t="shared" ca="1" si="40"/>
        <v>313</v>
      </c>
      <c r="C338" s="185" t="str">
        <f t="shared" si="41"/>
        <v>56000 UTILITIES : 56100 GAS &amp; ELECTRIC</v>
      </c>
      <c r="D338" s="185" t="str">
        <f t="shared" si="42"/>
        <v>56100 GAS &amp; ELECTRIC</v>
      </c>
      <c r="E338" s="185" t="str">
        <f t="shared" si="43"/>
        <v>56000 UTILITIES</v>
      </c>
      <c r="G338" s="191" t="s">
        <v>190</v>
      </c>
      <c r="H338" s="192"/>
      <c r="I338" s="192">
        <v>120678.32</v>
      </c>
    </row>
    <row r="339" spans="1:9">
      <c r="A339" s="185" t="s">
        <v>82</v>
      </c>
      <c r="B339" s="186">
        <f t="shared" ca="1" si="40"/>
        <v>313</v>
      </c>
      <c r="C339" s="185" t="str">
        <f t="shared" si="41"/>
        <v>56000 UTILITIES : 56200 CABLE</v>
      </c>
      <c r="D339" s="185" t="str">
        <f t="shared" si="42"/>
        <v>56200 CABLE</v>
      </c>
      <c r="E339" s="185" t="str">
        <f t="shared" si="43"/>
        <v>56000 UTILITIES</v>
      </c>
      <c r="G339" s="191" t="s">
        <v>191</v>
      </c>
      <c r="H339" s="201"/>
      <c r="I339" s="192">
        <v>8953.5400000000009</v>
      </c>
    </row>
    <row r="340" spans="1:9">
      <c r="A340" s="185" t="s">
        <v>82</v>
      </c>
      <c r="B340" s="186">
        <f t="shared" ca="1" si="40"/>
        <v>313</v>
      </c>
      <c r="C340" s="185" t="str">
        <f t="shared" si="41"/>
        <v>56000 UTILITIES : 56300 PHONE</v>
      </c>
      <c r="D340" s="185" t="str">
        <f t="shared" si="42"/>
        <v>56300 PHONE</v>
      </c>
      <c r="E340" s="185" t="str">
        <f t="shared" si="43"/>
        <v>56000 UTILITIES</v>
      </c>
      <c r="G340" s="191" t="s">
        <v>192</v>
      </c>
      <c r="H340" s="201"/>
      <c r="I340" s="192">
        <v>31141.360000000001</v>
      </c>
    </row>
    <row r="341" spans="1:9">
      <c r="A341" s="185" t="s">
        <v>82</v>
      </c>
      <c r="B341" s="186">
        <f t="shared" ca="1" si="40"/>
        <v>313</v>
      </c>
      <c r="C341" s="185" t="str">
        <f t="shared" si="41"/>
        <v>56000 UTILITIES : 56700 WATER</v>
      </c>
      <c r="D341" s="185" t="str">
        <f t="shared" si="42"/>
        <v>56700 WATER</v>
      </c>
      <c r="E341" s="185" t="str">
        <f t="shared" si="43"/>
        <v>56000 UTILITIES</v>
      </c>
      <c r="G341" s="191" t="s">
        <v>193</v>
      </c>
      <c r="H341" s="192"/>
      <c r="I341" s="192">
        <v>1996.65</v>
      </c>
    </row>
    <row r="342" spans="1:9">
      <c r="A342" s="185" t="str">
        <f>IF(AND(LEN(G342)&gt;0,LEN(G341)=0,LEFT(G342,3)&lt;&gt;"TOT"),"GROUP","")</f>
        <v/>
      </c>
      <c r="B342" s="186" t="str">
        <f t="shared" ca="1" si="40"/>
        <v/>
      </c>
      <c r="C342" s="185" t="str">
        <f t="shared" si="41"/>
        <v/>
      </c>
      <c r="D342" s="185" t="str">
        <f t="shared" si="42"/>
        <v/>
      </c>
      <c r="E342" s="185" t="str">
        <f t="shared" si="43"/>
        <v/>
      </c>
      <c r="G342" s="191" t="s">
        <v>194</v>
      </c>
      <c r="H342" s="192"/>
      <c r="I342" s="192">
        <v>162769.87</v>
      </c>
    </row>
    <row r="343" spans="1:9">
      <c r="A343" s="185" t="str">
        <f>IF(AND(LEN(G343)&gt;0,LEN(G342)=0,LEFT(G343,3)&lt;&gt;"TOT"),"GROUP","")</f>
        <v/>
      </c>
      <c r="B343" s="186" t="str">
        <f t="shared" ca="1" si="40"/>
        <v/>
      </c>
      <c r="C343" s="185" t="str">
        <f t="shared" si="41"/>
        <v/>
      </c>
      <c r="D343" s="185" t="str">
        <f t="shared" si="42"/>
        <v/>
      </c>
      <c r="E343" s="185" t="str">
        <f t="shared" si="43"/>
        <v/>
      </c>
      <c r="G343" s="191" t="s">
        <v>99</v>
      </c>
      <c r="H343" s="192"/>
      <c r="I343" s="192"/>
    </row>
    <row r="344" spans="1:9">
      <c r="A344" s="185" t="str">
        <f>IF(AND(LEN(G344)&gt;0,LEN(G343)=0,LEFT(G344,3)&lt;&gt;"TOT"),"GROUP","")</f>
        <v/>
      </c>
      <c r="B344" s="186" t="str">
        <f t="shared" ca="1" si="40"/>
        <v/>
      </c>
      <c r="C344" s="185" t="str">
        <f t="shared" si="41"/>
        <v/>
      </c>
      <c r="D344" s="185" t="str">
        <f t="shared" si="42"/>
        <v/>
      </c>
      <c r="E344" s="185" t="str">
        <f t="shared" si="43"/>
        <v/>
      </c>
      <c r="G344" s="191" t="s">
        <v>99</v>
      </c>
      <c r="H344" s="192"/>
      <c r="I344" s="192"/>
    </row>
    <row r="345" spans="1:9">
      <c r="A345" s="185" t="str">
        <f>IF(AND(LEN(G345)&gt;0,LEN(G344)=0,LEFT(G345,3)&lt;&gt;"TOT"),"GROUP","")</f>
        <v>GROUP</v>
      </c>
      <c r="B345" s="186"/>
      <c r="C345" s="185" t="str">
        <f t="shared" si="41"/>
        <v/>
      </c>
      <c r="D345" s="185" t="str">
        <f t="shared" si="42"/>
        <v/>
      </c>
      <c r="E345" s="185" t="str">
        <f t="shared" si="43"/>
        <v>58000 LICENSES &amp; FEES</v>
      </c>
      <c r="G345" s="191" t="s">
        <v>288</v>
      </c>
      <c r="H345" s="201"/>
      <c r="I345" s="192"/>
    </row>
    <row r="346" spans="1:9">
      <c r="A346" s="185" t="s">
        <v>82</v>
      </c>
      <c r="B346" s="186">
        <f t="shared" ca="1" si="40"/>
        <v>990</v>
      </c>
      <c r="C346" s="185" t="str">
        <f t="shared" si="41"/>
        <v>58000 LICENSES &amp; FEES : 58100 PERSONAL PROPERTY TAX</v>
      </c>
      <c r="D346" s="185" t="str">
        <f t="shared" si="42"/>
        <v>58100 PERSONAL PROPERTY TAX</v>
      </c>
      <c r="E346" s="185" t="str">
        <f t="shared" si="43"/>
        <v>58000 LICENSES &amp; FEES</v>
      </c>
      <c r="G346" s="191" t="s">
        <v>196</v>
      </c>
      <c r="H346" s="201"/>
      <c r="I346" s="192">
        <v>2569.25</v>
      </c>
    </row>
    <row r="347" spans="1:9">
      <c r="A347" s="185" t="s">
        <v>82</v>
      </c>
      <c r="B347" s="186">
        <f t="shared" ca="1" si="40"/>
        <v>306.3</v>
      </c>
      <c r="C347" s="185" t="str">
        <f t="shared" si="41"/>
        <v>58000 LICENSES &amp; FEES : 58000 LICENSES &amp; FEES OTHER</v>
      </c>
      <c r="D347" s="185" t="str">
        <f t="shared" si="42"/>
        <v>58000 LICENSES &amp; FEES OTHER</v>
      </c>
      <c r="E347" s="185" t="str">
        <f t="shared" si="43"/>
        <v>58000 LICENSES &amp; FEES</v>
      </c>
      <c r="G347" s="191" t="s">
        <v>195</v>
      </c>
      <c r="H347" s="192"/>
      <c r="I347" s="192">
        <v>3939.52</v>
      </c>
    </row>
    <row r="348" spans="1:9">
      <c r="A348" s="185" t="str">
        <f>IF(AND(LEN(G348)&gt;0,LEN(G347)=0,LEFT(G348,3)&lt;&gt;"TOT"),"GROUP","")</f>
        <v/>
      </c>
      <c r="B348" s="186" t="str">
        <f t="shared" ca="1" si="40"/>
        <v/>
      </c>
      <c r="C348" s="185" t="str">
        <f t="shared" si="41"/>
        <v/>
      </c>
      <c r="D348" s="185" t="str">
        <f t="shared" si="42"/>
        <v/>
      </c>
      <c r="E348" s="185" t="str">
        <f t="shared" si="43"/>
        <v/>
      </c>
      <c r="G348" s="191" t="s">
        <v>197</v>
      </c>
      <c r="H348" s="192"/>
      <c r="I348" s="192">
        <v>6508.77</v>
      </c>
    </row>
    <row r="349" spans="1:9">
      <c r="A349" s="185" t="str">
        <f>IF(AND(LEN(G349)&gt;0,LEN(G348)=0,LEFT(G349,3)&lt;&gt;"TOT"),"GROUP","")</f>
        <v/>
      </c>
      <c r="B349" s="186" t="str">
        <f t="shared" ca="1" si="40"/>
        <v/>
      </c>
      <c r="C349" s="185" t="str">
        <f t="shared" si="41"/>
        <v/>
      </c>
      <c r="D349" s="185" t="str">
        <f t="shared" si="42"/>
        <v/>
      </c>
      <c r="E349" s="185" t="str">
        <f t="shared" si="43"/>
        <v/>
      </c>
      <c r="G349" s="191" t="s">
        <v>99</v>
      </c>
      <c r="H349" s="192"/>
      <c r="I349" s="192"/>
    </row>
    <row r="350" spans="1:9">
      <c r="A350" s="185" t="str">
        <f>IF(AND(LEN(G350)&gt;0,LEN(G349)=0,LEFT(G350,3)&lt;&gt;"TOT"),"GROUP","")</f>
        <v>GROUP</v>
      </c>
      <c r="B350" s="186"/>
      <c r="C350" s="185" t="str">
        <f t="shared" si="41"/>
        <v/>
      </c>
      <c r="D350" s="185" t="str">
        <f t="shared" si="42"/>
        <v/>
      </c>
      <c r="E350" s="185" t="str">
        <f t="shared" si="43"/>
        <v>80000 MARKETING EXPENSE</v>
      </c>
      <c r="G350" s="191" t="s">
        <v>289</v>
      </c>
      <c r="H350" s="192"/>
      <c r="I350" s="192"/>
    </row>
    <row r="351" spans="1:9">
      <c r="A351" s="185" t="s">
        <v>82</v>
      </c>
      <c r="B351" s="186">
        <f t="shared" ca="1" si="40"/>
        <v>305.3</v>
      </c>
      <c r="C351" s="185" t="str">
        <f t="shared" si="41"/>
        <v>80000 MARKETING EXPENSE : 80060 REFERRAL FEES</v>
      </c>
      <c r="D351" s="185" t="str">
        <f t="shared" si="42"/>
        <v>80060 REFERRAL FEES</v>
      </c>
      <c r="E351" s="185" t="str">
        <f t="shared" si="43"/>
        <v>80000 MARKETING EXPENSE</v>
      </c>
      <c r="G351" s="191" t="s">
        <v>290</v>
      </c>
      <c r="H351" s="201"/>
      <c r="I351" s="192">
        <v>24247.5</v>
      </c>
    </row>
    <row r="352" spans="1:9">
      <c r="A352" s="185" t="s">
        <v>82</v>
      </c>
      <c r="B352" s="186">
        <f t="shared" ca="1" si="40"/>
        <v>305.10000000000002</v>
      </c>
      <c r="C352" s="185" t="str">
        <f t="shared" si="41"/>
        <v>80000 MARKETING EXPENSE : 60010 MARKETING SALARY</v>
      </c>
      <c r="D352" s="185" t="str">
        <f t="shared" si="42"/>
        <v>60010 MARKETING SALARY</v>
      </c>
      <c r="E352" s="185" t="str">
        <f t="shared" si="43"/>
        <v>80000 MARKETING EXPENSE</v>
      </c>
      <c r="G352" s="191" t="s">
        <v>200</v>
      </c>
      <c r="H352" s="201"/>
      <c r="I352" s="192">
        <v>22518.83</v>
      </c>
    </row>
    <row r="353" spans="1:9">
      <c r="A353" s="185" t="s">
        <v>82</v>
      </c>
      <c r="B353" s="186">
        <f t="shared" ca="1" si="40"/>
        <v>305.3</v>
      </c>
      <c r="C353" s="185" t="str">
        <f t="shared" si="41"/>
        <v>80000 MARKETING EXPENSE : 80030 MEDIA</v>
      </c>
      <c r="D353" s="185" t="str">
        <f t="shared" si="42"/>
        <v>80030 MEDIA</v>
      </c>
      <c r="E353" s="185" t="str">
        <f t="shared" si="43"/>
        <v>80000 MARKETING EXPENSE</v>
      </c>
      <c r="G353" s="191" t="s">
        <v>291</v>
      </c>
      <c r="H353" s="192"/>
      <c r="I353" s="192">
        <v>5229.29</v>
      </c>
    </row>
    <row r="354" spans="1:9">
      <c r="A354" s="185" t="s">
        <v>82</v>
      </c>
      <c r="B354" s="186">
        <f t="shared" ca="1" si="40"/>
        <v>305.3</v>
      </c>
      <c r="C354" s="185" t="str">
        <f t="shared" si="41"/>
        <v>80000 MARKETING EXPENSE : 80040 MARKETING SUPPLIES</v>
      </c>
      <c r="D354" s="185" t="str">
        <f t="shared" si="42"/>
        <v>80040 MARKETING SUPPLIES</v>
      </c>
      <c r="E354" s="185" t="str">
        <f t="shared" si="43"/>
        <v>80000 MARKETING EXPENSE</v>
      </c>
      <c r="G354" s="191" t="s">
        <v>292</v>
      </c>
      <c r="H354" s="192"/>
      <c r="I354" s="192">
        <v>91.36</v>
      </c>
    </row>
    <row r="355" spans="1:9">
      <c r="A355" s="185" t="s">
        <v>82</v>
      </c>
      <c r="B355" s="186">
        <f t="shared" ca="1" si="40"/>
        <v>305.3</v>
      </c>
      <c r="C355" s="185" t="str">
        <f t="shared" si="41"/>
        <v>80000 MARKETING EXPENSE : 60050 EVENTS</v>
      </c>
      <c r="D355" s="185" t="str">
        <f t="shared" si="42"/>
        <v>60050 EVENTS</v>
      </c>
      <c r="E355" s="185" t="str">
        <f t="shared" si="43"/>
        <v>80000 MARKETING EXPENSE</v>
      </c>
      <c r="G355" s="191" t="s">
        <v>203</v>
      </c>
      <c r="H355" s="192"/>
      <c r="I355" s="192">
        <v>400</v>
      </c>
    </row>
    <row r="356" spans="1:9">
      <c r="A356" s="185" t="s">
        <v>82</v>
      </c>
      <c r="B356" s="186">
        <f t="shared" ca="1" si="40"/>
        <v>305.3</v>
      </c>
      <c r="C356" s="185" t="str">
        <f t="shared" si="41"/>
        <v>80000 MARKETING EXPENSE : 60000 MARKETING EXPENSE OTHER</v>
      </c>
      <c r="D356" s="185" t="str">
        <f t="shared" si="42"/>
        <v>60000 MARKETING EXPENSE OTHER</v>
      </c>
      <c r="E356" s="185" t="str">
        <f t="shared" si="43"/>
        <v>80000 MARKETING EXPENSE</v>
      </c>
      <c r="G356" s="191" t="s">
        <v>204</v>
      </c>
      <c r="H356" s="192"/>
      <c r="I356" s="192">
        <v>388.08</v>
      </c>
    </row>
    <row r="357" spans="1:9">
      <c r="A357" s="185"/>
      <c r="B357" s="186" t="str">
        <f t="shared" ca="1" si="40"/>
        <v/>
      </c>
      <c r="C357" s="185" t="str">
        <f t="shared" si="41"/>
        <v/>
      </c>
      <c r="D357" s="185" t="str">
        <f t="shared" si="42"/>
        <v/>
      </c>
      <c r="E357" s="185" t="str">
        <f t="shared" si="43"/>
        <v/>
      </c>
      <c r="G357" s="191" t="s">
        <v>205</v>
      </c>
      <c r="H357" s="201"/>
      <c r="I357" s="192">
        <v>52875.06</v>
      </c>
    </row>
    <row r="358" spans="1:9">
      <c r="A358" s="185" t="str">
        <f>IF(AND(LEN(G358)&gt;0,LEN(G357)=0,LEFT(G358,3)&lt;&gt;"TOT"),"GROUP","")</f>
        <v/>
      </c>
      <c r="B358" s="186" t="str">
        <f t="shared" ca="1" si="40"/>
        <v/>
      </c>
      <c r="C358" s="185" t="str">
        <f t="shared" si="41"/>
        <v/>
      </c>
      <c r="D358" s="185" t="str">
        <f t="shared" si="42"/>
        <v/>
      </c>
      <c r="E358" s="185" t="str">
        <f t="shared" si="43"/>
        <v/>
      </c>
      <c r="G358" s="191" t="s">
        <v>99</v>
      </c>
      <c r="H358" s="201"/>
      <c r="I358" s="192"/>
    </row>
    <row r="359" spans="1:9">
      <c r="A359" s="185" t="str">
        <f>IF(AND(LEN(G359)&gt;0,LEN(G358)=0,LEFT(G359,3)&lt;&gt;"TOT"),"GROUP","")</f>
        <v>GROUP</v>
      </c>
      <c r="B359" s="186"/>
      <c r="C359" s="185" t="str">
        <f t="shared" si="41"/>
        <v/>
      </c>
      <c r="D359" s="185" t="str">
        <f t="shared" si="42"/>
        <v/>
      </c>
      <c r="E359" s="185" t="str">
        <f t="shared" si="43"/>
        <v>62000 EMPLOYES BENEFITS</v>
      </c>
      <c r="G359" s="191" t="s">
        <v>293</v>
      </c>
      <c r="H359" s="192"/>
      <c r="I359" s="192"/>
    </row>
    <row r="360" spans="1:9">
      <c r="A360" s="185" t="s">
        <v>82</v>
      </c>
      <c r="B360" s="186">
        <f t="shared" ca="1" si="40"/>
        <v>308</v>
      </c>
      <c r="C360" s="185" t="str">
        <f t="shared" si="41"/>
        <v>62000 EMPLOYES BENEFITS : 62100 HEALTH INSURANCE</v>
      </c>
      <c r="D360" s="185" t="str">
        <f t="shared" si="42"/>
        <v>62100 HEALTH INSURANCE</v>
      </c>
      <c r="E360" s="185" t="str">
        <f t="shared" si="43"/>
        <v>62000 EMPLOYES BENEFITS</v>
      </c>
      <c r="G360" s="191" t="s">
        <v>207</v>
      </c>
      <c r="H360" s="192"/>
      <c r="I360" s="192">
        <v>193.17</v>
      </c>
    </row>
    <row r="361" spans="1:9">
      <c r="A361" s="185" t="s">
        <v>82</v>
      </c>
      <c r="B361" s="186">
        <f t="shared" ca="1" si="40"/>
        <v>308</v>
      </c>
      <c r="C361" s="185" t="str">
        <f t="shared" si="41"/>
        <v>62000 EMPLOYES BENEFITS : 62300 LIFE &amp; DISABILITY INSURANCE</v>
      </c>
      <c r="D361" s="185" t="str">
        <f t="shared" si="42"/>
        <v>62300 LIFE &amp; DISABILITY INSURANCE</v>
      </c>
      <c r="E361" s="185" t="str">
        <f t="shared" si="43"/>
        <v>62000 EMPLOYES BENEFITS</v>
      </c>
      <c r="G361" s="191" t="s">
        <v>208</v>
      </c>
      <c r="H361" s="192"/>
      <c r="I361" s="192">
        <v>1570.57</v>
      </c>
    </row>
    <row r="362" spans="1:9">
      <c r="A362" s="185" t="s">
        <v>82</v>
      </c>
      <c r="B362" s="186">
        <f t="shared" ca="1" si="40"/>
        <v>308</v>
      </c>
      <c r="C362" s="185" t="str">
        <f t="shared" si="41"/>
        <v>62000 EMPLOYES BENEFITS : 62900 EMPLOYEE APPRECIATION</v>
      </c>
      <c r="D362" s="185" t="str">
        <f t="shared" si="42"/>
        <v>62900 EMPLOYEE APPRECIATION</v>
      </c>
      <c r="E362" s="185" t="str">
        <f t="shared" si="43"/>
        <v>62000 EMPLOYES BENEFITS</v>
      </c>
      <c r="G362" s="191" t="s">
        <v>294</v>
      </c>
      <c r="H362" s="192"/>
      <c r="I362" s="192">
        <v>0</v>
      </c>
    </row>
    <row r="363" spans="1:9">
      <c r="A363" s="185" t="str">
        <f>IF(AND(LEN(G363)&gt;0,LEN(G362)=0,LEFT(G363,3)&lt;&gt;"TOT"),"GROUP","")</f>
        <v/>
      </c>
      <c r="B363" s="186" t="str">
        <f t="shared" ca="1" si="40"/>
        <v/>
      </c>
      <c r="C363" s="185" t="str">
        <f t="shared" si="41"/>
        <v/>
      </c>
      <c r="D363" s="185" t="str">
        <f t="shared" si="42"/>
        <v/>
      </c>
      <c r="E363" s="185" t="str">
        <f t="shared" si="43"/>
        <v/>
      </c>
      <c r="G363" s="191" t="s">
        <v>209</v>
      </c>
      <c r="H363" s="201"/>
      <c r="I363" s="192">
        <v>1763.74</v>
      </c>
    </row>
    <row r="364" spans="1:9">
      <c r="A364" s="185" t="str">
        <f>IF(AND(LEN(G364)&gt;0,LEN(G363)=0,LEFT(G364,3)&lt;&gt;"TOT"),"GROUP","")</f>
        <v/>
      </c>
      <c r="B364" s="186" t="str">
        <f t="shared" ca="1" si="40"/>
        <v/>
      </c>
      <c r="C364" s="185" t="str">
        <f t="shared" si="41"/>
        <v/>
      </c>
      <c r="D364" s="185" t="str">
        <f t="shared" si="42"/>
        <v/>
      </c>
      <c r="E364" s="185" t="str">
        <f t="shared" si="43"/>
        <v/>
      </c>
      <c r="G364" s="191" t="s">
        <v>99</v>
      </c>
      <c r="H364" s="201"/>
      <c r="I364" s="192"/>
    </row>
    <row r="365" spans="1:9">
      <c r="A365" s="185" t="str">
        <f>IF(AND(LEN(G365)&gt;0,LEN(G364)=0,LEFT(G365,3)&lt;&gt;"TOT"),"GROUP","")</f>
        <v>GROUP</v>
      </c>
      <c r="B365" s="186"/>
      <c r="C365" s="185" t="str">
        <f t="shared" si="41"/>
        <v/>
      </c>
      <c r="D365" s="185" t="str">
        <f t="shared" si="42"/>
        <v/>
      </c>
      <c r="E365" s="185" t="str">
        <f t="shared" si="43"/>
        <v>70000 OFFICE &amp; ADMINISTRATIVE</v>
      </c>
      <c r="G365" s="191" t="s">
        <v>210</v>
      </c>
      <c r="H365" s="192"/>
      <c r="I365" s="192"/>
    </row>
    <row r="366" spans="1:9">
      <c r="A366" s="185" t="s">
        <v>82</v>
      </c>
      <c r="B366" s="186">
        <f t="shared" ca="1" si="40"/>
        <v>309</v>
      </c>
      <c r="C366" s="185" t="str">
        <f t="shared" si="41"/>
        <v>70000 OFFICE &amp; ADMINISTRATIVE : 70016 W/C ADMIN</v>
      </c>
      <c r="D366" s="185" t="str">
        <f t="shared" si="42"/>
        <v>70016 W/C ADMIN</v>
      </c>
      <c r="E366" s="185" t="str">
        <f t="shared" si="43"/>
        <v>70000 OFFICE &amp; ADMINISTRATIVE</v>
      </c>
      <c r="G366" s="191" t="s">
        <v>211</v>
      </c>
      <c r="H366" s="192"/>
      <c r="I366" s="192">
        <v>57</v>
      </c>
    </row>
    <row r="367" spans="1:9">
      <c r="A367" s="185" t="s">
        <v>82</v>
      </c>
      <c r="B367" s="186">
        <f t="shared" ca="1" si="40"/>
        <v>308</v>
      </c>
      <c r="C367" s="185" t="str">
        <f t="shared" si="41"/>
        <v>70000 OFFICE &amp; ADMINISTRATIVE : 70014 EMP BENES ADMIN</v>
      </c>
      <c r="D367" s="185" t="str">
        <f t="shared" si="42"/>
        <v>70014 EMP BENES ADMIN</v>
      </c>
      <c r="E367" s="185" t="str">
        <f t="shared" si="43"/>
        <v>70000 OFFICE &amp; ADMINISTRATIVE</v>
      </c>
      <c r="G367" s="191" t="s">
        <v>212</v>
      </c>
      <c r="H367" s="192"/>
      <c r="I367" s="192">
        <v>1730.26</v>
      </c>
    </row>
    <row r="368" spans="1:9">
      <c r="A368" s="185" t="s">
        <v>82</v>
      </c>
      <c r="B368" s="186">
        <f t="shared" ca="1" si="40"/>
        <v>307</v>
      </c>
      <c r="C368" s="185" t="str">
        <f t="shared" si="41"/>
        <v>70000 OFFICE &amp; ADMINISTRATIVE : 70012 PAYROLL TAX ADMIN</v>
      </c>
      <c r="D368" s="185" t="str">
        <f t="shared" si="42"/>
        <v>70012 PAYROLL TAX ADMIN</v>
      </c>
      <c r="E368" s="185" t="str">
        <f t="shared" si="43"/>
        <v>70000 OFFICE &amp; ADMINISTRATIVE</v>
      </c>
      <c r="G368" s="191" t="s">
        <v>213</v>
      </c>
      <c r="H368" s="192"/>
      <c r="I368" s="192">
        <v>5406.69</v>
      </c>
    </row>
    <row r="369" spans="1:9">
      <c r="A369" s="185" t="s">
        <v>82</v>
      </c>
      <c r="B369" s="186">
        <f t="shared" ca="1" si="40"/>
        <v>306.10000000000002</v>
      </c>
      <c r="C369" s="185" t="str">
        <f t="shared" si="41"/>
        <v>70000 OFFICE &amp; ADMINISTRATIVE : 70010 OFFICE &amp; ADMIN SALARIES</v>
      </c>
      <c r="D369" s="185" t="str">
        <f t="shared" si="42"/>
        <v>70010 OFFICE &amp; ADMIN SALARIES</v>
      </c>
      <c r="E369" s="185" t="str">
        <f t="shared" si="43"/>
        <v>70000 OFFICE &amp; ADMINISTRATIVE</v>
      </c>
      <c r="G369" s="191" t="s">
        <v>214</v>
      </c>
      <c r="H369" s="201"/>
      <c r="I369" s="192">
        <v>40829.86</v>
      </c>
    </row>
    <row r="370" spans="1:9">
      <c r="A370" s="185" t="s">
        <v>82</v>
      </c>
      <c r="B370" s="186">
        <f t="shared" ca="1" si="40"/>
        <v>306.3</v>
      </c>
      <c r="C370" s="185" t="str">
        <f t="shared" si="41"/>
        <v>70000 OFFICE &amp; ADMINISTRATIVE : 70400 COMPUTER EXPENSES</v>
      </c>
      <c r="D370" s="185" t="str">
        <f t="shared" si="42"/>
        <v>70400 COMPUTER EXPENSES</v>
      </c>
      <c r="E370" s="185" t="str">
        <f t="shared" si="43"/>
        <v>70000 OFFICE &amp; ADMINISTRATIVE</v>
      </c>
      <c r="G370" s="191" t="s">
        <v>216</v>
      </c>
      <c r="H370" s="201"/>
      <c r="I370" s="192">
        <v>0</v>
      </c>
    </row>
    <row r="371" spans="1:9">
      <c r="A371" s="185" t="s">
        <v>82</v>
      </c>
      <c r="B371" s="186">
        <f t="shared" ca="1" si="40"/>
        <v>306.3</v>
      </c>
      <c r="C371" s="185" t="str">
        <f t="shared" ref="C371" si="45">IF(LEN(D371)&gt;0,TRIM(E371&amp;" : "&amp;D371),"")</f>
        <v>70000 OFFICE &amp; ADMINISTRATIVE : 70710 POSTAGE &amp; SHIPPING</v>
      </c>
      <c r="D371" s="185" t="str">
        <f t="shared" ref="D371" si="46">IFERROR(IF(AND(LEN(A371)&gt;0,A371&lt;&gt;"GROUP"),UPPER(G371),""),"")</f>
        <v>70710 POSTAGE &amp; SHIPPING</v>
      </c>
      <c r="E371" s="185" t="str">
        <f t="shared" ref="E371" si="47">IFERROR(IF(A371="GROUP",UPPER(G371),IF(AND(LEN(A371)&gt;0,A371&lt;&gt;"GROUP"),UPPER(E370),"")),"")</f>
        <v>70000 OFFICE &amp; ADMINISTRATIVE</v>
      </c>
      <c r="G371" s="191" t="s">
        <v>229</v>
      </c>
      <c r="H371" s="201"/>
      <c r="I371" s="192">
        <v>3844.04</v>
      </c>
    </row>
    <row r="372" spans="1:9">
      <c r="A372" s="185" t="s">
        <v>82</v>
      </c>
      <c r="B372" s="186">
        <f t="shared" ca="1" si="40"/>
        <v>306.3</v>
      </c>
      <c r="C372" s="185" t="str">
        <f t="shared" ref="C372:C378" si="48">IF(LEN(D372)&gt;0,TRIM(E372&amp;" : "&amp;D372),"")</f>
        <v>70000 OFFICE &amp; ADMINISTRATIVE : 70700 OFFICE SUPPLIES</v>
      </c>
      <c r="D372" s="185" t="str">
        <f t="shared" ref="D372:D378" si="49">IFERROR(IF(AND(LEN(A372)&gt;0,A372&lt;&gt;"GROUP"),UPPER(G372),""),"")</f>
        <v>70700 OFFICE SUPPLIES</v>
      </c>
      <c r="E372" s="185" t="str">
        <f t="shared" ref="E372:E378" si="50">IFERROR(IF(A372="GROUP",UPPER(G372),IF(AND(LEN(A372)&gt;0,A372&lt;&gt;"GROUP"),UPPER(E371),"")),"")</f>
        <v>70000 OFFICE &amp; ADMINISTRATIVE</v>
      </c>
      <c r="G372" s="191" t="s">
        <v>231</v>
      </c>
      <c r="H372" s="201"/>
      <c r="I372" s="192">
        <v>2274.86</v>
      </c>
    </row>
    <row r="373" spans="1:9">
      <c r="A373" s="185" t="s">
        <v>82</v>
      </c>
      <c r="B373" s="186">
        <f t="shared" ca="1" si="40"/>
        <v>306.3</v>
      </c>
      <c r="C373" s="185" t="str">
        <f t="shared" si="48"/>
        <v>70000 OFFICE &amp; ADMINISTRATIVE : 70900 TRAINING &amp; TRAVEL</v>
      </c>
      <c r="D373" s="185" t="str">
        <f t="shared" si="49"/>
        <v>70900 TRAINING &amp; TRAVEL</v>
      </c>
      <c r="E373" s="185" t="str">
        <f t="shared" si="50"/>
        <v>70000 OFFICE &amp; ADMINISTRATIVE</v>
      </c>
      <c r="G373" s="191" t="s">
        <v>232</v>
      </c>
      <c r="H373" s="201"/>
      <c r="I373" s="192">
        <v>728</v>
      </c>
    </row>
    <row r="374" spans="1:9">
      <c r="A374" s="185" t="s">
        <v>82</v>
      </c>
      <c r="B374" s="186">
        <f t="shared" ca="1" si="40"/>
        <v>991</v>
      </c>
      <c r="C374" s="185" t="str">
        <f t="shared" si="48"/>
        <v>70000 OFFICE &amp; ADMINISTRATIVE : 71000 QREC MANAGEMENT FEE</v>
      </c>
      <c r="D374" s="185" t="str">
        <f t="shared" si="49"/>
        <v>71000 QREC MANAGEMENT FEE</v>
      </c>
      <c r="E374" s="185" t="str">
        <f t="shared" si="50"/>
        <v>70000 OFFICE &amp; ADMINISTRATIVE</v>
      </c>
      <c r="G374" s="191" t="s">
        <v>234</v>
      </c>
      <c r="H374" s="201"/>
      <c r="I374" s="192">
        <v>129353</v>
      </c>
    </row>
    <row r="375" spans="1:9">
      <c r="A375" s="185" t="s">
        <v>82</v>
      </c>
      <c r="B375" s="186">
        <f t="shared" ca="1" si="40"/>
        <v>306.3</v>
      </c>
      <c r="C375" s="185" t="str">
        <f t="shared" si="48"/>
        <v>70000 OFFICE &amp; ADMINISTRATIVE : 72000 CELLULAR PHONE</v>
      </c>
      <c r="D375" s="185" t="str">
        <f t="shared" si="49"/>
        <v>72000 CELLULAR PHONE</v>
      </c>
      <c r="E375" s="185" t="str">
        <f t="shared" si="50"/>
        <v>70000 OFFICE &amp; ADMINISTRATIVE</v>
      </c>
      <c r="G375" s="191" t="s">
        <v>235</v>
      </c>
      <c r="H375" s="201"/>
      <c r="I375" s="192">
        <v>5028.09</v>
      </c>
    </row>
    <row r="376" spans="1:9">
      <c r="A376" s="185" t="s">
        <v>82</v>
      </c>
      <c r="B376" s="186">
        <f t="shared" ca="1" si="40"/>
        <v>306.3</v>
      </c>
      <c r="C376" s="185" t="str">
        <f t="shared" si="48"/>
        <v>70000 OFFICE &amp; ADMINISTRATIVE : 76000 CONTRIBUTIONS</v>
      </c>
      <c r="D376" s="185" t="str">
        <f t="shared" si="49"/>
        <v>76000 CONTRIBUTIONS</v>
      </c>
      <c r="E376" s="185" t="str">
        <f t="shared" si="50"/>
        <v>70000 OFFICE &amp; ADMINISTRATIVE</v>
      </c>
      <c r="G376" s="191" t="s">
        <v>301</v>
      </c>
      <c r="H376" s="201"/>
      <c r="I376" s="192">
        <v>250</v>
      </c>
    </row>
    <row r="377" spans="1:9">
      <c r="A377" s="185" t="s">
        <v>82</v>
      </c>
      <c r="B377" s="186">
        <f t="shared" ca="1" si="40"/>
        <v>990</v>
      </c>
      <c r="C377" s="185" t="str">
        <f t="shared" si="48"/>
        <v>70000 OFFICE &amp; ADMINISTRATIVE : 78000 BANK FEES</v>
      </c>
      <c r="D377" s="185" t="str">
        <f t="shared" si="49"/>
        <v>78000 BANK FEES</v>
      </c>
      <c r="E377" s="185" t="str">
        <f t="shared" si="50"/>
        <v>70000 OFFICE &amp; ADMINISTRATIVE</v>
      </c>
      <c r="G377" s="191" t="s">
        <v>245</v>
      </c>
      <c r="H377" s="201"/>
      <c r="I377" s="192">
        <v>695.96</v>
      </c>
    </row>
    <row r="378" spans="1:9">
      <c r="A378" s="185" t="s">
        <v>82</v>
      </c>
      <c r="B378" s="186">
        <f t="shared" ca="1" si="40"/>
        <v>306.3</v>
      </c>
      <c r="C378" s="185" t="str">
        <f t="shared" si="48"/>
        <v>70000 OFFICE &amp; ADMINISTRATIVE : 79000 MISCELLANEOUS</v>
      </c>
      <c r="D378" s="185" t="str">
        <f t="shared" si="49"/>
        <v>79000 MISCELLANEOUS</v>
      </c>
      <c r="E378" s="185" t="str">
        <f t="shared" si="50"/>
        <v>70000 OFFICE &amp; ADMINISTRATIVE</v>
      </c>
      <c r="G378" s="191" t="s">
        <v>246</v>
      </c>
      <c r="H378" s="201"/>
      <c r="I378" s="192">
        <v>485.91</v>
      </c>
    </row>
    <row r="379" spans="1:9">
      <c r="A379" s="185"/>
      <c r="B379" s="186" t="str">
        <f t="shared" ca="1" si="40"/>
        <v/>
      </c>
      <c r="C379" s="185"/>
      <c r="D379" s="185"/>
      <c r="E379" s="185"/>
      <c r="G379" s="191" t="s">
        <v>233</v>
      </c>
      <c r="H379" s="201"/>
      <c r="I379" s="192">
        <v>105044.06</v>
      </c>
    </row>
    <row r="380" spans="1:9">
      <c r="A380" s="185"/>
      <c r="B380" s="186"/>
      <c r="C380" s="185"/>
      <c r="D380" s="185"/>
      <c r="E380" s="185"/>
      <c r="G380" s="191"/>
      <c r="H380" s="201"/>
      <c r="I380" s="192"/>
    </row>
    <row r="381" spans="1:9">
      <c r="A381" s="185" t="str">
        <f>IF(AND(LEN(G381)&gt;0,LEN(G370)=0,LEFT(G381,3)&lt;&gt;"TOT"),"GROUP","")</f>
        <v/>
      </c>
      <c r="B381" s="186" t="str">
        <f t="shared" ca="1" si="40"/>
        <v/>
      </c>
      <c r="C381" s="185" t="str">
        <f t="shared" si="41"/>
        <v/>
      </c>
      <c r="D381" s="185" t="str">
        <f t="shared" si="42"/>
        <v/>
      </c>
      <c r="E381" s="185" t="str">
        <f>IFERROR(IF(A381="GROUP",UPPER(G381),IF(AND(LEN(A381)&gt;0,A381&lt;&gt;"GROUP"),UPPER(E370),"")),"")</f>
        <v/>
      </c>
      <c r="G381" s="191" t="s">
        <v>99</v>
      </c>
      <c r="H381" s="192"/>
      <c r="I381" s="192"/>
    </row>
    <row r="382" spans="1:9">
      <c r="A382" s="185" t="str">
        <f>IF(AND(LEN(G382)&gt;0,LEN(G381)=0,LEFT(G382,3)&lt;&gt;"TOT"),"GROUP","")</f>
        <v>GROUP</v>
      </c>
      <c r="B382" s="186"/>
      <c r="C382" s="185" t="str">
        <f t="shared" si="41"/>
        <v/>
      </c>
      <c r="D382" s="185" t="str">
        <f t="shared" si="42"/>
        <v/>
      </c>
      <c r="E382" s="185" t="str">
        <f t="shared" si="43"/>
        <v>70500 PROFESSIONAL FEES</v>
      </c>
      <c r="G382" s="191" t="s">
        <v>217</v>
      </c>
      <c r="H382" s="192"/>
      <c r="I382" s="192"/>
    </row>
    <row r="383" spans="1:9">
      <c r="A383" s="185" t="s">
        <v>82</v>
      </c>
      <c r="B383" s="186">
        <f t="shared" ca="1" si="40"/>
        <v>306.3</v>
      </c>
      <c r="C383" s="185" t="str">
        <f t="shared" si="41"/>
        <v>70500 PROFESSIONAL FEES : 70525 LEGAL FEES</v>
      </c>
      <c r="D383" s="185" t="str">
        <f t="shared" si="42"/>
        <v>70525 LEGAL FEES</v>
      </c>
      <c r="E383" s="185" t="str">
        <f t="shared" si="43"/>
        <v>70500 PROFESSIONAL FEES</v>
      </c>
      <c r="G383" s="191" t="s">
        <v>218</v>
      </c>
      <c r="H383" s="192"/>
      <c r="I383" s="192">
        <v>720</v>
      </c>
    </row>
    <row r="384" spans="1:9">
      <c r="A384" s="185" t="s">
        <v>82</v>
      </c>
      <c r="B384" s="186">
        <f t="shared" ca="1" si="40"/>
        <v>306.3</v>
      </c>
      <c r="C384" s="185" t="str">
        <f t="shared" si="41"/>
        <v>70500 PROFESSIONAL FEES : 70515 BROKERS FEE</v>
      </c>
      <c r="D384" s="185" t="str">
        <f t="shared" si="42"/>
        <v>70515 BROKERS FEE</v>
      </c>
      <c r="E384" s="185" t="str">
        <f t="shared" si="43"/>
        <v>70500 PROFESSIONAL FEES</v>
      </c>
      <c r="G384" s="191" t="s">
        <v>219</v>
      </c>
      <c r="H384" s="192"/>
      <c r="I384" s="192">
        <v>5854.51</v>
      </c>
    </row>
    <row r="385" spans="1:9">
      <c r="A385" s="185" t="s">
        <v>82</v>
      </c>
      <c r="B385" s="186">
        <f t="shared" ca="1" si="40"/>
        <v>306.3</v>
      </c>
      <c r="C385" s="185" t="str">
        <f t="shared" si="41"/>
        <v>70500 PROFESSIONAL FEES : 70510 ACCOUNTING</v>
      </c>
      <c r="D385" s="185" t="str">
        <f t="shared" si="42"/>
        <v>70510 ACCOUNTING</v>
      </c>
      <c r="E385" s="185" t="str">
        <f t="shared" si="43"/>
        <v>70500 PROFESSIONAL FEES</v>
      </c>
      <c r="G385" s="191" t="s">
        <v>220</v>
      </c>
      <c r="H385" s="201"/>
      <c r="I385" s="192">
        <v>6000</v>
      </c>
    </row>
    <row r="386" spans="1:9">
      <c r="A386" s="185" t="s">
        <v>82</v>
      </c>
      <c r="B386" s="186">
        <f t="shared" ca="1" si="40"/>
        <v>306.3</v>
      </c>
      <c r="C386" s="185" t="str">
        <f t="shared" si="41"/>
        <v>70500 PROFESSIONAL FEES : 70550 PAYROLL ADMINISTRATION</v>
      </c>
      <c r="D386" s="185" t="str">
        <f t="shared" si="42"/>
        <v>70550 PAYROLL ADMINISTRATION</v>
      </c>
      <c r="E386" s="185" t="str">
        <f t="shared" si="43"/>
        <v>70500 PROFESSIONAL FEES</v>
      </c>
      <c r="G386" s="191" t="s">
        <v>221</v>
      </c>
      <c r="H386" s="201"/>
      <c r="I386" s="192">
        <v>5171.67</v>
      </c>
    </row>
    <row r="387" spans="1:9">
      <c r="A387" s="185" t="s">
        <v>82</v>
      </c>
      <c r="B387" s="186">
        <f t="shared" ca="1" si="40"/>
        <v>306.3</v>
      </c>
      <c r="C387" s="185" t="str">
        <f t="shared" si="41"/>
        <v>70500 PROFESSIONAL FEES : 70520 EE BACKGROUND CHECK</v>
      </c>
      <c r="D387" s="185" t="str">
        <f t="shared" si="42"/>
        <v>70520 EE BACKGROUND CHECK</v>
      </c>
      <c r="E387" s="185" t="str">
        <f t="shared" si="43"/>
        <v>70500 PROFESSIONAL FEES</v>
      </c>
      <c r="G387" s="191" t="s">
        <v>222</v>
      </c>
      <c r="H387" s="192"/>
      <c r="I387" s="192">
        <v>544.5</v>
      </c>
    </row>
    <row r="388" spans="1:9">
      <c r="A388" s="185" t="s">
        <v>82</v>
      </c>
      <c r="B388" s="186">
        <f t="shared" ca="1" si="40"/>
        <v>306.3</v>
      </c>
      <c r="C388" s="185" t="str">
        <f t="shared" si="41"/>
        <v>70500 PROFESSIONAL FEES : 70500 PROFESSIONAL FEES OTHER</v>
      </c>
      <c r="D388" s="185" t="str">
        <f t="shared" si="42"/>
        <v>70500 PROFESSIONAL FEES OTHER</v>
      </c>
      <c r="E388" s="185" t="str">
        <f t="shared" si="43"/>
        <v>70500 PROFESSIONAL FEES</v>
      </c>
      <c r="G388" s="191" t="s">
        <v>223</v>
      </c>
      <c r="H388" s="192"/>
      <c r="I388" s="192">
        <v>3372.76</v>
      </c>
    </row>
    <row r="389" spans="1:9">
      <c r="A389" s="185" t="str">
        <f>IF(AND(LEN(G389)&gt;0,LEN(G388)=0,LEFT(G389,3)&lt;&gt;"TOT"),"GROUP","")</f>
        <v/>
      </c>
      <c r="B389" s="186" t="str">
        <f t="shared" ca="1" si="40"/>
        <v/>
      </c>
      <c r="C389" s="185" t="str">
        <f t="shared" si="41"/>
        <v/>
      </c>
      <c r="D389" s="185" t="str">
        <f t="shared" si="42"/>
        <v/>
      </c>
      <c r="E389" s="185" t="str">
        <f t="shared" si="43"/>
        <v/>
      </c>
      <c r="G389" s="191" t="s">
        <v>295</v>
      </c>
      <c r="H389" s="192"/>
      <c r="I389" s="192">
        <v>21663.439999999999</v>
      </c>
    </row>
    <row r="390" spans="1:9">
      <c r="A390" s="185" t="str">
        <f>IF(AND(LEN(G390)&gt;0,LEN(G389)=0,LEFT(G390,3)&lt;&gt;"TOT"),"GROUP","")</f>
        <v/>
      </c>
      <c r="B390" s="186" t="str">
        <f t="shared" ca="1" si="40"/>
        <v/>
      </c>
      <c r="C390" s="185" t="str">
        <f t="shared" si="41"/>
        <v/>
      </c>
      <c r="D390" s="185" t="str">
        <f t="shared" si="42"/>
        <v/>
      </c>
      <c r="E390" s="185" t="str">
        <f t="shared" si="43"/>
        <v/>
      </c>
      <c r="G390" s="191" t="s">
        <v>99</v>
      </c>
      <c r="H390" s="192"/>
      <c r="I390" s="192"/>
    </row>
    <row r="391" spans="1:9">
      <c r="A391" s="185" t="str">
        <f>IF(AND(LEN(G391)&gt;0,LEN(G390)=0,LEFT(G391,3)&lt;&gt;"TOT"),"GROUP","")</f>
        <v>GROUP</v>
      </c>
      <c r="B391" s="186"/>
      <c r="C391" s="185" t="str">
        <f t="shared" si="41"/>
        <v/>
      </c>
      <c r="D391" s="185" t="str">
        <f t="shared" si="42"/>
        <v/>
      </c>
      <c r="E391" s="185" t="str">
        <f t="shared" si="43"/>
        <v>70800 OFFICE EQUIPMENT</v>
      </c>
      <c r="G391" s="191" t="s">
        <v>296</v>
      </c>
      <c r="H391" s="201"/>
      <c r="I391" s="192"/>
    </row>
    <row r="392" spans="1:9">
      <c r="A392" s="185" t="s">
        <v>82</v>
      </c>
      <c r="B392" s="186">
        <f t="shared" ca="1" si="40"/>
        <v>306.3</v>
      </c>
      <c r="C392" s="185" t="str">
        <f t="shared" si="41"/>
        <v>70800 OFFICE EQUIPMENT : 70620 OFFICE EQUIPMENT LEASE</v>
      </c>
      <c r="D392" s="185" t="str">
        <f t="shared" si="42"/>
        <v>70620 OFFICE EQUIPMENT LEASE</v>
      </c>
      <c r="E392" s="185" t="str">
        <f t="shared" si="43"/>
        <v>70800 OFFICE EQUIPMENT</v>
      </c>
      <c r="G392" s="191" t="s">
        <v>226</v>
      </c>
      <c r="H392" s="201"/>
      <c r="I392" s="192">
        <v>22633.54</v>
      </c>
    </row>
    <row r="393" spans="1:9">
      <c r="A393" s="185" t="s">
        <v>82</v>
      </c>
      <c r="B393" s="186">
        <f t="shared" ca="1" si="40"/>
        <v>306.3</v>
      </c>
      <c r="C393" s="185" t="str">
        <f t="shared" si="41"/>
        <v>70800 OFFICE EQUIPMENT : 70810 OFFICE EQUIPMENT REPAIRS</v>
      </c>
      <c r="D393" s="185" t="str">
        <f t="shared" si="42"/>
        <v>70810 OFFICE EQUIPMENT REPAIRS</v>
      </c>
      <c r="E393" s="185" t="str">
        <f t="shared" si="43"/>
        <v>70800 OFFICE EQUIPMENT</v>
      </c>
      <c r="G393" s="191" t="s">
        <v>297</v>
      </c>
      <c r="H393" s="192"/>
      <c r="I393" s="192">
        <v>5876.37</v>
      </c>
    </row>
    <row r="394" spans="1:9">
      <c r="A394" s="185" t="str">
        <f>IF(AND(LEN(G394)&gt;0,LEN(G393)=0,LEFT(G394,3)&lt;&gt;"TOT"),"GROUP","")</f>
        <v/>
      </c>
      <c r="B394" s="186" t="str">
        <f t="shared" ca="1" si="40"/>
        <v/>
      </c>
      <c r="C394" s="185" t="str">
        <f t="shared" si="41"/>
        <v/>
      </c>
      <c r="D394" s="185" t="str">
        <f t="shared" si="42"/>
        <v/>
      </c>
      <c r="E394" s="185" t="str">
        <f t="shared" si="43"/>
        <v/>
      </c>
      <c r="G394" s="191" t="s">
        <v>298</v>
      </c>
      <c r="H394" s="192"/>
      <c r="I394" s="192">
        <v>28509.91</v>
      </c>
    </row>
    <row r="395" spans="1:9">
      <c r="A395" s="185" t="str">
        <f>IF(AND(LEN(G395)&gt;0,LEN(G394)=0,LEFT(G395,3)&lt;&gt;"TOT"),"GROUP","")</f>
        <v/>
      </c>
      <c r="B395" s="186"/>
      <c r="C395" s="185" t="str">
        <f t="shared" ref="C395" si="51">IF(LEN(D395)&gt;0,TRIM(E395&amp;" : "&amp;D395),"")</f>
        <v/>
      </c>
      <c r="D395" s="185"/>
      <c r="E395" s="185"/>
      <c r="G395" s="191" t="s">
        <v>99</v>
      </c>
      <c r="H395" s="201"/>
      <c r="I395" s="192"/>
    </row>
    <row r="396" spans="1:9">
      <c r="A396" s="185" t="str">
        <f>IF(AND(LEN(G396)&gt;0,LEN(G395)=0,LEFT(G396,3)&lt;&gt;"TOT"),"GROUP","")</f>
        <v>GROUP</v>
      </c>
      <c r="B396" s="186"/>
      <c r="C396" s="185" t="str">
        <f t="shared" ref="C396" si="52">IF(LEN(D396)&gt;0,TRIM(E396&amp;" : "&amp;D396),"")</f>
        <v/>
      </c>
      <c r="D396" s="185" t="str">
        <f t="shared" ref="D396:D454" si="53">IFERROR(IF(AND(LEN(A396)&gt;0,A396&lt;&gt;"GROUP"),UPPER(G396),""),"")</f>
        <v/>
      </c>
      <c r="E396" s="185" t="str">
        <f t="shared" ref="E396:E454" si="54">IFERROR(IF(A396="GROUP",UPPER(G396),IF(AND(LEN(A396)&gt;0,A396&lt;&gt;"GROUP"),UPPER(E395),"")),"")</f>
        <v>73000 VEHICLE EXPENSES</v>
      </c>
      <c r="G396" s="191" t="s">
        <v>236</v>
      </c>
      <c r="H396" s="201"/>
      <c r="I396" s="192"/>
    </row>
    <row r="397" spans="1:9">
      <c r="A397" s="185" t="s">
        <v>82</v>
      </c>
      <c r="B397" s="186">
        <f t="shared" ref="B397:B453" ca="1" si="55">IF(LEN(A397)=0,"",IFERROR(VLOOKUP(C397,INDIRECT(A397&amp;"_LOOKUP"),2,FALSE),"-100"))</f>
        <v>312.3</v>
      </c>
      <c r="C397" s="185" t="str">
        <f t="shared" ref="C397:C454" si="56">IF(LEN(D397)&gt;0,TRIM(E397&amp;" : "&amp;D397),"")</f>
        <v>73000 VEHICLE EXPENSES : 73700 MILEAGE REIMBURSEMENT</v>
      </c>
      <c r="D397" s="185" t="str">
        <f t="shared" si="53"/>
        <v>73700 MILEAGE REIMBURSEMENT</v>
      </c>
      <c r="E397" s="185" t="str">
        <f t="shared" si="54"/>
        <v>73000 VEHICLE EXPENSES</v>
      </c>
      <c r="G397" s="191" t="s">
        <v>299</v>
      </c>
      <c r="H397" s="192"/>
      <c r="I397" s="192">
        <v>1465.07</v>
      </c>
    </row>
    <row r="398" spans="1:9">
      <c r="A398" s="185" t="s">
        <v>82</v>
      </c>
      <c r="B398" s="186">
        <f t="shared" ca="1" si="55"/>
        <v>312.3</v>
      </c>
      <c r="C398" s="185" t="str">
        <f t="shared" si="56"/>
        <v>73000 VEHICLE EXPENSES : 73200 PARKING &amp; TOLLS</v>
      </c>
      <c r="D398" s="185" t="str">
        <f t="shared" si="53"/>
        <v>73200 PARKING &amp; TOLLS</v>
      </c>
      <c r="E398" s="185" t="str">
        <f t="shared" si="54"/>
        <v>73000 VEHICLE EXPENSES</v>
      </c>
      <c r="G398" s="191" t="s">
        <v>238</v>
      </c>
      <c r="H398" s="192"/>
      <c r="I398" s="192">
        <v>793.21</v>
      </c>
    </row>
    <row r="399" spans="1:9">
      <c r="A399" s="185" t="s">
        <v>82</v>
      </c>
      <c r="B399" s="186">
        <f t="shared" ca="1" si="55"/>
        <v>312.3</v>
      </c>
      <c r="C399" s="185" t="str">
        <f t="shared" si="56"/>
        <v>73000 VEHICLE EXPENSES : 73100 GAS</v>
      </c>
      <c r="D399" s="185" t="str">
        <f t="shared" si="53"/>
        <v>73100 GAS</v>
      </c>
      <c r="E399" s="185" t="str">
        <f t="shared" si="54"/>
        <v>73000 VEHICLE EXPENSES</v>
      </c>
      <c r="G399" s="191" t="s">
        <v>239</v>
      </c>
      <c r="H399" s="192"/>
      <c r="I399" s="192">
        <v>871.53</v>
      </c>
    </row>
    <row r="400" spans="1:9">
      <c r="A400" s="185" t="s">
        <v>82</v>
      </c>
      <c r="B400" s="186">
        <f t="shared" ca="1" si="55"/>
        <v>312.3</v>
      </c>
      <c r="C400" s="185" t="str">
        <f t="shared" si="56"/>
        <v>73000 VEHICLE EXPENSES : 73400 INSURANCE</v>
      </c>
      <c r="D400" s="185" t="str">
        <f t="shared" si="53"/>
        <v>73400 INSURANCE</v>
      </c>
      <c r="E400" s="185" t="str">
        <f t="shared" si="54"/>
        <v>73000 VEHICLE EXPENSES</v>
      </c>
      <c r="G400" s="191" t="s">
        <v>240</v>
      </c>
      <c r="H400" s="192"/>
      <c r="I400" s="192">
        <v>2118.3000000000002</v>
      </c>
    </row>
    <row r="401" spans="1:9">
      <c r="A401" s="185" t="s">
        <v>82</v>
      </c>
      <c r="B401" s="186">
        <f t="shared" ca="1" si="55"/>
        <v>312.3</v>
      </c>
      <c r="C401" s="185" t="str">
        <f t="shared" si="56"/>
        <v>73000 VEHICLE EXPENSES : 73800 REGISTRATION &amp; FEES</v>
      </c>
      <c r="D401" s="185" t="str">
        <f t="shared" si="53"/>
        <v>73800 REGISTRATION &amp; FEES</v>
      </c>
      <c r="E401" s="185" t="str">
        <f t="shared" si="54"/>
        <v>73000 VEHICLE EXPENSES</v>
      </c>
      <c r="G401" s="191" t="s">
        <v>300</v>
      </c>
      <c r="H401" s="201"/>
      <c r="I401" s="192">
        <v>201.04</v>
      </c>
    </row>
    <row r="402" spans="1:9">
      <c r="A402" s="185" t="s">
        <v>82</v>
      </c>
      <c r="B402" s="186">
        <f t="shared" ca="1" si="55"/>
        <v>312.3</v>
      </c>
      <c r="C402" s="185" t="str">
        <f t="shared" si="56"/>
        <v>73000 VEHICLE EXPENSES : 73800 REPAIRS &amp; MAINTENANCE</v>
      </c>
      <c r="D402" s="185" t="str">
        <f t="shared" si="53"/>
        <v>73800 REPAIRS &amp; MAINTENANCE</v>
      </c>
      <c r="E402" s="185" t="str">
        <f t="shared" si="54"/>
        <v>73000 VEHICLE EXPENSES</v>
      </c>
      <c r="G402" s="191" t="s">
        <v>242</v>
      </c>
      <c r="H402" s="201"/>
      <c r="I402" s="192">
        <v>789.2</v>
      </c>
    </row>
    <row r="403" spans="1:9">
      <c r="A403" s="185" t="str">
        <f t="shared" ref="A403:A405" si="57">IF(AND(LEN(G403)&gt;0,LEN(G402)=0,LEFT(G403,3)&lt;&gt;"TOT"),"GROUP","")</f>
        <v/>
      </c>
      <c r="B403" s="186" t="str">
        <f t="shared" ca="1" si="55"/>
        <v/>
      </c>
      <c r="C403" s="185" t="str">
        <f t="shared" si="56"/>
        <v/>
      </c>
      <c r="D403" s="185" t="str">
        <f t="shared" si="53"/>
        <v/>
      </c>
      <c r="E403" s="185" t="str">
        <f t="shared" si="54"/>
        <v/>
      </c>
      <c r="G403" s="191" t="s">
        <v>244</v>
      </c>
      <c r="H403" s="192"/>
      <c r="I403" s="192">
        <v>6238.31</v>
      </c>
    </row>
    <row r="404" spans="1:9">
      <c r="A404" s="185" t="str">
        <f t="shared" si="57"/>
        <v/>
      </c>
      <c r="B404" s="186" t="str">
        <f t="shared" ca="1" si="55"/>
        <v/>
      </c>
      <c r="C404" s="185" t="str">
        <f t="shared" si="56"/>
        <v/>
      </c>
      <c r="D404" s="185" t="str">
        <f t="shared" si="53"/>
        <v/>
      </c>
      <c r="E404" s="185" t="str">
        <f t="shared" si="54"/>
        <v/>
      </c>
      <c r="G404" s="191" t="s">
        <v>99</v>
      </c>
      <c r="H404" s="201"/>
      <c r="I404" s="192"/>
    </row>
    <row r="405" spans="1:9">
      <c r="A405" s="185" t="str">
        <f t="shared" si="57"/>
        <v>GROUP</v>
      </c>
      <c r="B405" s="186"/>
      <c r="C405" s="185" t="str">
        <f t="shared" si="56"/>
        <v/>
      </c>
      <c r="D405" s="185" t="str">
        <f t="shared" si="53"/>
        <v/>
      </c>
      <c r="E405" s="185" t="str">
        <f t="shared" si="54"/>
        <v>82000 INTEREST EXPENSE</v>
      </c>
      <c r="G405" s="191" t="s">
        <v>247</v>
      </c>
      <c r="H405" s="192"/>
      <c r="I405" s="192"/>
    </row>
    <row r="406" spans="1:9">
      <c r="A406" s="185" t="s">
        <v>82</v>
      </c>
      <c r="B406" s="186">
        <f t="shared" ca="1" si="55"/>
        <v>990</v>
      </c>
      <c r="C406" s="185" t="str">
        <f t="shared" si="56"/>
        <v>82000 INTEREST EXPENSE : 82100 CREDIT CARD FINANCE CHARGES</v>
      </c>
      <c r="D406" s="185" t="str">
        <f t="shared" si="53"/>
        <v>82100 CREDIT CARD FINANCE CHARGES</v>
      </c>
      <c r="E406" s="185" t="str">
        <f t="shared" si="54"/>
        <v>82000 INTEREST EXPENSE</v>
      </c>
      <c r="G406" s="191" t="s">
        <v>248</v>
      </c>
      <c r="H406" s="192"/>
      <c r="I406" s="192">
        <v>1735.96</v>
      </c>
    </row>
    <row r="407" spans="1:9">
      <c r="A407" s="185"/>
      <c r="B407" s="186" t="str">
        <f t="shared" ca="1" si="55"/>
        <v/>
      </c>
      <c r="C407" s="185" t="str">
        <f t="shared" si="56"/>
        <v/>
      </c>
      <c r="D407" s="185" t="str">
        <f t="shared" si="53"/>
        <v/>
      </c>
      <c r="E407" s="185" t="str">
        <f t="shared" si="54"/>
        <v/>
      </c>
      <c r="G407" s="191" t="s">
        <v>251</v>
      </c>
      <c r="H407" s="192"/>
      <c r="I407" s="192">
        <v>1735.96</v>
      </c>
    </row>
    <row r="408" spans="1:9">
      <c r="A408" s="185" t="str">
        <f t="shared" ref="A408:A463" si="58">IF(AND(LEN(G408)&gt;0,LEN(G407)=0,LEFT(G408,3)&lt;&gt;"TOT"),"GROUP","")</f>
        <v/>
      </c>
      <c r="B408" s="186" t="str">
        <f t="shared" ca="1" si="55"/>
        <v/>
      </c>
      <c r="C408" s="185" t="str">
        <f t="shared" si="56"/>
        <v/>
      </c>
      <c r="D408" s="185" t="str">
        <f t="shared" si="53"/>
        <v/>
      </c>
      <c r="E408" s="185" t="str">
        <f t="shared" si="54"/>
        <v/>
      </c>
      <c r="G408" s="191" t="s">
        <v>99</v>
      </c>
      <c r="H408" s="192"/>
      <c r="I408" s="192"/>
    </row>
    <row r="409" spans="1:9">
      <c r="A409" s="193" t="s">
        <v>82</v>
      </c>
      <c r="B409" s="194">
        <v>333</v>
      </c>
      <c r="C409" s="193" t="str">
        <f>UPPER(G409)</f>
        <v>TOTAL EXPENSE</v>
      </c>
      <c r="D409" s="193" t="str">
        <f t="shared" si="53"/>
        <v>TOTAL EXPENSE</v>
      </c>
      <c r="E409" s="193" t="str">
        <f t="shared" si="54"/>
        <v/>
      </c>
      <c r="G409" s="191" t="s">
        <v>75</v>
      </c>
      <c r="H409" s="201"/>
      <c r="I409" s="192">
        <v>2828241.13</v>
      </c>
    </row>
    <row r="410" spans="1:9">
      <c r="A410" s="185" t="str">
        <f t="shared" si="58"/>
        <v/>
      </c>
      <c r="B410" s="186" t="str">
        <f t="shared" ca="1" si="55"/>
        <v/>
      </c>
      <c r="C410" s="185" t="str">
        <f t="shared" si="56"/>
        <v/>
      </c>
      <c r="D410" s="185" t="str">
        <f t="shared" si="53"/>
        <v/>
      </c>
      <c r="E410" s="185" t="str">
        <f t="shared" si="54"/>
        <v/>
      </c>
      <c r="G410" s="191" t="s">
        <v>99</v>
      </c>
      <c r="H410" s="201"/>
      <c r="I410" s="192"/>
    </row>
    <row r="411" spans="1:9">
      <c r="A411" s="185" t="str">
        <f t="shared" si="58"/>
        <v/>
      </c>
      <c r="B411" s="186" t="str">
        <f t="shared" ca="1" si="55"/>
        <v/>
      </c>
      <c r="C411" s="185" t="str">
        <f t="shared" si="56"/>
        <v/>
      </c>
      <c r="D411" s="185" t="str">
        <f t="shared" si="53"/>
        <v/>
      </c>
      <c r="E411" s="185" t="str">
        <f t="shared" si="54"/>
        <v/>
      </c>
      <c r="G411" s="191" t="s">
        <v>99</v>
      </c>
      <c r="H411" s="192"/>
      <c r="I411" s="192"/>
    </row>
    <row r="412" spans="1:9">
      <c r="A412" s="185"/>
      <c r="B412" s="186" t="str">
        <f t="shared" ca="1" si="55"/>
        <v/>
      </c>
      <c r="C412" s="185" t="str">
        <f t="shared" si="56"/>
        <v/>
      </c>
      <c r="D412" s="185" t="str">
        <f t="shared" si="53"/>
        <v/>
      </c>
      <c r="E412" s="185" t="str">
        <f t="shared" si="54"/>
        <v/>
      </c>
      <c r="G412" s="191" t="s">
        <v>76</v>
      </c>
      <c r="H412" s="192"/>
      <c r="I412" s="192">
        <v>-183406.54</v>
      </c>
    </row>
    <row r="413" spans="1:9">
      <c r="A413" s="185" t="str">
        <f t="shared" si="58"/>
        <v/>
      </c>
      <c r="B413" s="186" t="str">
        <f t="shared" ca="1" si="55"/>
        <v/>
      </c>
      <c r="C413" s="185" t="str">
        <f t="shared" si="56"/>
        <v/>
      </c>
      <c r="D413" s="185" t="str">
        <f t="shared" si="53"/>
        <v/>
      </c>
      <c r="E413" s="185" t="str">
        <f t="shared" si="54"/>
        <v/>
      </c>
      <c r="G413" s="191" t="s">
        <v>99</v>
      </c>
      <c r="H413" s="192"/>
      <c r="I413" s="192"/>
    </row>
    <row r="414" spans="1:9">
      <c r="A414" s="185" t="str">
        <f t="shared" si="58"/>
        <v>GROUP</v>
      </c>
      <c r="B414" s="186"/>
      <c r="C414" s="185" t="str">
        <f t="shared" si="56"/>
        <v/>
      </c>
      <c r="D414" s="185" t="str">
        <f t="shared" si="53"/>
        <v/>
      </c>
      <c r="E414" s="185" t="str">
        <f t="shared" si="54"/>
        <v>OTHER INCOME/EXPENSE</v>
      </c>
      <c r="G414" s="191" t="s">
        <v>252</v>
      </c>
      <c r="H414" s="192"/>
      <c r="I414" s="192"/>
    </row>
    <row r="415" spans="1:9">
      <c r="A415" s="185" t="s">
        <v>82</v>
      </c>
      <c r="B415" s="186">
        <f t="shared" ca="1" si="55"/>
        <v>306.3</v>
      </c>
      <c r="C415" s="185" t="str">
        <f t="shared" si="56"/>
        <v>OTHER INCOME/EXPENSE : OTHER EXPANSE</v>
      </c>
      <c r="D415" s="185" t="str">
        <f t="shared" si="53"/>
        <v>OTHER EXPANSE</v>
      </c>
      <c r="E415" s="185" t="str">
        <f t="shared" si="54"/>
        <v>OTHER INCOME/EXPENSE</v>
      </c>
      <c r="G415" s="191" t="s">
        <v>302</v>
      </c>
      <c r="H415" s="201"/>
      <c r="I415" s="192"/>
    </row>
    <row r="416" spans="1:9">
      <c r="A416" s="185" t="s">
        <v>82</v>
      </c>
      <c r="B416" s="186">
        <f t="shared" ca="1" si="55"/>
        <v>990</v>
      </c>
      <c r="C416" s="185" t="str">
        <f t="shared" si="56"/>
        <v>OTHER INCOME/EXPENSE : 85000 DEPRECIATION &amp; AMORTIZATION</v>
      </c>
      <c r="D416" s="185" t="str">
        <f t="shared" si="53"/>
        <v>85000 DEPRECIATION &amp; AMORTIZATION</v>
      </c>
      <c r="E416" s="185" t="str">
        <f t="shared" si="54"/>
        <v>OTHER INCOME/EXPENSE</v>
      </c>
      <c r="G416" s="191" t="s">
        <v>253</v>
      </c>
      <c r="H416" s="201"/>
      <c r="I416" s="192">
        <v>903.96</v>
      </c>
    </row>
    <row r="417" spans="1:10">
      <c r="A417" s="185" t="str">
        <f t="shared" si="58"/>
        <v/>
      </c>
      <c r="B417" s="186" t="str">
        <f t="shared" ca="1" si="55"/>
        <v/>
      </c>
      <c r="C417" s="185" t="str">
        <f t="shared" si="56"/>
        <v/>
      </c>
      <c r="D417" s="185" t="str">
        <f t="shared" si="53"/>
        <v/>
      </c>
      <c r="E417" s="185" t="str">
        <f t="shared" si="54"/>
        <v/>
      </c>
      <c r="G417" s="191" t="s">
        <v>78</v>
      </c>
      <c r="H417" s="192"/>
      <c r="I417" s="192">
        <v>903.96</v>
      </c>
    </row>
    <row r="418" spans="1:10">
      <c r="A418" s="185" t="str">
        <f t="shared" si="58"/>
        <v/>
      </c>
      <c r="B418" s="186" t="str">
        <f t="shared" ca="1" si="55"/>
        <v/>
      </c>
      <c r="C418" s="185" t="str">
        <f t="shared" si="56"/>
        <v/>
      </c>
      <c r="D418" s="185" t="str">
        <f t="shared" si="53"/>
        <v/>
      </c>
      <c r="E418" s="185" t="str">
        <f t="shared" si="54"/>
        <v/>
      </c>
      <c r="G418" s="191" t="s">
        <v>99</v>
      </c>
      <c r="H418" s="192"/>
      <c r="I418" s="192"/>
    </row>
    <row r="419" spans="1:10">
      <c r="A419" s="185"/>
      <c r="B419" s="186" t="str">
        <f t="shared" ca="1" si="55"/>
        <v/>
      </c>
      <c r="C419" s="185" t="str">
        <f t="shared" si="56"/>
        <v/>
      </c>
      <c r="D419" s="185" t="str">
        <f t="shared" si="53"/>
        <v/>
      </c>
      <c r="E419" s="185" t="str">
        <f t="shared" si="54"/>
        <v/>
      </c>
      <c r="G419" s="191" t="s">
        <v>79</v>
      </c>
      <c r="H419" s="192"/>
      <c r="I419" s="192">
        <v>903.96</v>
      </c>
    </row>
    <row r="420" spans="1:10">
      <c r="A420" s="193" t="s">
        <v>82</v>
      </c>
      <c r="B420" s="194">
        <v>444</v>
      </c>
      <c r="C420" s="193" t="str">
        <f>UPPER(G420)</f>
        <v>NET INCOME</v>
      </c>
      <c r="D420" s="193" t="str">
        <f t="shared" si="53"/>
        <v>NET INCOME</v>
      </c>
      <c r="E420" s="193" t="str">
        <f t="shared" si="54"/>
        <v/>
      </c>
      <c r="G420" s="191" t="s">
        <v>80</v>
      </c>
      <c r="H420" s="192"/>
      <c r="I420" s="192">
        <v>-184310.5</v>
      </c>
    </row>
    <row r="421" spans="1:10">
      <c r="A421" s="197" t="str">
        <f t="shared" si="58"/>
        <v/>
      </c>
      <c r="B421" s="196" t="str">
        <f t="shared" ca="1" si="55"/>
        <v/>
      </c>
      <c r="C421" s="197" t="str">
        <f t="shared" si="56"/>
        <v/>
      </c>
      <c r="D421" s="197" t="str">
        <f t="shared" si="53"/>
        <v/>
      </c>
      <c r="E421" s="197" t="str">
        <f t="shared" si="54"/>
        <v/>
      </c>
      <c r="F421" s="209"/>
      <c r="G421" s="209"/>
      <c r="H421" s="210"/>
      <c r="I421" s="212"/>
    </row>
    <row r="422" spans="1:10">
      <c r="A422" s="185" t="str">
        <f t="shared" si="58"/>
        <v/>
      </c>
      <c r="B422" s="186" t="str">
        <f t="shared" ca="1" si="55"/>
        <v/>
      </c>
      <c r="C422" s="185" t="str">
        <f t="shared" si="56"/>
        <v/>
      </c>
      <c r="D422" s="185" t="str">
        <f t="shared" si="53"/>
        <v/>
      </c>
      <c r="E422" s="185" t="str">
        <f t="shared" si="54"/>
        <v/>
      </c>
    </row>
    <row r="423" spans="1:10">
      <c r="A423" s="185" t="str">
        <f t="shared" si="58"/>
        <v>GROUP</v>
      </c>
      <c r="B423" s="186"/>
      <c r="C423" s="185" t="str">
        <f t="shared" si="56"/>
        <v/>
      </c>
      <c r="D423" s="185" t="str">
        <f t="shared" si="53"/>
        <v/>
      </c>
      <c r="E423" s="185" t="str">
        <f t="shared" si="54"/>
        <v>INCOME</v>
      </c>
      <c r="G423" s="191" t="s">
        <v>73</v>
      </c>
      <c r="H423" s="213"/>
    </row>
    <row r="424" spans="1:10">
      <c r="A424" s="185" t="s">
        <v>312</v>
      </c>
      <c r="B424" s="186">
        <f t="shared" ca="1" si="55"/>
        <v>201</v>
      </c>
      <c r="C424" s="185" t="str">
        <f t="shared" si="56"/>
        <v>INCOME : 40100 ROOM &amp; BOARD</v>
      </c>
      <c r="D424" s="185" t="str">
        <f t="shared" si="53"/>
        <v>40100 ROOM &amp; BOARD</v>
      </c>
      <c r="E424" s="185" t="str">
        <f t="shared" si="54"/>
        <v>INCOME</v>
      </c>
      <c r="G424" s="191" t="s">
        <v>92</v>
      </c>
      <c r="H424" s="213"/>
    </row>
    <row r="425" spans="1:10">
      <c r="A425" s="185" t="s">
        <v>312</v>
      </c>
      <c r="B425" s="186">
        <f t="shared" ca="1" si="55"/>
        <v>201</v>
      </c>
      <c r="C425" s="185" t="str">
        <f t="shared" si="56"/>
        <v>INCOME : 40101 BUILDING 9900</v>
      </c>
      <c r="D425" s="185" t="str">
        <f t="shared" si="53"/>
        <v>40101 BUILDING 9900</v>
      </c>
      <c r="E425" s="185" t="str">
        <f t="shared" si="54"/>
        <v>INCOME</v>
      </c>
      <c r="G425" s="191" t="s">
        <v>93</v>
      </c>
      <c r="J425" s="192">
        <v>369791.74</v>
      </c>
    </row>
    <row r="426" spans="1:10">
      <c r="A426" s="185" t="s">
        <v>312</v>
      </c>
      <c r="B426" s="186">
        <f t="shared" ca="1" si="55"/>
        <v>201</v>
      </c>
      <c r="C426" s="185" t="str">
        <f t="shared" si="56"/>
        <v>INCOME : 40102 BUILDING 9902</v>
      </c>
      <c r="D426" s="185" t="str">
        <f t="shared" si="53"/>
        <v>40102 BUILDING 9902</v>
      </c>
      <c r="E426" s="185" t="str">
        <f t="shared" si="54"/>
        <v>INCOME</v>
      </c>
      <c r="G426" s="191" t="s">
        <v>94</v>
      </c>
      <c r="J426" s="192">
        <v>370155.55</v>
      </c>
    </row>
    <row r="427" spans="1:10">
      <c r="A427" s="185" t="s">
        <v>312</v>
      </c>
      <c r="B427" s="186">
        <f t="shared" ca="1" si="55"/>
        <v>201</v>
      </c>
      <c r="C427" s="185" t="str">
        <f t="shared" si="56"/>
        <v>INCOME : 40104 BUILDING 9904</v>
      </c>
      <c r="D427" s="185" t="str">
        <f t="shared" si="53"/>
        <v>40104 BUILDING 9904</v>
      </c>
      <c r="E427" s="185" t="str">
        <f t="shared" si="54"/>
        <v>INCOME</v>
      </c>
      <c r="G427" s="191" t="s">
        <v>95</v>
      </c>
      <c r="J427" s="192">
        <v>320758.65000000002</v>
      </c>
    </row>
    <row r="428" spans="1:10">
      <c r="A428" s="185" t="s">
        <v>312</v>
      </c>
      <c r="B428" s="186">
        <f t="shared" ca="1" si="55"/>
        <v>202</v>
      </c>
      <c r="C428" s="185" t="str">
        <f t="shared" si="56"/>
        <v>INCOME : 40106 BUILDING 9906</v>
      </c>
      <c r="D428" s="185" t="str">
        <f t="shared" si="53"/>
        <v>40106 BUILDING 9906</v>
      </c>
      <c r="E428" s="185" t="str">
        <f t="shared" si="54"/>
        <v>INCOME</v>
      </c>
      <c r="G428" s="191" t="s">
        <v>256</v>
      </c>
      <c r="J428" s="192">
        <v>212626.54</v>
      </c>
    </row>
    <row r="429" spans="1:10">
      <c r="A429" s="185" t="s">
        <v>312</v>
      </c>
      <c r="B429" s="186">
        <f t="shared" ca="1" si="55"/>
        <v>205</v>
      </c>
      <c r="C429" s="185" t="str">
        <f t="shared" si="56"/>
        <v>INCOME : 40100 ROOM &amp; BOARD OTHER</v>
      </c>
      <c r="D429" s="185" t="str">
        <f t="shared" si="53"/>
        <v>40100 ROOM &amp; BOARD OTHER</v>
      </c>
      <c r="E429" s="185" t="str">
        <f t="shared" si="54"/>
        <v>INCOME</v>
      </c>
      <c r="G429" s="191" t="s">
        <v>97</v>
      </c>
      <c r="J429" s="192">
        <v>450</v>
      </c>
    </row>
    <row r="430" spans="1:10">
      <c r="A430" s="185" t="str">
        <f t="shared" si="58"/>
        <v/>
      </c>
      <c r="B430" s="186" t="str">
        <f t="shared" ca="1" si="55"/>
        <v/>
      </c>
      <c r="C430" s="185" t="str">
        <f t="shared" si="56"/>
        <v/>
      </c>
      <c r="D430" s="185" t="str">
        <f t="shared" si="53"/>
        <v/>
      </c>
      <c r="E430" s="185" t="str">
        <f t="shared" si="54"/>
        <v/>
      </c>
      <c r="G430" s="191" t="s">
        <v>98</v>
      </c>
      <c r="J430" s="192">
        <v>1273781.48</v>
      </c>
    </row>
    <row r="431" spans="1:10">
      <c r="A431" s="185" t="str">
        <f t="shared" si="58"/>
        <v/>
      </c>
      <c r="B431" s="186" t="str">
        <f t="shared" ca="1" si="55"/>
        <v/>
      </c>
      <c r="C431" s="185" t="str">
        <f t="shared" si="56"/>
        <v/>
      </c>
      <c r="D431" s="185" t="str">
        <f t="shared" si="53"/>
        <v/>
      </c>
      <c r="E431" s="185" t="str">
        <f t="shared" si="54"/>
        <v/>
      </c>
      <c r="G431" s="191" t="s">
        <v>99</v>
      </c>
      <c r="J431" s="192"/>
    </row>
    <row r="432" spans="1:10">
      <c r="A432" s="185" t="str">
        <f t="shared" si="58"/>
        <v>GROUP</v>
      </c>
      <c r="B432" s="186"/>
      <c r="C432" s="185" t="str">
        <f t="shared" si="56"/>
        <v/>
      </c>
      <c r="D432" s="185" t="str">
        <f t="shared" si="53"/>
        <v/>
      </c>
      <c r="E432" s="185" t="str">
        <f t="shared" si="54"/>
        <v>40110 MEDICAID WAIVER</v>
      </c>
      <c r="G432" s="191" t="s">
        <v>100</v>
      </c>
      <c r="J432" s="192"/>
    </row>
    <row r="433" spans="1:10">
      <c r="A433" s="185" t="s">
        <v>312</v>
      </c>
      <c r="B433" s="186">
        <f t="shared" ca="1" si="55"/>
        <v>201</v>
      </c>
      <c r="C433" s="185" t="str">
        <f t="shared" si="56"/>
        <v>40110 MEDICAID WAIVER : 40113 BUILDING 9904</v>
      </c>
      <c r="D433" s="185" t="str">
        <f t="shared" si="53"/>
        <v>40113 BUILDING 9904</v>
      </c>
      <c r="E433" s="185" t="str">
        <f t="shared" si="54"/>
        <v>40110 MEDICAID WAIVER</v>
      </c>
      <c r="G433" s="191" t="s">
        <v>101</v>
      </c>
      <c r="J433" s="192">
        <v>16032.55</v>
      </c>
    </row>
    <row r="434" spans="1:10">
      <c r="A434" s="185" t="s">
        <v>312</v>
      </c>
      <c r="B434" s="186">
        <f t="shared" ca="1" si="55"/>
        <v>201</v>
      </c>
      <c r="C434" s="185" t="str">
        <f t="shared" si="56"/>
        <v>40110 MEDICAID WAIVER : 40111 BUILDING 9900</v>
      </c>
      <c r="D434" s="185" t="str">
        <f t="shared" si="53"/>
        <v>40111 BUILDING 9900</v>
      </c>
      <c r="E434" s="185" t="str">
        <f t="shared" si="54"/>
        <v>40110 MEDICAID WAIVER</v>
      </c>
      <c r="G434" s="191" t="s">
        <v>102</v>
      </c>
      <c r="J434" s="192">
        <v>3593.19</v>
      </c>
    </row>
    <row r="435" spans="1:10">
      <c r="A435" s="185" t="str">
        <f t="shared" si="58"/>
        <v/>
      </c>
      <c r="B435" s="186" t="str">
        <f t="shared" ca="1" si="55"/>
        <v/>
      </c>
      <c r="C435" s="185" t="str">
        <f t="shared" si="56"/>
        <v/>
      </c>
      <c r="D435" s="185" t="str">
        <f t="shared" si="53"/>
        <v/>
      </c>
      <c r="E435" s="185" t="str">
        <f t="shared" si="54"/>
        <v/>
      </c>
      <c r="G435" s="191" t="s">
        <v>103</v>
      </c>
      <c r="J435" s="192">
        <v>19625.740000000002</v>
      </c>
    </row>
    <row r="436" spans="1:10">
      <c r="A436" s="185" t="str">
        <f t="shared" si="58"/>
        <v/>
      </c>
      <c r="B436" s="186" t="str">
        <f t="shared" ca="1" si="55"/>
        <v/>
      </c>
      <c r="C436" s="185" t="str">
        <f t="shared" si="56"/>
        <v/>
      </c>
      <c r="D436" s="185" t="str">
        <f t="shared" si="53"/>
        <v/>
      </c>
      <c r="E436" s="185" t="str">
        <f t="shared" si="54"/>
        <v/>
      </c>
      <c r="G436" s="191" t="s">
        <v>99</v>
      </c>
      <c r="J436" s="192"/>
    </row>
    <row r="437" spans="1:10">
      <c r="A437" s="185" t="str">
        <f t="shared" si="58"/>
        <v>GROUP</v>
      </c>
      <c r="B437" s="186"/>
      <c r="C437" s="185" t="str">
        <f t="shared" si="56"/>
        <v/>
      </c>
      <c r="D437" s="185" t="str">
        <f t="shared" si="53"/>
        <v/>
      </c>
      <c r="E437" s="185" t="str">
        <f t="shared" si="54"/>
        <v>40300 RESPITE CARE</v>
      </c>
      <c r="G437" s="191" t="s">
        <v>104</v>
      </c>
      <c r="J437" s="192"/>
    </row>
    <row r="438" spans="1:10">
      <c r="A438" s="185" t="s">
        <v>312</v>
      </c>
      <c r="B438" s="186">
        <f t="shared" ca="1" si="55"/>
        <v>203</v>
      </c>
      <c r="C438" s="185" t="str">
        <f t="shared" si="56"/>
        <v>40300 RESPITE CARE : 40301 BUILDING 9900</v>
      </c>
      <c r="D438" s="185" t="str">
        <f t="shared" si="53"/>
        <v>40301 BUILDING 9900</v>
      </c>
      <c r="E438" s="185" t="str">
        <f t="shared" si="54"/>
        <v>40300 RESPITE CARE</v>
      </c>
      <c r="G438" s="191" t="s">
        <v>257</v>
      </c>
      <c r="J438" s="192">
        <v>9835</v>
      </c>
    </row>
    <row r="439" spans="1:10">
      <c r="A439" s="185" t="s">
        <v>312</v>
      </c>
      <c r="B439" s="186">
        <f t="shared" ca="1" si="55"/>
        <v>203</v>
      </c>
      <c r="C439" s="185" t="str">
        <f t="shared" si="56"/>
        <v>40300 RESPITE CARE : 40302 BUILDING 9902</v>
      </c>
      <c r="D439" s="185" t="str">
        <f t="shared" si="53"/>
        <v>40302 BUILDING 9902</v>
      </c>
      <c r="E439" s="185" t="str">
        <f t="shared" si="54"/>
        <v>40300 RESPITE CARE</v>
      </c>
      <c r="G439" s="191" t="s">
        <v>106</v>
      </c>
      <c r="J439" s="192">
        <v>3225</v>
      </c>
    </row>
    <row r="440" spans="1:10">
      <c r="A440" s="185" t="s">
        <v>312</v>
      </c>
      <c r="B440" s="186">
        <f t="shared" ca="1" si="55"/>
        <v>203</v>
      </c>
      <c r="C440" s="185" t="str">
        <f t="shared" si="56"/>
        <v>40300 RESPITE CARE : 40306 BUILDING 9906</v>
      </c>
      <c r="D440" s="185" t="str">
        <f t="shared" si="53"/>
        <v>40306 BUILDING 9906</v>
      </c>
      <c r="E440" s="185" t="str">
        <f t="shared" si="54"/>
        <v>40300 RESPITE CARE</v>
      </c>
      <c r="G440" s="191" t="s">
        <v>107</v>
      </c>
      <c r="J440" s="192">
        <v>8225</v>
      </c>
    </row>
    <row r="441" spans="1:10">
      <c r="A441" s="185" t="str">
        <f t="shared" si="58"/>
        <v/>
      </c>
      <c r="B441" s="186" t="str">
        <f t="shared" ca="1" si="55"/>
        <v/>
      </c>
      <c r="C441" s="185" t="str">
        <f t="shared" si="56"/>
        <v/>
      </c>
      <c r="D441" s="185" t="str">
        <f t="shared" si="53"/>
        <v/>
      </c>
      <c r="E441" s="185" t="str">
        <f t="shared" si="54"/>
        <v/>
      </c>
      <c r="G441" s="191" t="s">
        <v>108</v>
      </c>
      <c r="J441" s="192">
        <v>21285</v>
      </c>
    </row>
    <row r="442" spans="1:10">
      <c r="A442" s="185" t="str">
        <f t="shared" si="58"/>
        <v/>
      </c>
      <c r="B442" s="186" t="str">
        <f t="shared" ca="1" si="55"/>
        <v/>
      </c>
      <c r="C442" s="185" t="str">
        <f t="shared" si="56"/>
        <v/>
      </c>
      <c r="D442" s="185" t="str">
        <f t="shared" si="53"/>
        <v/>
      </c>
      <c r="E442" s="185" t="str">
        <f t="shared" si="54"/>
        <v/>
      </c>
      <c r="G442" s="191" t="s">
        <v>99</v>
      </c>
      <c r="J442" s="192"/>
    </row>
    <row r="443" spans="1:10">
      <c r="A443" s="185" t="str">
        <f t="shared" si="58"/>
        <v>GROUP</v>
      </c>
      <c r="B443" s="186"/>
      <c r="C443" s="185" t="str">
        <f t="shared" si="56"/>
        <v/>
      </c>
      <c r="D443" s="185" t="str">
        <f t="shared" si="53"/>
        <v/>
      </c>
      <c r="E443" s="185" t="str">
        <f t="shared" si="54"/>
        <v>40200 COMMUNITY ENTRANCE FEE</v>
      </c>
      <c r="G443" s="191" t="s">
        <v>109</v>
      </c>
      <c r="J443" s="192"/>
    </row>
    <row r="444" spans="1:10">
      <c r="A444" s="185" t="s">
        <v>312</v>
      </c>
      <c r="B444" s="186">
        <f t="shared" ca="1" si="55"/>
        <v>204</v>
      </c>
      <c r="C444" s="185" t="str">
        <f t="shared" si="56"/>
        <v>40200 COMMUNITY ENTRANCE FEE : 40201 BUILDING 9900</v>
      </c>
      <c r="D444" s="185" t="str">
        <f t="shared" si="53"/>
        <v>40201 BUILDING 9900</v>
      </c>
      <c r="E444" s="185" t="str">
        <f t="shared" si="54"/>
        <v>40200 COMMUNITY ENTRANCE FEE</v>
      </c>
      <c r="G444" s="191" t="s">
        <v>110</v>
      </c>
      <c r="J444" s="192">
        <v>3500</v>
      </c>
    </row>
    <row r="445" spans="1:10">
      <c r="A445" s="185" t="s">
        <v>312</v>
      </c>
      <c r="B445" s="186">
        <f t="shared" ca="1" si="55"/>
        <v>204</v>
      </c>
      <c r="C445" s="185" t="str">
        <f t="shared" si="56"/>
        <v>40200 COMMUNITY ENTRANCE FEE : 40202 BUILDING 9902</v>
      </c>
      <c r="D445" s="185" t="str">
        <f t="shared" si="53"/>
        <v>40202 BUILDING 9902</v>
      </c>
      <c r="E445" s="185" t="str">
        <f t="shared" si="54"/>
        <v>40200 COMMUNITY ENTRANCE FEE</v>
      </c>
      <c r="G445" s="191" t="s">
        <v>111</v>
      </c>
      <c r="J445" s="192">
        <v>3500</v>
      </c>
    </row>
    <row r="446" spans="1:10">
      <c r="A446" s="185" t="s">
        <v>312</v>
      </c>
      <c r="B446" s="186">
        <f t="shared" ca="1" si="55"/>
        <v>204</v>
      </c>
      <c r="C446" s="185" t="str">
        <f t="shared" si="56"/>
        <v>40200 COMMUNITY ENTRANCE FEE : 40206 BUILDING 9906</v>
      </c>
      <c r="D446" s="185" t="str">
        <f t="shared" si="53"/>
        <v>40206 BUILDING 9906</v>
      </c>
      <c r="E446" s="185" t="str">
        <f t="shared" si="54"/>
        <v>40200 COMMUNITY ENTRANCE FEE</v>
      </c>
      <c r="G446" s="191" t="s">
        <v>259</v>
      </c>
      <c r="J446" s="192">
        <v>3500</v>
      </c>
    </row>
    <row r="447" spans="1:10">
      <c r="A447" s="185" t="str">
        <f t="shared" si="58"/>
        <v/>
      </c>
      <c r="B447" s="186" t="str">
        <f t="shared" ca="1" si="55"/>
        <v/>
      </c>
      <c r="C447" s="185" t="str">
        <f t="shared" si="56"/>
        <v/>
      </c>
      <c r="D447" s="185" t="str">
        <f t="shared" si="53"/>
        <v/>
      </c>
      <c r="E447" s="185" t="str">
        <f t="shared" si="54"/>
        <v/>
      </c>
      <c r="G447" s="191" t="s">
        <v>114</v>
      </c>
      <c r="J447" s="192">
        <v>10500</v>
      </c>
    </row>
    <row r="448" spans="1:10">
      <c r="A448" s="185" t="str">
        <f t="shared" si="58"/>
        <v/>
      </c>
      <c r="B448" s="186" t="str">
        <f t="shared" ca="1" si="55"/>
        <v/>
      </c>
      <c r="C448" s="185" t="str">
        <f t="shared" si="56"/>
        <v/>
      </c>
      <c r="D448" s="185" t="str">
        <f t="shared" si="53"/>
        <v/>
      </c>
      <c r="E448" s="185" t="str">
        <f t="shared" si="54"/>
        <v/>
      </c>
      <c r="G448" s="191" t="s">
        <v>99</v>
      </c>
      <c r="J448" s="192"/>
    </row>
    <row r="449" spans="1:10">
      <c r="A449" s="185" t="str">
        <f t="shared" si="58"/>
        <v>GROUP</v>
      </c>
      <c r="B449" s="186"/>
      <c r="C449" s="185" t="str">
        <f t="shared" si="56"/>
        <v/>
      </c>
      <c r="D449" s="185" t="str">
        <f t="shared" si="53"/>
        <v/>
      </c>
      <c r="E449" s="185" t="str">
        <f t="shared" si="54"/>
        <v>41000 ANCILLARY SERVICES</v>
      </c>
      <c r="G449" s="191" t="s">
        <v>115</v>
      </c>
      <c r="J449" s="192"/>
    </row>
    <row r="450" spans="1:10">
      <c r="A450" s="185" t="s">
        <v>312</v>
      </c>
      <c r="B450" s="186">
        <f t="shared" ca="1" si="55"/>
        <v>206</v>
      </c>
      <c r="C450" s="185" t="str">
        <f t="shared" si="56"/>
        <v>41000 ANCILLARY SERVICES : 41400 SPECIAL CARE SERVICES</v>
      </c>
      <c r="D450" s="185" t="str">
        <f t="shared" si="53"/>
        <v>41400 SPECIAL CARE SERVICES</v>
      </c>
      <c r="E450" s="185" t="str">
        <f t="shared" si="54"/>
        <v>41000 ANCILLARY SERVICES</v>
      </c>
      <c r="G450" s="191" t="s">
        <v>116</v>
      </c>
      <c r="J450" s="192">
        <v>5098</v>
      </c>
    </row>
    <row r="451" spans="1:10">
      <c r="A451" s="185" t="s">
        <v>312</v>
      </c>
      <c r="B451" s="186">
        <f t="shared" ca="1" si="55"/>
        <v>206</v>
      </c>
      <c r="C451" s="185" t="str">
        <f t="shared" si="56"/>
        <v>41000 ANCILLARY SERVICES : 41700 BARBER &amp; SALON SERVICES</v>
      </c>
      <c r="D451" s="185" t="str">
        <f t="shared" si="53"/>
        <v>41700 BARBER &amp; SALON SERVICES</v>
      </c>
      <c r="E451" s="185" t="str">
        <f t="shared" si="54"/>
        <v>41000 ANCILLARY SERVICES</v>
      </c>
      <c r="G451" s="191" t="s">
        <v>117</v>
      </c>
      <c r="J451" s="192">
        <v>4817</v>
      </c>
    </row>
    <row r="452" spans="1:10">
      <c r="A452" s="185" t="s">
        <v>312</v>
      </c>
      <c r="B452" s="186">
        <f t="shared" ca="1" si="55"/>
        <v>206</v>
      </c>
      <c r="C452" s="185" t="str">
        <f t="shared" si="56"/>
        <v>41000 ANCILLARY SERVICES : 41800 ACTIVITY REVENUE</v>
      </c>
      <c r="D452" s="185" t="str">
        <f t="shared" si="53"/>
        <v>41800 ACTIVITY REVENUE</v>
      </c>
      <c r="E452" s="185" t="str">
        <f t="shared" si="54"/>
        <v>41000 ANCILLARY SERVICES</v>
      </c>
      <c r="G452" s="191" t="s">
        <v>118</v>
      </c>
      <c r="J452" s="192">
        <v>1605.29</v>
      </c>
    </row>
    <row r="453" spans="1:10">
      <c r="A453" s="185" t="str">
        <f t="shared" si="58"/>
        <v/>
      </c>
      <c r="B453" s="186" t="str">
        <f t="shared" ca="1" si="55"/>
        <v/>
      </c>
      <c r="C453" s="185" t="str">
        <f t="shared" si="56"/>
        <v/>
      </c>
      <c r="D453" s="185" t="str">
        <f t="shared" si="53"/>
        <v/>
      </c>
      <c r="E453" s="185" t="str">
        <f t="shared" si="54"/>
        <v/>
      </c>
      <c r="G453" s="191" t="s">
        <v>99</v>
      </c>
      <c r="J453" s="192"/>
    </row>
    <row r="454" spans="1:10">
      <c r="A454" s="185" t="str">
        <f t="shared" si="58"/>
        <v>GROUP</v>
      </c>
      <c r="B454" s="186"/>
      <c r="C454" s="185" t="str">
        <f t="shared" si="56"/>
        <v/>
      </c>
      <c r="D454" s="185" t="str">
        <f t="shared" si="53"/>
        <v/>
      </c>
      <c r="E454" s="185" t="str">
        <f t="shared" si="54"/>
        <v>42000 OTHER RESIDENT INCOME</v>
      </c>
      <c r="G454" s="191" t="s">
        <v>119</v>
      </c>
      <c r="J454" s="192"/>
    </row>
    <row r="455" spans="1:10">
      <c r="A455" s="185" t="s">
        <v>312</v>
      </c>
      <c r="B455" s="186">
        <f t="shared" ref="B455:B517" ca="1" si="59">IF(LEN(A455)=0,"",IFERROR(VLOOKUP(C455,INDIRECT(A455&amp;"_LOOKUP"),2,FALSE),"-100"))</f>
        <v>205</v>
      </c>
      <c r="C455" s="185" t="str">
        <f t="shared" ref="C455:C517" si="60">IF(LEN(D455)&gt;0,TRIM(E455&amp;" : "&amp;D455),"")</f>
        <v>42000 OTHER RESIDENT INCOME : 42100 REIMBURSEMENTS</v>
      </c>
      <c r="D455" s="185" t="str">
        <f t="shared" ref="D455:D517" si="61">IFERROR(IF(AND(LEN(A455)&gt;0,A455&lt;&gt;"GROUP"),UPPER(G455),""),"")</f>
        <v>42100 REIMBURSEMENTS</v>
      </c>
      <c r="E455" s="185" t="str">
        <f t="shared" ref="E455:E517" si="62">IFERROR(IF(A455="GROUP",UPPER(G455),IF(AND(LEN(A455)&gt;0,A455&lt;&gt;"GROUP"),UPPER(E454),"")),"")</f>
        <v>42000 OTHER RESIDENT INCOME</v>
      </c>
      <c r="G455" s="191" t="s">
        <v>120</v>
      </c>
      <c r="J455" s="192">
        <v>107.99</v>
      </c>
    </row>
    <row r="456" spans="1:10">
      <c r="A456" s="185" t="s">
        <v>312</v>
      </c>
      <c r="B456" s="186">
        <f t="shared" ca="1" si="59"/>
        <v>205</v>
      </c>
      <c r="C456" s="185" t="str">
        <f t="shared" si="60"/>
        <v>42000 OTHER RESIDENT INCOME : 42900 RESIDENT FINANCE CHARGE</v>
      </c>
      <c r="D456" s="185" t="str">
        <f t="shared" si="61"/>
        <v>42900 RESIDENT FINANCE CHARGE</v>
      </c>
      <c r="E456" s="185" t="str">
        <f t="shared" si="62"/>
        <v>42000 OTHER RESIDENT INCOME</v>
      </c>
      <c r="G456" s="191" t="s">
        <v>260</v>
      </c>
      <c r="J456" s="192">
        <v>211.57</v>
      </c>
    </row>
    <row r="457" spans="1:10">
      <c r="A457" s="185" t="s">
        <v>312</v>
      </c>
      <c r="B457" s="186">
        <f t="shared" ca="1" si="59"/>
        <v>205</v>
      </c>
      <c r="C457" s="185" t="str">
        <f t="shared" si="60"/>
        <v>42000 OTHER RESIDENT INCOME : 42000 OTHER RESIDENT INCOME OTHER</v>
      </c>
      <c r="D457" s="185" t="str">
        <f t="shared" si="61"/>
        <v>42000 OTHER RESIDENT INCOME OTHER</v>
      </c>
      <c r="E457" s="185" t="str">
        <f t="shared" si="62"/>
        <v>42000 OTHER RESIDENT INCOME</v>
      </c>
      <c r="G457" s="191" t="s">
        <v>123</v>
      </c>
      <c r="J457" s="192">
        <v>30</v>
      </c>
    </row>
    <row r="458" spans="1:10">
      <c r="A458" s="185" t="str">
        <f t="shared" si="58"/>
        <v/>
      </c>
      <c r="B458" s="186" t="str">
        <f t="shared" ca="1" si="59"/>
        <v/>
      </c>
      <c r="C458" s="185" t="str">
        <f t="shared" si="60"/>
        <v/>
      </c>
      <c r="D458" s="185" t="str">
        <f t="shared" si="61"/>
        <v/>
      </c>
      <c r="E458" s="185" t="str">
        <f t="shared" si="62"/>
        <v/>
      </c>
      <c r="G458" s="191" t="s">
        <v>262</v>
      </c>
      <c r="J458" s="192">
        <v>349.56</v>
      </c>
    </row>
    <row r="459" spans="1:10">
      <c r="A459" s="185" t="str">
        <f t="shared" si="58"/>
        <v/>
      </c>
      <c r="B459" s="186" t="str">
        <f t="shared" ca="1" si="59"/>
        <v/>
      </c>
      <c r="C459" s="185" t="str">
        <f t="shared" si="60"/>
        <v/>
      </c>
      <c r="D459" s="185" t="str">
        <f t="shared" si="61"/>
        <v/>
      </c>
      <c r="E459" s="185" t="str">
        <f t="shared" si="62"/>
        <v/>
      </c>
      <c r="G459" s="191" t="s">
        <v>99</v>
      </c>
      <c r="J459" s="192"/>
    </row>
    <row r="460" spans="1:10">
      <c r="A460" s="185" t="str">
        <f t="shared" si="58"/>
        <v>GROUP</v>
      </c>
      <c r="B460" s="186"/>
      <c r="C460" s="185" t="str">
        <f t="shared" si="60"/>
        <v/>
      </c>
      <c r="D460" s="185" t="str">
        <f t="shared" si="61"/>
        <v/>
      </c>
      <c r="E460" s="185" t="str">
        <f t="shared" si="62"/>
        <v>49000 REFUNDS</v>
      </c>
      <c r="G460" s="191" t="s">
        <v>125</v>
      </c>
      <c r="J460" s="192"/>
    </row>
    <row r="461" spans="1:10">
      <c r="A461" s="185" t="s">
        <v>312</v>
      </c>
      <c r="B461" s="186">
        <f t="shared" ca="1" si="59"/>
        <v>201</v>
      </c>
      <c r="C461" s="185" t="str">
        <f t="shared" si="60"/>
        <v>49000 REFUNDS : 49100 ROOM AND BOARD</v>
      </c>
      <c r="D461" s="185" t="str">
        <f t="shared" si="61"/>
        <v>49100 ROOM AND BOARD</v>
      </c>
      <c r="E461" s="185" t="str">
        <f t="shared" si="62"/>
        <v>49000 REFUNDS</v>
      </c>
      <c r="G461" s="191" t="s">
        <v>126</v>
      </c>
      <c r="J461" s="192">
        <v>-14860.52</v>
      </c>
    </row>
    <row r="462" spans="1:10">
      <c r="A462" s="185" t="s">
        <v>312</v>
      </c>
      <c r="B462" s="186">
        <f t="shared" ca="1" si="59"/>
        <v>205</v>
      </c>
      <c r="C462" s="185" t="str">
        <f t="shared" si="60"/>
        <v>49000 REFUNDS : 49000 REFUNDS OTHER</v>
      </c>
      <c r="D462" s="185" t="str">
        <f t="shared" si="61"/>
        <v>49000 REFUNDS OTHER</v>
      </c>
      <c r="E462" s="185" t="str">
        <f t="shared" si="62"/>
        <v>49000 REFUNDS</v>
      </c>
      <c r="G462" s="191" t="s">
        <v>263</v>
      </c>
      <c r="J462" s="192">
        <v>-500</v>
      </c>
    </row>
    <row r="463" spans="1:10">
      <c r="A463" s="185" t="str">
        <f t="shared" si="58"/>
        <v/>
      </c>
      <c r="B463" s="186" t="str">
        <f t="shared" ca="1" si="59"/>
        <v/>
      </c>
      <c r="C463" s="185" t="str">
        <f t="shared" si="60"/>
        <v/>
      </c>
      <c r="D463" s="185" t="str">
        <f t="shared" si="61"/>
        <v/>
      </c>
      <c r="E463" s="185" t="str">
        <f t="shared" si="62"/>
        <v/>
      </c>
      <c r="G463" s="191" t="s">
        <v>128</v>
      </c>
      <c r="J463" s="192">
        <v>-15360.52</v>
      </c>
    </row>
    <row r="464" spans="1:10">
      <c r="A464" s="185" t="str">
        <f>IF(AND(LEN(G464)&gt;0,LEN(G463)=0,LEFT(G464,3)&lt;&gt;"TOT"),"GROUP","")</f>
        <v/>
      </c>
      <c r="B464" s="186" t="str">
        <f t="shared" ca="1" si="59"/>
        <v/>
      </c>
      <c r="C464" s="185" t="str">
        <f t="shared" si="60"/>
        <v/>
      </c>
      <c r="D464" s="185" t="str">
        <f t="shared" si="61"/>
        <v/>
      </c>
      <c r="E464" s="185" t="str">
        <f t="shared" si="62"/>
        <v/>
      </c>
      <c r="G464" s="191" t="s">
        <v>130</v>
      </c>
      <c r="J464" s="192">
        <v>-3490.67</v>
      </c>
    </row>
    <row r="465" spans="1:12">
      <c r="A465" s="185" t="str">
        <f>IF(AND(LEN(G465)&gt;0,LEN(G464)=0,LEFT(G465,3)&lt;&gt;"TOT"),"GROUP","")</f>
        <v/>
      </c>
      <c r="B465" s="186" t="str">
        <f t="shared" ca="1" si="59"/>
        <v/>
      </c>
      <c r="C465" s="185" t="str">
        <f t="shared" si="60"/>
        <v/>
      </c>
      <c r="D465" s="185" t="str">
        <f t="shared" si="61"/>
        <v/>
      </c>
      <c r="E465" s="185" t="str">
        <f t="shared" si="62"/>
        <v/>
      </c>
      <c r="G465" s="191" t="s">
        <v>99</v>
      </c>
      <c r="J465" s="192"/>
    </row>
    <row r="466" spans="1:12">
      <c r="A466" s="193" t="s">
        <v>312</v>
      </c>
      <c r="B466" s="194">
        <f t="shared" ca="1" si="59"/>
        <v>222</v>
      </c>
      <c r="C466" s="193" t="str">
        <f>UPPER(G466)</f>
        <v>TOTAL INCOME</v>
      </c>
      <c r="D466" s="193" t="str">
        <f t="shared" si="61"/>
        <v>TOTAL INCOME</v>
      </c>
      <c r="E466" s="193" t="str">
        <f t="shared" si="62"/>
        <v/>
      </c>
      <c r="G466" s="191" t="s">
        <v>55</v>
      </c>
      <c r="J466" s="192">
        <v>1321701.55</v>
      </c>
      <c r="L466" s="214"/>
    </row>
    <row r="467" spans="1:12">
      <c r="A467" s="185" t="str">
        <f>IF(AND(LEN(G467)&gt;0,LEN(G466)=0,LEFT(G467,3)&lt;&gt;"TOT"),"GROUP","")</f>
        <v/>
      </c>
      <c r="B467" s="186" t="str">
        <f t="shared" ca="1" si="59"/>
        <v/>
      </c>
      <c r="C467" s="185" t="str">
        <f t="shared" si="60"/>
        <v/>
      </c>
      <c r="D467" s="185" t="str">
        <f t="shared" si="61"/>
        <v/>
      </c>
      <c r="E467" s="185" t="str">
        <f t="shared" si="62"/>
        <v/>
      </c>
      <c r="G467" s="191" t="s">
        <v>99</v>
      </c>
      <c r="J467" s="192"/>
    </row>
    <row r="468" spans="1:12">
      <c r="A468" s="185" t="str">
        <f>IF(AND(LEN(G468)&gt;0,LEN(G467)=0,LEFT(G468,3)&lt;&gt;"TOT"),"GROUP","")</f>
        <v>GROUP</v>
      </c>
      <c r="B468" s="186"/>
      <c r="C468" s="185" t="str">
        <f t="shared" si="60"/>
        <v/>
      </c>
      <c r="D468" s="185" t="str">
        <f t="shared" si="61"/>
        <v/>
      </c>
      <c r="E468" s="185" t="str">
        <f t="shared" si="62"/>
        <v>EXPENSE</v>
      </c>
      <c r="G468" s="191" t="s">
        <v>74</v>
      </c>
      <c r="J468" s="192"/>
    </row>
    <row r="469" spans="1:12">
      <c r="A469" s="185" t="s">
        <v>82</v>
      </c>
      <c r="B469" s="186">
        <f t="shared" ca="1" si="59"/>
        <v>301.3</v>
      </c>
      <c r="C469" s="185" t="str">
        <f t="shared" si="60"/>
        <v>EXPENSE : 50000 RESIDENT CARE</v>
      </c>
      <c r="D469" s="185" t="str">
        <f t="shared" si="61"/>
        <v>50000 RESIDENT CARE</v>
      </c>
      <c r="E469" s="185" t="str">
        <f t="shared" si="62"/>
        <v>EXPENSE</v>
      </c>
      <c r="G469" s="191" t="s">
        <v>131</v>
      </c>
      <c r="J469" s="192"/>
    </row>
    <row r="470" spans="1:12">
      <c r="A470" s="185" t="s">
        <v>82</v>
      </c>
      <c r="B470" s="186">
        <f t="shared" ca="1" si="59"/>
        <v>307</v>
      </c>
      <c r="C470" s="185" t="str">
        <f t="shared" si="60"/>
        <v>EXPENSE : 50042 PAYROLL TAX RES. CARE</v>
      </c>
      <c r="D470" s="185" t="str">
        <f t="shared" si="61"/>
        <v>50042 PAYROLL TAX RES. CARE</v>
      </c>
      <c r="E470" s="185" t="str">
        <f t="shared" si="62"/>
        <v>EXPENSE</v>
      </c>
      <c r="G470" s="191" t="s">
        <v>134</v>
      </c>
      <c r="J470" s="192">
        <v>44281.25</v>
      </c>
    </row>
    <row r="471" spans="1:12">
      <c r="A471" s="185" t="s">
        <v>82</v>
      </c>
      <c r="B471" s="186">
        <f t="shared" ca="1" si="59"/>
        <v>301.10000000000002</v>
      </c>
      <c r="C471" s="185" t="str">
        <f t="shared" si="60"/>
        <v>EXPENSE : 50011 RESIDENT CARE SUPERVISORS</v>
      </c>
      <c r="D471" s="185" t="str">
        <f t="shared" si="61"/>
        <v>50011 RESIDENT CARE SUPERVISORS</v>
      </c>
      <c r="E471" s="185" t="str">
        <f t="shared" si="62"/>
        <v>EXPENSE</v>
      </c>
      <c r="G471" s="191" t="s">
        <v>136</v>
      </c>
      <c r="J471" s="192">
        <v>98048.75</v>
      </c>
    </row>
    <row r="472" spans="1:12">
      <c r="A472" s="185" t="s">
        <v>82</v>
      </c>
      <c r="B472" s="186">
        <f t="shared" ca="1" si="59"/>
        <v>301.10000000000002</v>
      </c>
      <c r="C472" s="185" t="str">
        <f t="shared" si="60"/>
        <v>EXPENSE : 50012 RESIDENT CARE AIDES</v>
      </c>
      <c r="D472" s="185" t="str">
        <f t="shared" si="61"/>
        <v>50012 RESIDENT CARE AIDES</v>
      </c>
      <c r="E472" s="185" t="str">
        <f t="shared" si="62"/>
        <v>EXPENSE</v>
      </c>
      <c r="G472" s="191" t="s">
        <v>137</v>
      </c>
      <c r="J472" s="192">
        <v>407555.79</v>
      </c>
    </row>
    <row r="473" spans="1:12">
      <c r="A473" s="185" t="s">
        <v>82</v>
      </c>
      <c r="B473" s="186">
        <f t="shared" ca="1" si="59"/>
        <v>301.3</v>
      </c>
      <c r="C473" s="185" t="str">
        <f t="shared" si="60"/>
        <v>EXPENSE : 50022 PHARMACY ITEMS</v>
      </c>
      <c r="D473" s="185" t="str">
        <f t="shared" si="61"/>
        <v>50022 PHARMACY ITEMS</v>
      </c>
      <c r="E473" s="185" t="str">
        <f t="shared" si="62"/>
        <v>EXPENSE</v>
      </c>
      <c r="G473" s="191" t="s">
        <v>304</v>
      </c>
      <c r="J473" s="192">
        <v>7.99</v>
      </c>
    </row>
    <row r="474" spans="1:12">
      <c r="A474" s="185" t="s">
        <v>82</v>
      </c>
      <c r="B474" s="186">
        <f t="shared" ca="1" si="59"/>
        <v>301.3</v>
      </c>
      <c r="C474" s="185" t="str">
        <f t="shared" si="60"/>
        <v>EXPENSE : 50024 MEDICAL SUPPLIES</v>
      </c>
      <c r="D474" s="185" t="str">
        <f t="shared" si="61"/>
        <v>50024 MEDICAL SUPPLIES</v>
      </c>
      <c r="E474" s="185" t="str">
        <f t="shared" si="62"/>
        <v>EXPENSE</v>
      </c>
      <c r="G474" s="191" t="s">
        <v>268</v>
      </c>
      <c r="J474" s="192">
        <v>4637.42</v>
      </c>
    </row>
    <row r="475" spans="1:12">
      <c r="A475" s="185" t="s">
        <v>82</v>
      </c>
      <c r="B475" s="186">
        <f t="shared" ca="1" si="59"/>
        <v>301.2</v>
      </c>
      <c r="C475" s="185" t="str">
        <f t="shared" si="60"/>
        <v>EXPENSE : 50030 CONSULTING</v>
      </c>
      <c r="D475" s="185" t="str">
        <f t="shared" si="61"/>
        <v>50030 CONSULTING</v>
      </c>
      <c r="E475" s="185" t="str">
        <f t="shared" si="62"/>
        <v>EXPENSE</v>
      </c>
      <c r="G475" s="191" t="s">
        <v>142</v>
      </c>
      <c r="J475" s="192">
        <v>1159.78</v>
      </c>
    </row>
    <row r="476" spans="1:12">
      <c r="A476" s="185" t="str">
        <f>IF(AND(LEN(G476)&gt;0,LEN(G475)=0,LEFT(G476,3)&lt;&gt;"TOT"),"GROUP","")</f>
        <v/>
      </c>
      <c r="B476" s="186" t="str">
        <f t="shared" ca="1" si="59"/>
        <v/>
      </c>
      <c r="C476" s="185" t="str">
        <f t="shared" si="60"/>
        <v/>
      </c>
      <c r="D476" s="185" t="str">
        <f t="shared" si="61"/>
        <v/>
      </c>
      <c r="E476" s="185" t="str">
        <f t="shared" si="62"/>
        <v/>
      </c>
      <c r="G476" s="191" t="s">
        <v>143</v>
      </c>
      <c r="J476" s="192">
        <v>555690.98</v>
      </c>
    </row>
    <row r="477" spans="1:12">
      <c r="A477" s="185" t="str">
        <f>IF(AND(LEN(G477)&gt;0,LEN(G476)=0,LEFT(G477,3)&lt;&gt;"TOT"),"GROUP","")</f>
        <v/>
      </c>
      <c r="B477" s="186" t="str">
        <f t="shared" ca="1" si="59"/>
        <v/>
      </c>
      <c r="C477" s="185" t="str">
        <f t="shared" si="60"/>
        <v/>
      </c>
      <c r="D477" s="185" t="str">
        <f t="shared" si="61"/>
        <v/>
      </c>
      <c r="E477" s="185" t="str">
        <f t="shared" si="62"/>
        <v/>
      </c>
      <c r="G477" s="191" t="s">
        <v>99</v>
      </c>
      <c r="J477" s="192"/>
    </row>
    <row r="478" spans="1:12">
      <c r="A478" s="185" t="str">
        <f>IF(AND(LEN(G478)&gt;0,LEN(G477)=0,LEFT(G478,3)&lt;&gt;"TOT"),"GROUP","")</f>
        <v>GROUP</v>
      </c>
      <c r="B478" s="186"/>
      <c r="C478" s="185" t="str">
        <f t="shared" si="60"/>
        <v/>
      </c>
      <c r="D478" s="185" t="str">
        <f t="shared" si="61"/>
        <v/>
      </c>
      <c r="E478" s="185" t="str">
        <f t="shared" si="62"/>
        <v>50100 RESIDENT DIETARY EXPENSE</v>
      </c>
      <c r="G478" s="191" t="s">
        <v>305</v>
      </c>
      <c r="J478" s="192"/>
    </row>
    <row r="479" spans="1:12">
      <c r="A479" s="185" t="s">
        <v>82</v>
      </c>
      <c r="B479" s="186">
        <f t="shared" ca="1" si="59"/>
        <v>302.3</v>
      </c>
      <c r="C479" s="185" t="str">
        <f t="shared" si="60"/>
        <v>50100 RESIDENT DIETARY EXPENSE : 50120 BULK FOOD PURCHASES</v>
      </c>
      <c r="D479" s="185" t="str">
        <f t="shared" si="61"/>
        <v>50120 BULK FOOD PURCHASES</v>
      </c>
      <c r="E479" s="185" t="str">
        <f t="shared" si="62"/>
        <v>50100 RESIDENT DIETARY EXPENSE</v>
      </c>
      <c r="G479" s="191" t="s">
        <v>145</v>
      </c>
      <c r="J479" s="192">
        <v>68169.149999999994</v>
      </c>
    </row>
    <row r="480" spans="1:12">
      <c r="A480" s="185" t="s">
        <v>82</v>
      </c>
      <c r="B480" s="186">
        <f t="shared" ca="1" si="59"/>
        <v>302.3</v>
      </c>
      <c r="C480" s="185" t="str">
        <f t="shared" si="60"/>
        <v>50100 RESIDENT DIETARY EXPENSE : 50123 DAIRY</v>
      </c>
      <c r="D480" s="185" t="str">
        <f t="shared" si="61"/>
        <v>50123 DAIRY</v>
      </c>
      <c r="E480" s="185" t="str">
        <f t="shared" si="62"/>
        <v>50100 RESIDENT DIETARY EXPENSE</v>
      </c>
      <c r="G480" s="191" t="s">
        <v>146</v>
      </c>
      <c r="J480" s="192">
        <v>1514.62</v>
      </c>
    </row>
    <row r="481" spans="1:10">
      <c r="A481" s="185" t="s">
        <v>82</v>
      </c>
      <c r="B481" s="186">
        <f t="shared" ca="1" si="59"/>
        <v>302.3</v>
      </c>
      <c r="C481" s="185" t="str">
        <f t="shared" si="60"/>
        <v>50100 RESIDENT DIETARY EXPENSE : 50130 FOOD SUPPLEMENTS</v>
      </c>
      <c r="D481" s="185" t="str">
        <f t="shared" si="61"/>
        <v>50130 FOOD SUPPLEMENTS</v>
      </c>
      <c r="E481" s="185" t="str">
        <f t="shared" si="62"/>
        <v>50100 RESIDENT DIETARY EXPENSE</v>
      </c>
      <c r="G481" s="191" t="s">
        <v>147</v>
      </c>
      <c r="J481" s="192">
        <v>9.2899999999999991</v>
      </c>
    </row>
    <row r="482" spans="1:10">
      <c r="A482" s="185" t="s">
        <v>82</v>
      </c>
      <c r="B482" s="186">
        <f t="shared" ca="1" si="59"/>
        <v>302.3</v>
      </c>
      <c r="C482" s="185" t="str">
        <f t="shared" si="60"/>
        <v>50100 RESIDENT DIETARY EXPENSE : 50140 GROCERY ITEMS</v>
      </c>
      <c r="D482" s="185" t="str">
        <f t="shared" si="61"/>
        <v>50140 GROCERY ITEMS</v>
      </c>
      <c r="E482" s="185" t="str">
        <f t="shared" si="62"/>
        <v>50100 RESIDENT DIETARY EXPENSE</v>
      </c>
      <c r="G482" s="191" t="s">
        <v>148</v>
      </c>
      <c r="J482" s="192">
        <v>3490.72</v>
      </c>
    </row>
    <row r="483" spans="1:10">
      <c r="A483" s="185"/>
      <c r="B483" s="186" t="str">
        <f t="shared" ca="1" si="59"/>
        <v/>
      </c>
      <c r="C483" s="185" t="str">
        <f t="shared" si="60"/>
        <v/>
      </c>
      <c r="D483" s="185" t="str">
        <f t="shared" si="61"/>
        <v/>
      </c>
      <c r="E483" s="185" t="str">
        <f t="shared" si="62"/>
        <v/>
      </c>
      <c r="G483" s="191" t="s">
        <v>150</v>
      </c>
      <c r="J483" s="192">
        <v>73183.78</v>
      </c>
    </row>
    <row r="484" spans="1:10">
      <c r="A484" s="185" t="str">
        <f>IF(AND(LEN(G484)&gt;0,LEN(G483)=0,LEFT(G484,3)&lt;&gt;"TOT"),"GROUP","")</f>
        <v/>
      </c>
      <c r="B484" s="186" t="str">
        <f t="shared" ca="1" si="59"/>
        <v/>
      </c>
      <c r="C484" s="185" t="str">
        <f t="shared" si="60"/>
        <v/>
      </c>
      <c r="D484" s="185" t="str">
        <f t="shared" si="61"/>
        <v/>
      </c>
      <c r="E484" s="185" t="str">
        <f t="shared" si="62"/>
        <v/>
      </c>
      <c r="G484" s="191" t="s">
        <v>99</v>
      </c>
      <c r="J484" s="192"/>
    </row>
    <row r="485" spans="1:10">
      <c r="A485" s="185" t="str">
        <f>IF(AND(LEN(G485)&gt;0,LEN(G484)=0,LEFT(G485,3)&lt;&gt;"TOT"),"GROUP","")</f>
        <v>GROUP</v>
      </c>
      <c r="B485" s="186"/>
      <c r="C485" s="185" t="str">
        <f t="shared" si="60"/>
        <v/>
      </c>
      <c r="D485" s="185" t="str">
        <f t="shared" si="61"/>
        <v/>
      </c>
      <c r="E485" s="185" t="str">
        <f t="shared" si="62"/>
        <v>50400 RESIDENT RECREATION EXPENSE</v>
      </c>
      <c r="G485" s="191" t="s">
        <v>151</v>
      </c>
      <c r="J485" s="192"/>
    </row>
    <row r="486" spans="1:10">
      <c r="A486" s="185" t="s">
        <v>82</v>
      </c>
      <c r="B486" s="186">
        <f t="shared" ca="1" si="59"/>
        <v>308</v>
      </c>
      <c r="C486" s="185" t="str">
        <f t="shared" si="60"/>
        <v>50400 RESIDENT RECREATION EXPENSE : 50414 EMP BENES ACTIVITIES</v>
      </c>
      <c r="D486" s="185" t="str">
        <f t="shared" si="61"/>
        <v>50414 EMP BENES ACTIVITIES</v>
      </c>
      <c r="E486" s="185" t="str">
        <f t="shared" si="62"/>
        <v>50400 RESIDENT RECREATION EXPENSE</v>
      </c>
      <c r="G486" s="191" t="s">
        <v>274</v>
      </c>
      <c r="J486" s="192">
        <v>150</v>
      </c>
    </row>
    <row r="487" spans="1:10">
      <c r="A487" s="185" t="s">
        <v>82</v>
      </c>
      <c r="B487" s="186">
        <f t="shared" ca="1" si="59"/>
        <v>307</v>
      </c>
      <c r="C487" s="185" t="str">
        <f t="shared" si="60"/>
        <v>50400 RESIDENT RECREATION EXPENSE : 50412 PAYROLL TAX ACTIVITIES</v>
      </c>
      <c r="D487" s="185" t="str">
        <f t="shared" si="61"/>
        <v>50412 PAYROLL TAX ACTIVITIES</v>
      </c>
      <c r="E487" s="185" t="str">
        <f t="shared" si="62"/>
        <v>50400 RESIDENT RECREATION EXPENSE</v>
      </c>
      <c r="G487" s="191" t="s">
        <v>154</v>
      </c>
      <c r="J487" s="192">
        <v>1180.1099999999999</v>
      </c>
    </row>
    <row r="488" spans="1:10">
      <c r="A488" s="185" t="s">
        <v>82</v>
      </c>
      <c r="B488" s="186">
        <f t="shared" ca="1" si="59"/>
        <v>303.10000000000002</v>
      </c>
      <c r="C488" s="185" t="str">
        <f t="shared" si="60"/>
        <v>50400 RESIDENT RECREATION EXPENSE : 50410 RECREATION SUPERVISOR SALARY</v>
      </c>
      <c r="D488" s="185" t="str">
        <f t="shared" si="61"/>
        <v>50410 RECREATION SUPERVISOR SALARY</v>
      </c>
      <c r="E488" s="185" t="str">
        <f t="shared" si="62"/>
        <v>50400 RESIDENT RECREATION EXPENSE</v>
      </c>
      <c r="G488" s="191" t="s">
        <v>155</v>
      </c>
      <c r="J488" s="192">
        <v>15440.24</v>
      </c>
    </row>
    <row r="489" spans="1:10">
      <c r="A489" s="185" t="s">
        <v>82</v>
      </c>
      <c r="B489" s="186">
        <f t="shared" ca="1" si="59"/>
        <v>303.3</v>
      </c>
      <c r="C489" s="185" t="str">
        <f t="shared" si="60"/>
        <v>50400 RESIDENT RECREATION EXPENSE : 50420 ENTERTAINMENT</v>
      </c>
      <c r="D489" s="185" t="str">
        <f t="shared" si="61"/>
        <v>50420 ENTERTAINMENT</v>
      </c>
      <c r="E489" s="185" t="str">
        <f t="shared" si="62"/>
        <v>50400 RESIDENT RECREATION EXPENSE</v>
      </c>
      <c r="G489" s="191" t="s">
        <v>156</v>
      </c>
      <c r="J489" s="192">
        <v>1680</v>
      </c>
    </row>
    <row r="490" spans="1:10">
      <c r="A490" s="185" t="s">
        <v>82</v>
      </c>
      <c r="B490" s="186">
        <f t="shared" ca="1" si="59"/>
        <v>303.3</v>
      </c>
      <c r="C490" s="185" t="str">
        <f t="shared" si="60"/>
        <v>50400 RESIDENT RECREATION EXPENSE : 50460 OFFSITE ACTIVITIES</v>
      </c>
      <c r="D490" s="185" t="str">
        <f t="shared" si="61"/>
        <v>50460 OFFSITE ACTIVITIES</v>
      </c>
      <c r="E490" s="185" t="str">
        <f t="shared" si="62"/>
        <v>50400 RESIDENT RECREATION EXPENSE</v>
      </c>
      <c r="G490" s="191" t="s">
        <v>158</v>
      </c>
      <c r="J490" s="192">
        <v>1153.3900000000001</v>
      </c>
    </row>
    <row r="491" spans="1:10">
      <c r="A491" s="185" t="s">
        <v>82</v>
      </c>
      <c r="B491" s="186">
        <f t="shared" ca="1" si="59"/>
        <v>303.3</v>
      </c>
      <c r="C491" s="185" t="str">
        <f t="shared" si="60"/>
        <v>50400 RESIDENT RECREATION EXPENSE : 50480 RECREATION SUPPLIES</v>
      </c>
      <c r="D491" s="185" t="str">
        <f t="shared" si="61"/>
        <v>50480 RECREATION SUPPLIES</v>
      </c>
      <c r="E491" s="185" t="str">
        <f t="shared" si="62"/>
        <v>50400 RESIDENT RECREATION EXPENSE</v>
      </c>
      <c r="G491" s="191" t="s">
        <v>159</v>
      </c>
      <c r="J491" s="192">
        <v>532.88</v>
      </c>
    </row>
    <row r="492" spans="1:10">
      <c r="A492" s="185" t="s">
        <v>82</v>
      </c>
      <c r="B492" s="186">
        <f t="shared" ca="1" si="59"/>
        <v>301.2</v>
      </c>
      <c r="C492" s="185" t="str">
        <f t="shared" si="60"/>
        <v>50400 RESIDENT RECREATION EXPENSE : 50800 BEAUTICIAN</v>
      </c>
      <c r="D492" s="185" t="str">
        <f t="shared" si="61"/>
        <v>50800 BEAUTICIAN</v>
      </c>
      <c r="E492" s="185" t="str">
        <f t="shared" si="62"/>
        <v>50400 RESIDENT RECREATION EXPENSE</v>
      </c>
      <c r="G492" s="191" t="s">
        <v>168</v>
      </c>
      <c r="J492" s="192">
        <v>2841</v>
      </c>
    </row>
    <row r="493" spans="1:10">
      <c r="A493" s="185" t="str">
        <f>IF(AND(LEN(G493)&gt;0,LEN(G492)=0,LEFT(G493,3)&lt;&gt;"TOT"),"GROUP","")</f>
        <v/>
      </c>
      <c r="B493" s="186" t="str">
        <f ca="1">IF(LEN(A493)=0,"",IFERROR(VLOOKUP(C493,INDIRECT(A493&amp;"_LOOKUP"),2,FALSE),"-100"))</f>
        <v/>
      </c>
      <c r="C493" s="185" t="str">
        <f>IF(LEN(D493)&gt;0,TRIM(E493&amp;" : "&amp;D493),"")</f>
        <v/>
      </c>
      <c r="D493" s="185" t="str">
        <f>IFERROR(IF(AND(LEN(A493)&gt;0,A493&lt;&gt;"GROUP"),UPPER(G493),""),"")</f>
        <v/>
      </c>
      <c r="E493" s="185" t="str">
        <f>IFERROR(IF(A493="GROUP",UPPER(G493),IF(AND(LEN(A493)&gt;0,A493&lt;&gt;"GROUP"),UPPER(E492),"")),"")</f>
        <v/>
      </c>
      <c r="G493" s="191"/>
      <c r="J493" s="192"/>
    </row>
    <row r="494" spans="1:10">
      <c r="A494" s="185" t="str">
        <f>IF(AND(LEN(G494)&gt;0,LEN(G493)=0,LEFT(G494,3)&lt;&gt;"TOT"),"GROUP","")</f>
        <v/>
      </c>
      <c r="B494" s="186" t="str">
        <f ca="1">IF(LEN(A494)=0,"",IFERROR(VLOOKUP(C494,INDIRECT(A494&amp;"_LOOKUP"),2,FALSE),"-100"))</f>
        <v/>
      </c>
      <c r="C494" s="185" t="str">
        <f>IF(LEN(D494)&gt;0,TRIM(E494&amp;" : "&amp;D494),"")</f>
        <v/>
      </c>
      <c r="D494" s="185" t="str">
        <f>IFERROR(IF(AND(LEN(A494)&gt;0,A494&lt;&gt;"GROUP"),UPPER(G494),""),"")</f>
        <v/>
      </c>
      <c r="E494" s="185" t="str">
        <f>IFERROR(IF(A494="GROUP",UPPER(G494),IF(AND(LEN(A494)&gt;0,A494&lt;&gt;"GROUP"),UPPER(E493),"")),"")</f>
        <v/>
      </c>
      <c r="G494" s="191" t="s">
        <v>99</v>
      </c>
      <c r="J494" s="192"/>
    </row>
    <row r="495" spans="1:10">
      <c r="A495" s="185" t="str">
        <f t="shared" ref="A495:A503" si="63">IF(AND(LEN(G495)&gt;0,LEN(G494)=0,LEFT(G495,3)&lt;&gt;"TOT"),"GROUP","")</f>
        <v>GROUP</v>
      </c>
      <c r="B495" s="186"/>
      <c r="C495" s="185" t="str">
        <f t="shared" ref="C495:C511" si="64">IF(LEN(D495)&gt;0,TRIM(E495&amp;" : "&amp;D495),"")</f>
        <v/>
      </c>
      <c r="D495" s="185" t="str">
        <f t="shared" ref="D495:D511" si="65">IFERROR(IF(AND(LEN(A495)&gt;0,A495&lt;&gt;"GROUP"),UPPER(G495),""),"")</f>
        <v/>
      </c>
      <c r="E495" s="185" t="str">
        <f t="shared" ref="E495:E511" si="66">IFERROR(IF(A495="GROUP",UPPER(G495),IF(AND(LEN(A495)&gt;0,A495&lt;&gt;"GROUP"),UPPER(E494),"")),"")</f>
        <v>50600 RESIDENT HOUSEKEEPING LAUNDRY</v>
      </c>
      <c r="G495" s="191" t="s">
        <v>306</v>
      </c>
      <c r="J495" s="192"/>
    </row>
    <row r="496" spans="1:10">
      <c r="A496" s="185" t="s">
        <v>82</v>
      </c>
      <c r="B496" s="186">
        <f t="shared" ref="B496:B511" ca="1" si="67">IF(LEN(A496)=0,"",IFERROR(VLOOKUP(C496,INDIRECT(A496&amp;"_LOOKUP"),2,FALSE),"-100"))</f>
        <v>308</v>
      </c>
      <c r="C496" s="185" t="str">
        <f t="shared" si="64"/>
        <v>50600 RESIDENT HOUSEKEEPING LAUNDRY : 50614 EMP BENES HSKPG LAURND</v>
      </c>
      <c r="D496" s="185" t="str">
        <f t="shared" si="65"/>
        <v>50614 EMP BENES HSKPG LAURND</v>
      </c>
      <c r="E496" s="185" t="str">
        <f t="shared" si="66"/>
        <v>50600 RESIDENT HOUSEKEEPING LAUNDRY</v>
      </c>
      <c r="G496" s="191" t="s">
        <v>163</v>
      </c>
      <c r="J496" s="192">
        <v>100</v>
      </c>
    </row>
    <row r="497" spans="1:10">
      <c r="A497" s="185" t="s">
        <v>82</v>
      </c>
      <c r="B497" s="186">
        <f t="shared" ca="1" si="67"/>
        <v>307</v>
      </c>
      <c r="C497" s="185" t="str">
        <f t="shared" si="64"/>
        <v>50600 RESIDENT HOUSEKEEPING LAUNDRY : 50612 PAYROLL TAX HSKPG LAURND</v>
      </c>
      <c r="D497" s="185" t="str">
        <f t="shared" si="65"/>
        <v>50612 PAYROLL TAX HSKPG LAURND</v>
      </c>
      <c r="E497" s="185" t="str">
        <f t="shared" si="66"/>
        <v>50600 RESIDENT HOUSEKEEPING LAUNDRY</v>
      </c>
      <c r="G497" s="191" t="s">
        <v>280</v>
      </c>
      <c r="J497" s="192">
        <v>1220.78</v>
      </c>
    </row>
    <row r="498" spans="1:10">
      <c r="A498" s="185" t="s">
        <v>82</v>
      </c>
      <c r="B498" s="186">
        <f t="shared" ca="1" si="67"/>
        <v>304.10000000000002</v>
      </c>
      <c r="C498" s="185" t="str">
        <f t="shared" si="64"/>
        <v>50600 RESIDENT HOUSEKEEPING LAUNDRY : 50610 HOUSEKEEPING LAUNDRY SALARY</v>
      </c>
      <c r="D498" s="185" t="str">
        <f t="shared" si="65"/>
        <v>50610 HOUSEKEEPING LAUNDRY SALARY</v>
      </c>
      <c r="E498" s="185" t="str">
        <f t="shared" si="66"/>
        <v>50600 RESIDENT HOUSEKEEPING LAUNDRY</v>
      </c>
      <c r="G498" s="191" t="s">
        <v>281</v>
      </c>
      <c r="J498" s="192">
        <v>16141.2</v>
      </c>
    </row>
    <row r="499" spans="1:10">
      <c r="A499" s="185" t="s">
        <v>82</v>
      </c>
      <c r="B499" s="186">
        <f t="shared" ca="1" si="67"/>
        <v>304.3</v>
      </c>
      <c r="C499" s="185" t="str">
        <f t="shared" si="64"/>
        <v>50600 RESIDENT HOUSEKEEPING LAUNDRY : 50680 HOUSEKEEPING SUPPLIES</v>
      </c>
      <c r="D499" s="185" t="str">
        <f t="shared" si="65"/>
        <v>50680 HOUSEKEEPING SUPPLIES</v>
      </c>
      <c r="E499" s="185" t="str">
        <f t="shared" si="66"/>
        <v>50600 RESIDENT HOUSEKEEPING LAUNDRY</v>
      </c>
      <c r="G499" s="191" t="s">
        <v>166</v>
      </c>
      <c r="J499" s="192">
        <v>6493.74</v>
      </c>
    </row>
    <row r="500" spans="1:10">
      <c r="A500" s="185" t="str">
        <f t="shared" si="63"/>
        <v/>
      </c>
      <c r="B500" s="186" t="str">
        <f t="shared" ca="1" si="67"/>
        <v/>
      </c>
      <c r="C500" s="185" t="str">
        <f t="shared" si="64"/>
        <v/>
      </c>
      <c r="D500" s="185" t="str">
        <f t="shared" si="65"/>
        <v/>
      </c>
      <c r="E500" s="185" t="str">
        <f t="shared" si="66"/>
        <v/>
      </c>
      <c r="G500" s="191" t="s">
        <v>167</v>
      </c>
      <c r="J500" s="192">
        <v>23955.72</v>
      </c>
    </row>
    <row r="501" spans="1:10">
      <c r="A501" s="185" t="str">
        <f t="shared" si="63"/>
        <v/>
      </c>
      <c r="B501" s="186" t="str">
        <f t="shared" ca="1" si="67"/>
        <v/>
      </c>
      <c r="C501" s="185" t="str">
        <f t="shared" si="64"/>
        <v/>
      </c>
      <c r="D501" s="185" t="str">
        <f t="shared" si="65"/>
        <v/>
      </c>
      <c r="E501" s="185" t="str">
        <f t="shared" si="66"/>
        <v/>
      </c>
      <c r="G501" s="191" t="s">
        <v>99</v>
      </c>
      <c r="J501" s="192"/>
    </row>
    <row r="502" spans="1:10">
      <c r="A502" s="185" t="str">
        <f t="shared" si="63"/>
        <v/>
      </c>
      <c r="B502" s="186" t="str">
        <f t="shared" ca="1" si="67"/>
        <v/>
      </c>
      <c r="C502" s="185" t="str">
        <f t="shared" si="64"/>
        <v/>
      </c>
      <c r="D502" s="185" t="str">
        <f t="shared" si="65"/>
        <v/>
      </c>
      <c r="E502" s="185" t="str">
        <f t="shared" si="66"/>
        <v/>
      </c>
      <c r="G502" s="191" t="s">
        <v>99</v>
      </c>
      <c r="J502" s="192"/>
    </row>
    <row r="503" spans="1:10">
      <c r="A503" s="185" t="str">
        <f t="shared" si="63"/>
        <v>GROUP</v>
      </c>
      <c r="B503" s="186"/>
      <c r="C503" s="185" t="str">
        <f t="shared" si="64"/>
        <v/>
      </c>
      <c r="D503" s="185" t="str">
        <f t="shared" si="65"/>
        <v/>
      </c>
      <c r="E503" s="185" t="str">
        <f t="shared" si="66"/>
        <v>55000 FACILITY MAINTENANCE</v>
      </c>
      <c r="G503" s="191" t="s">
        <v>283</v>
      </c>
      <c r="J503" s="192"/>
    </row>
    <row r="504" spans="1:10">
      <c r="A504" s="185" t="s">
        <v>82</v>
      </c>
      <c r="B504" s="186">
        <f t="shared" ca="1" si="67"/>
        <v>308</v>
      </c>
      <c r="C504" s="185" t="str">
        <f t="shared" si="64"/>
        <v>55000 FACILITY MAINTENANCE : 55014 EMP BENES PLANT</v>
      </c>
      <c r="D504" s="185" t="str">
        <f t="shared" si="65"/>
        <v>55014 EMP BENES PLANT</v>
      </c>
      <c r="E504" s="185" t="str">
        <f t="shared" si="66"/>
        <v>55000 FACILITY MAINTENANCE</v>
      </c>
      <c r="G504" s="191" t="s">
        <v>175</v>
      </c>
      <c r="J504" s="192">
        <v>375</v>
      </c>
    </row>
    <row r="505" spans="1:10">
      <c r="A505" s="185" t="s">
        <v>82</v>
      </c>
      <c r="B505" s="186">
        <f t="shared" ca="1" si="67"/>
        <v>307</v>
      </c>
      <c r="C505" s="185" t="str">
        <f t="shared" si="64"/>
        <v>55000 FACILITY MAINTENANCE : 55012 PAYROLL TAX PLANT</v>
      </c>
      <c r="D505" s="185" t="str">
        <f t="shared" si="65"/>
        <v>55012 PAYROLL TAX PLANT</v>
      </c>
      <c r="E505" s="185" t="str">
        <f t="shared" si="66"/>
        <v>55000 FACILITY MAINTENANCE</v>
      </c>
      <c r="G505" s="191" t="s">
        <v>176</v>
      </c>
      <c r="J505" s="192">
        <v>2165.4</v>
      </c>
    </row>
    <row r="506" spans="1:10">
      <c r="A506" s="185" t="s">
        <v>82</v>
      </c>
      <c r="B506" s="186">
        <f t="shared" ca="1" si="67"/>
        <v>312.10000000000002</v>
      </c>
      <c r="C506" s="185" t="str">
        <f t="shared" si="64"/>
        <v>55000 FACILITY MAINTENANCE : 55010 MAINTENANCE SALARIES</v>
      </c>
      <c r="D506" s="185" t="str">
        <f t="shared" si="65"/>
        <v>55010 MAINTENANCE SALARIES</v>
      </c>
      <c r="E506" s="185" t="str">
        <f t="shared" si="66"/>
        <v>55000 FACILITY MAINTENANCE</v>
      </c>
      <c r="G506" s="191" t="s">
        <v>177</v>
      </c>
      <c r="J506" s="192">
        <v>23518.87</v>
      </c>
    </row>
    <row r="507" spans="1:10">
      <c r="A507" s="185" t="s">
        <v>82</v>
      </c>
      <c r="B507" s="186">
        <f t="shared" ca="1" si="67"/>
        <v>312.3</v>
      </c>
      <c r="C507" s="185" t="str">
        <f t="shared" si="64"/>
        <v>55000 FACILITY MAINTENANCE : 55040 INSPECTIONS &amp; CERTIFIC</v>
      </c>
      <c r="D507" s="185" t="str">
        <f t="shared" si="65"/>
        <v>55040 INSPECTIONS &amp; CERTIFIC</v>
      </c>
      <c r="E507" s="185" t="str">
        <f t="shared" si="66"/>
        <v>55000 FACILITY MAINTENANCE</v>
      </c>
      <c r="G507" s="191" t="s">
        <v>307</v>
      </c>
      <c r="J507" s="192">
        <v>1672</v>
      </c>
    </row>
    <row r="508" spans="1:10">
      <c r="A508" s="185" t="s">
        <v>82</v>
      </c>
      <c r="B508" s="186">
        <f t="shared" ca="1" si="67"/>
        <v>312.3</v>
      </c>
      <c r="C508" s="185" t="str">
        <f t="shared" si="64"/>
        <v>55000 FACILITY MAINTENANCE : 55200 MAINTENANCE SUPPLIES</v>
      </c>
      <c r="D508" s="185" t="str">
        <f t="shared" si="65"/>
        <v>55200 MAINTENANCE SUPPLIES</v>
      </c>
      <c r="E508" s="185" t="str">
        <f t="shared" si="66"/>
        <v>55000 FACILITY MAINTENANCE</v>
      </c>
      <c r="G508" s="191" t="s">
        <v>184</v>
      </c>
      <c r="J508" s="192">
        <v>13713.87</v>
      </c>
    </row>
    <row r="509" spans="1:10">
      <c r="A509" s="185" t="s">
        <v>82</v>
      </c>
      <c r="B509" s="186">
        <f t="shared" ca="1" si="67"/>
        <v>312.3</v>
      </c>
      <c r="C509" s="185" t="str">
        <f t="shared" si="64"/>
        <v>55000 FACILITY MAINTENANCE : 55300 REPAIRS AND SERVICE</v>
      </c>
      <c r="D509" s="185" t="str">
        <f t="shared" si="65"/>
        <v>55300 REPAIRS AND SERVICE</v>
      </c>
      <c r="E509" s="185" t="str">
        <f t="shared" si="66"/>
        <v>55000 FACILITY MAINTENANCE</v>
      </c>
      <c r="G509" s="191" t="s">
        <v>185</v>
      </c>
      <c r="J509" s="192">
        <v>8004.47</v>
      </c>
    </row>
    <row r="510" spans="1:10">
      <c r="A510" s="185" t="s">
        <v>82</v>
      </c>
      <c r="B510" s="186">
        <f t="shared" ca="1" si="67"/>
        <v>312.3</v>
      </c>
      <c r="C510" s="185" t="str">
        <f t="shared" si="64"/>
        <v>55000 FACILITY MAINTENANCE : 55600 TRASH REMOVAL</v>
      </c>
      <c r="D510" s="185" t="str">
        <f t="shared" si="65"/>
        <v>55600 TRASH REMOVAL</v>
      </c>
      <c r="E510" s="185" t="str">
        <f t="shared" si="66"/>
        <v>55000 FACILITY MAINTENANCE</v>
      </c>
      <c r="G510" s="191" t="s">
        <v>186</v>
      </c>
      <c r="J510" s="192">
        <v>6887.03</v>
      </c>
    </row>
    <row r="511" spans="1:10">
      <c r="A511" s="185" t="s">
        <v>82</v>
      </c>
      <c r="B511" s="186">
        <f t="shared" ca="1" si="67"/>
        <v>992</v>
      </c>
      <c r="C511" s="185" t="str">
        <f t="shared" si="64"/>
        <v>55000 FACILITY MAINTENANCE : 54000 RENT</v>
      </c>
      <c r="D511" s="185" t="str">
        <f t="shared" si="65"/>
        <v>54000 RENT</v>
      </c>
      <c r="E511" s="185" t="str">
        <f t="shared" si="66"/>
        <v>55000 FACILITY MAINTENANCE</v>
      </c>
      <c r="G511" s="191" t="s">
        <v>173</v>
      </c>
      <c r="J511" s="192">
        <v>383420.46</v>
      </c>
    </row>
    <row r="512" spans="1:10">
      <c r="A512" s="185" t="str">
        <f>IF(AND(LEN(G512)&gt;0,LEN(G510)=0,LEFT(G512,3)&lt;&gt;"TOT"),"GROUP","")</f>
        <v/>
      </c>
      <c r="B512" s="186" t="str">
        <f t="shared" ca="1" si="59"/>
        <v/>
      </c>
      <c r="C512" s="185" t="str">
        <f t="shared" si="60"/>
        <v/>
      </c>
      <c r="D512" s="185" t="str">
        <f t="shared" si="61"/>
        <v/>
      </c>
      <c r="E512" s="185" t="str">
        <f>IFERROR(IF(A512="GROUP",UPPER(G512),IF(AND(LEN(A512)&gt;0,A512&lt;&gt;"GROUP"),UPPER(E510),"")),"")</f>
        <v/>
      </c>
      <c r="G512" s="191" t="s">
        <v>188</v>
      </c>
      <c r="J512" s="192">
        <v>64745.15</v>
      </c>
    </row>
    <row r="513" spans="1:10">
      <c r="A513" s="185" t="str">
        <f t="shared" ref="A513:A528" si="68">IF(AND(LEN(G513)&gt;0,LEN(G512)=0,LEFT(G513,3)&lt;&gt;"TOT"),"GROUP","")</f>
        <v/>
      </c>
      <c r="B513" s="186" t="str">
        <f t="shared" ca="1" si="59"/>
        <v/>
      </c>
      <c r="C513" s="185" t="str">
        <f t="shared" si="60"/>
        <v/>
      </c>
      <c r="D513" s="185" t="str">
        <f t="shared" si="61"/>
        <v/>
      </c>
      <c r="E513" s="185" t="str">
        <f t="shared" si="62"/>
        <v/>
      </c>
      <c r="G513" s="191"/>
      <c r="J513" s="192"/>
    </row>
    <row r="514" spans="1:10">
      <c r="A514" s="185" t="str">
        <f t="shared" si="68"/>
        <v/>
      </c>
      <c r="B514" s="186" t="str">
        <f t="shared" ca="1" si="59"/>
        <v/>
      </c>
      <c r="C514" s="185" t="str">
        <f t="shared" si="60"/>
        <v/>
      </c>
      <c r="D514" s="185" t="str">
        <f t="shared" si="61"/>
        <v/>
      </c>
      <c r="E514" s="185" t="str">
        <f t="shared" si="62"/>
        <v/>
      </c>
      <c r="G514" s="191" t="s">
        <v>99</v>
      </c>
      <c r="J514" s="192"/>
    </row>
    <row r="515" spans="1:10">
      <c r="A515" s="185" t="str">
        <f t="shared" si="68"/>
        <v>GROUP</v>
      </c>
      <c r="B515" s="186"/>
      <c r="C515" s="185" t="str">
        <f t="shared" si="60"/>
        <v/>
      </c>
      <c r="D515" s="185" t="str">
        <f t="shared" si="61"/>
        <v/>
      </c>
      <c r="E515" s="185" t="str">
        <f t="shared" si="62"/>
        <v>55050 MAINTENANCE CONTRACTS</v>
      </c>
      <c r="G515" s="191" t="s">
        <v>179</v>
      </c>
      <c r="J515" s="192"/>
    </row>
    <row r="516" spans="1:10">
      <c r="A516" s="185" t="s">
        <v>82</v>
      </c>
      <c r="B516" s="186">
        <f t="shared" ca="1" si="59"/>
        <v>321.2</v>
      </c>
      <c r="C516" s="185" t="str">
        <f t="shared" si="60"/>
        <v>55050 MAINTENANCE CONTRACTS : 55056 PEST CONTROL</v>
      </c>
      <c r="D516" s="185" t="str">
        <f t="shared" si="61"/>
        <v>55056 PEST CONTROL</v>
      </c>
      <c r="E516" s="185" t="str">
        <f t="shared" si="62"/>
        <v>55050 MAINTENANCE CONTRACTS</v>
      </c>
      <c r="G516" s="191" t="s">
        <v>180</v>
      </c>
      <c r="J516" s="192">
        <v>2990</v>
      </c>
    </row>
    <row r="517" spans="1:10">
      <c r="A517" s="185" t="s">
        <v>82</v>
      </c>
      <c r="B517" s="186">
        <f t="shared" ca="1" si="59"/>
        <v>321.2</v>
      </c>
      <c r="C517" s="185" t="str">
        <f t="shared" si="60"/>
        <v>55050 MAINTENANCE CONTRACTS : 55055 LANDSCAPING</v>
      </c>
      <c r="D517" s="185" t="str">
        <f t="shared" si="61"/>
        <v>55055 LANDSCAPING</v>
      </c>
      <c r="E517" s="185" t="str">
        <f t="shared" si="62"/>
        <v>55050 MAINTENANCE CONTRACTS</v>
      </c>
      <c r="G517" s="191" t="s">
        <v>308</v>
      </c>
      <c r="J517" s="192">
        <v>4356.25</v>
      </c>
    </row>
    <row r="518" spans="1:10">
      <c r="A518" s="185" t="s">
        <v>82</v>
      </c>
      <c r="B518" s="186">
        <f t="shared" ref="B518:B560" ca="1" si="69">IF(LEN(A518)=0,"",IFERROR(VLOOKUP(C518,INDIRECT(A518&amp;"_LOOKUP"),2,FALSE),"-100"))</f>
        <v>321.2</v>
      </c>
      <c r="C518" s="185" t="str">
        <f t="shared" ref="C518:C560" si="70">IF(LEN(D518)&gt;0,TRIM(E518&amp;" : "&amp;D518),"")</f>
        <v>55050 MAINTENANCE CONTRACTS : 55050 MAINTENANCE CONT</v>
      </c>
      <c r="D518" s="185" t="str">
        <f t="shared" ref="D518:D560" si="71">IFERROR(IF(AND(LEN(A518)&gt;0,A518&lt;&gt;"GROUP"),UPPER(G518),""),"")</f>
        <v>55050 MAINTENANCE CONT</v>
      </c>
      <c r="E518" s="185" t="str">
        <f t="shared" ref="E518:E560" si="72">IFERROR(IF(A518="GROUP",UPPER(G518),IF(AND(LEN(A518)&gt;0,A518&lt;&gt;"GROUP"),UPPER(E517),"")),"")</f>
        <v>55050 MAINTENANCE CONTRACTS</v>
      </c>
      <c r="G518" s="191" t="s">
        <v>309</v>
      </c>
      <c r="J518" s="192">
        <v>1062.26</v>
      </c>
    </row>
    <row r="519" spans="1:10">
      <c r="A519" s="185" t="str">
        <f t="shared" si="68"/>
        <v/>
      </c>
      <c r="B519" s="186" t="str">
        <f t="shared" ca="1" si="69"/>
        <v/>
      </c>
      <c r="C519" s="185" t="str">
        <f t="shared" si="70"/>
        <v/>
      </c>
      <c r="D519" s="185" t="str">
        <f t="shared" si="71"/>
        <v/>
      </c>
      <c r="E519" s="185" t="str">
        <f t="shared" si="72"/>
        <v/>
      </c>
      <c r="G519" s="191" t="s">
        <v>183</v>
      </c>
      <c r="J519" s="192">
        <v>8408.51</v>
      </c>
    </row>
    <row r="520" spans="1:10">
      <c r="A520" s="185" t="str">
        <f t="shared" si="68"/>
        <v/>
      </c>
      <c r="B520" s="186" t="str">
        <f t="shared" ca="1" si="69"/>
        <v/>
      </c>
      <c r="C520" s="185" t="str">
        <f t="shared" si="70"/>
        <v/>
      </c>
      <c r="D520" s="185" t="str">
        <f t="shared" si="71"/>
        <v/>
      </c>
      <c r="E520" s="185" t="str">
        <f t="shared" si="72"/>
        <v/>
      </c>
      <c r="G520" s="191" t="s">
        <v>99</v>
      </c>
      <c r="J520" s="192"/>
    </row>
    <row r="521" spans="1:10">
      <c r="A521" s="185" t="str">
        <f t="shared" si="68"/>
        <v>GROUP</v>
      </c>
      <c r="B521" s="186"/>
      <c r="C521" s="185" t="str">
        <f t="shared" si="70"/>
        <v/>
      </c>
      <c r="D521" s="185" t="str">
        <f t="shared" si="71"/>
        <v/>
      </c>
      <c r="E521" s="185" t="str">
        <f t="shared" si="72"/>
        <v>56000 UTILITIES</v>
      </c>
      <c r="G521" s="191" t="s">
        <v>189</v>
      </c>
      <c r="J521" s="192"/>
    </row>
    <row r="522" spans="1:10">
      <c r="A522" s="185" t="s">
        <v>82</v>
      </c>
      <c r="B522" s="186">
        <f t="shared" ca="1" si="69"/>
        <v>313</v>
      </c>
      <c r="C522" s="185" t="str">
        <f t="shared" si="70"/>
        <v>56000 UTILITIES : 56100 GAS &amp; ELECTRIC</v>
      </c>
      <c r="D522" s="185" t="str">
        <f t="shared" si="71"/>
        <v>56100 GAS &amp; ELECTRIC</v>
      </c>
      <c r="E522" s="185" t="str">
        <f t="shared" si="72"/>
        <v>56000 UTILITIES</v>
      </c>
      <c r="G522" s="191" t="s">
        <v>190</v>
      </c>
      <c r="J522" s="192">
        <v>53002.82</v>
      </c>
    </row>
    <row r="523" spans="1:10">
      <c r="A523" s="185" t="s">
        <v>82</v>
      </c>
      <c r="B523" s="186">
        <f t="shared" ca="1" si="69"/>
        <v>313</v>
      </c>
      <c r="C523" s="185" t="str">
        <f t="shared" si="70"/>
        <v>56000 UTILITIES : 56200 CABLE</v>
      </c>
      <c r="D523" s="185" t="str">
        <f t="shared" si="71"/>
        <v>56200 CABLE</v>
      </c>
      <c r="E523" s="185" t="str">
        <f t="shared" si="72"/>
        <v>56000 UTILITIES</v>
      </c>
      <c r="G523" s="191" t="s">
        <v>191</v>
      </c>
      <c r="J523" s="192">
        <v>4600.83</v>
      </c>
    </row>
    <row r="524" spans="1:10">
      <c r="A524" s="185" t="s">
        <v>82</v>
      </c>
      <c r="B524" s="186">
        <f t="shared" ca="1" si="69"/>
        <v>313</v>
      </c>
      <c r="C524" s="185" t="str">
        <f t="shared" si="70"/>
        <v>56000 UTILITIES : 56300 PHONE</v>
      </c>
      <c r="D524" s="185" t="str">
        <f t="shared" si="71"/>
        <v>56300 PHONE</v>
      </c>
      <c r="E524" s="185" t="str">
        <f t="shared" si="72"/>
        <v>56000 UTILITIES</v>
      </c>
      <c r="G524" s="191" t="s">
        <v>192</v>
      </c>
      <c r="J524" s="192">
        <v>15834.42</v>
      </c>
    </row>
    <row r="525" spans="1:10">
      <c r="A525" s="185" t="s">
        <v>82</v>
      </c>
      <c r="B525" s="186">
        <f t="shared" ca="1" si="69"/>
        <v>313</v>
      </c>
      <c r="C525" s="185" t="str">
        <f t="shared" si="70"/>
        <v>56000 UTILITIES : 56700 WATER</v>
      </c>
      <c r="D525" s="185" t="str">
        <f t="shared" si="71"/>
        <v>56700 WATER</v>
      </c>
      <c r="E525" s="185" t="str">
        <f t="shared" si="72"/>
        <v>56000 UTILITIES</v>
      </c>
      <c r="G525" s="191" t="s">
        <v>193</v>
      </c>
      <c r="J525" s="192">
        <v>0</v>
      </c>
    </row>
    <row r="526" spans="1:10">
      <c r="A526" s="185"/>
      <c r="B526" s="186" t="str">
        <f t="shared" ca="1" si="69"/>
        <v/>
      </c>
      <c r="C526" s="185" t="str">
        <f t="shared" si="70"/>
        <v/>
      </c>
      <c r="D526" s="185" t="str">
        <f t="shared" si="71"/>
        <v/>
      </c>
      <c r="E526" s="185" t="str">
        <f t="shared" si="72"/>
        <v/>
      </c>
      <c r="G526" s="191" t="s">
        <v>194</v>
      </c>
      <c r="J526" s="192">
        <v>73438.070000000007</v>
      </c>
    </row>
    <row r="527" spans="1:10">
      <c r="A527" s="185" t="str">
        <f t="shared" si="68"/>
        <v/>
      </c>
      <c r="B527" s="186" t="str">
        <f t="shared" ca="1" si="69"/>
        <v/>
      </c>
      <c r="C527" s="185" t="str">
        <f t="shared" si="70"/>
        <v/>
      </c>
      <c r="D527" s="185" t="str">
        <f t="shared" si="71"/>
        <v/>
      </c>
      <c r="E527" s="185" t="str">
        <f t="shared" si="72"/>
        <v/>
      </c>
      <c r="G527" s="191" t="s">
        <v>99</v>
      </c>
      <c r="J527" s="192"/>
    </row>
    <row r="528" spans="1:10">
      <c r="A528" s="185" t="str">
        <f t="shared" si="68"/>
        <v>GROUP</v>
      </c>
      <c r="B528" s="186"/>
      <c r="C528" s="185" t="str">
        <f t="shared" si="70"/>
        <v/>
      </c>
      <c r="D528" s="185" t="str">
        <f t="shared" si="71"/>
        <v/>
      </c>
      <c r="E528" s="185" t="str">
        <f t="shared" si="72"/>
        <v>58000 LICENSES &amp; FEES</v>
      </c>
      <c r="G528" s="191" t="s">
        <v>288</v>
      </c>
      <c r="J528" s="192"/>
    </row>
    <row r="529" spans="1:10">
      <c r="A529" s="185" t="s">
        <v>82</v>
      </c>
      <c r="B529" s="186">
        <f t="shared" ca="1" si="69"/>
        <v>990</v>
      </c>
      <c r="C529" s="185" t="str">
        <f t="shared" si="70"/>
        <v>58000 LICENSES &amp; FEES : 58100 PERSONAL PROPERTY TAX</v>
      </c>
      <c r="D529" s="185" t="str">
        <f t="shared" si="71"/>
        <v>58100 PERSONAL PROPERTY TAX</v>
      </c>
      <c r="E529" s="185" t="str">
        <f t="shared" si="72"/>
        <v>58000 LICENSES &amp; FEES</v>
      </c>
      <c r="G529" s="191" t="s">
        <v>196</v>
      </c>
      <c r="J529" s="192">
        <v>853.8</v>
      </c>
    </row>
    <row r="530" spans="1:10">
      <c r="A530" s="185" t="s">
        <v>82</v>
      </c>
      <c r="B530" s="186">
        <f t="shared" ca="1" si="69"/>
        <v>306.3</v>
      </c>
      <c r="C530" s="185" t="str">
        <f t="shared" si="70"/>
        <v>58000 LICENSES &amp; FEES : 58000 LICENSES &amp; FEES OTHER</v>
      </c>
      <c r="D530" s="185" t="str">
        <f t="shared" si="71"/>
        <v>58000 LICENSES &amp; FEES OTHER</v>
      </c>
      <c r="E530" s="185" t="str">
        <f t="shared" si="72"/>
        <v>58000 LICENSES &amp; FEES</v>
      </c>
      <c r="G530" s="191" t="s">
        <v>195</v>
      </c>
      <c r="J530" s="192">
        <v>589.39</v>
      </c>
    </row>
    <row r="531" spans="1:10">
      <c r="A531" s="185" t="str">
        <f>IF(AND(LEN(G531)&gt;0,LEN(G530)=0,LEFT(G531,3)&lt;&gt;"TOT"),"GROUP","")</f>
        <v/>
      </c>
      <c r="B531" s="186" t="str">
        <f t="shared" ca="1" si="69"/>
        <v/>
      </c>
      <c r="C531" s="185" t="str">
        <f t="shared" si="70"/>
        <v/>
      </c>
      <c r="D531" s="185" t="str">
        <f t="shared" si="71"/>
        <v/>
      </c>
      <c r="E531" s="185" t="str">
        <f t="shared" si="72"/>
        <v/>
      </c>
      <c r="G531" s="191" t="s">
        <v>197</v>
      </c>
      <c r="J531" s="192">
        <v>1443.19</v>
      </c>
    </row>
    <row r="532" spans="1:10">
      <c r="A532" s="185" t="str">
        <f>IF(AND(LEN(G532)&gt;0,LEN(G531)=0,LEFT(G532,3)&lt;&gt;"TOT"),"GROUP","")</f>
        <v/>
      </c>
      <c r="B532" s="186" t="str">
        <f t="shared" ca="1" si="69"/>
        <v/>
      </c>
      <c r="C532" s="185" t="str">
        <f t="shared" si="70"/>
        <v/>
      </c>
      <c r="D532" s="185" t="str">
        <f t="shared" si="71"/>
        <v/>
      </c>
      <c r="E532" s="185" t="str">
        <f t="shared" si="72"/>
        <v/>
      </c>
      <c r="G532" s="191" t="s">
        <v>99</v>
      </c>
      <c r="J532" s="192"/>
    </row>
    <row r="533" spans="1:10">
      <c r="A533" s="185" t="str">
        <f>IF(AND(LEN(G533)&gt;0,LEN(G532)=0,LEFT(G533,3)&lt;&gt;"TOT"),"GROUP","")</f>
        <v>GROUP</v>
      </c>
      <c r="B533" s="186"/>
      <c r="C533" s="185" t="str">
        <f t="shared" si="70"/>
        <v/>
      </c>
      <c r="D533" s="185" t="str">
        <f t="shared" si="71"/>
        <v/>
      </c>
      <c r="E533" s="185" t="str">
        <f t="shared" si="72"/>
        <v>60000 MARKETING EXPENSE</v>
      </c>
      <c r="G533" s="191" t="s">
        <v>198</v>
      </c>
      <c r="J533" s="192"/>
    </row>
    <row r="534" spans="1:10">
      <c r="A534" s="185" t="s">
        <v>82</v>
      </c>
      <c r="B534" s="186">
        <f t="shared" ca="1" si="69"/>
        <v>305.3</v>
      </c>
      <c r="C534" s="185" t="str">
        <f t="shared" si="70"/>
        <v>60000 MARKETING EXPENSE : 60060 REFERRAL FEES</v>
      </c>
      <c r="D534" s="185" t="str">
        <f t="shared" si="71"/>
        <v>60060 REFERRAL FEES</v>
      </c>
      <c r="E534" s="185" t="str">
        <f t="shared" si="72"/>
        <v>60000 MARKETING EXPENSE</v>
      </c>
      <c r="G534" s="191" t="s">
        <v>199</v>
      </c>
      <c r="J534" s="192">
        <v>10634.5</v>
      </c>
    </row>
    <row r="535" spans="1:10">
      <c r="A535" s="185" t="s">
        <v>82</v>
      </c>
      <c r="B535" s="186">
        <f t="shared" ca="1" si="69"/>
        <v>305.10000000000002</v>
      </c>
      <c r="C535" s="185" t="str">
        <f t="shared" si="70"/>
        <v>60000 MARKETING EXPENSE : 60010 MARKETING SALARY</v>
      </c>
      <c r="D535" s="185" t="str">
        <f t="shared" si="71"/>
        <v>60010 MARKETING SALARY</v>
      </c>
      <c r="E535" s="185" t="str">
        <f t="shared" si="72"/>
        <v>60000 MARKETING EXPENSE</v>
      </c>
      <c r="G535" s="191" t="s">
        <v>200</v>
      </c>
      <c r="J535" s="192">
        <v>0</v>
      </c>
    </row>
    <row r="536" spans="1:10">
      <c r="A536" s="185" t="s">
        <v>82</v>
      </c>
      <c r="B536" s="186">
        <f t="shared" ca="1" si="69"/>
        <v>305.3</v>
      </c>
      <c r="C536" s="185" t="str">
        <f t="shared" si="70"/>
        <v>60000 MARKETING EXPENSE : 60030 MEDIA</v>
      </c>
      <c r="D536" s="185" t="str">
        <f t="shared" si="71"/>
        <v>60030 MEDIA</v>
      </c>
      <c r="E536" s="185" t="str">
        <f t="shared" si="72"/>
        <v>60000 MARKETING EXPENSE</v>
      </c>
      <c r="G536" s="191" t="s">
        <v>201</v>
      </c>
      <c r="J536" s="192">
        <v>3230</v>
      </c>
    </row>
    <row r="537" spans="1:10">
      <c r="A537" s="185" t="s">
        <v>82</v>
      </c>
      <c r="B537" s="186">
        <f t="shared" ca="1" si="69"/>
        <v>305.3</v>
      </c>
      <c r="C537" s="185" t="str">
        <f t="shared" si="70"/>
        <v>60000 MARKETING EXPENSE : 60040 MARKETING SUPPLIES</v>
      </c>
      <c r="D537" s="185" t="str">
        <f t="shared" si="71"/>
        <v>60040 MARKETING SUPPLIES</v>
      </c>
      <c r="E537" s="185" t="str">
        <f t="shared" si="72"/>
        <v>60000 MARKETING EXPENSE</v>
      </c>
      <c r="G537" s="191" t="s">
        <v>202</v>
      </c>
      <c r="J537" s="192">
        <v>0</v>
      </c>
    </row>
    <row r="538" spans="1:10">
      <c r="A538" s="185" t="str">
        <f>IF(AND(LEN(G538)&gt;0,LEN(G537)=0,LEFT(G538,3)&lt;&gt;"TOT"),"GROUP","")</f>
        <v/>
      </c>
      <c r="B538" s="186" t="str">
        <f t="shared" ca="1" si="69"/>
        <v/>
      </c>
      <c r="C538" s="185" t="str">
        <f t="shared" si="70"/>
        <v/>
      </c>
      <c r="D538" s="185" t="str">
        <f t="shared" si="71"/>
        <v/>
      </c>
      <c r="E538" s="185" t="str">
        <f t="shared" si="72"/>
        <v/>
      </c>
      <c r="G538" s="191" t="s">
        <v>205</v>
      </c>
      <c r="J538" s="192">
        <v>13864.5</v>
      </c>
    </row>
    <row r="539" spans="1:10">
      <c r="A539" s="185" t="str">
        <f>IF(AND(LEN(G539)&gt;0,LEN(G538)=0,LEFT(G539,3)&lt;&gt;"TOT"),"GROUP","")</f>
        <v/>
      </c>
      <c r="B539" s="186" t="str">
        <f t="shared" ca="1" si="69"/>
        <v/>
      </c>
      <c r="C539" s="185" t="str">
        <f t="shared" si="70"/>
        <v/>
      </c>
      <c r="D539" s="185" t="str">
        <f t="shared" si="71"/>
        <v/>
      </c>
      <c r="E539" s="185" t="str">
        <f t="shared" si="72"/>
        <v/>
      </c>
      <c r="G539" s="191" t="s">
        <v>99</v>
      </c>
      <c r="J539" s="192"/>
    </row>
    <row r="540" spans="1:10">
      <c r="A540" s="185" t="str">
        <f>IF(AND(LEN(G540)&gt;0,LEN(G539)=0,LEFT(G540,3)&lt;&gt;"TOT"),"GROUP","")</f>
        <v>GROUP</v>
      </c>
      <c r="B540" s="186"/>
      <c r="C540" s="185" t="str">
        <f t="shared" si="70"/>
        <v/>
      </c>
      <c r="D540" s="185" t="str">
        <f t="shared" si="71"/>
        <v/>
      </c>
      <c r="E540" s="185" t="str">
        <f t="shared" si="72"/>
        <v>62000 EMPLOYEE BENEFITS</v>
      </c>
      <c r="G540" s="191" t="s">
        <v>206</v>
      </c>
      <c r="J540" s="192"/>
    </row>
    <row r="541" spans="1:10">
      <c r="A541" s="185" t="s">
        <v>82</v>
      </c>
      <c r="B541" s="186">
        <f t="shared" ca="1" si="69"/>
        <v>308</v>
      </c>
      <c r="C541" s="185" t="str">
        <f t="shared" si="70"/>
        <v>62000 EMPLOYEE BENEFITS : 62100 HEALTH INSURANCE</v>
      </c>
      <c r="D541" s="185" t="str">
        <f t="shared" si="71"/>
        <v>62100 HEALTH INSURANCE</v>
      </c>
      <c r="E541" s="185" t="str">
        <f t="shared" si="72"/>
        <v>62000 EMPLOYEE BENEFITS</v>
      </c>
      <c r="G541" s="191" t="s">
        <v>207</v>
      </c>
      <c r="J541" s="192">
        <v>5690.08</v>
      </c>
    </row>
    <row r="542" spans="1:10">
      <c r="A542" s="185" t="s">
        <v>82</v>
      </c>
      <c r="B542" s="186">
        <f t="shared" ca="1" si="69"/>
        <v>308</v>
      </c>
      <c r="C542" s="185" t="str">
        <f t="shared" si="70"/>
        <v>62000 EMPLOYEE BENEFITS : 62300 LIFE &amp; DISABILITY INSURANCE</v>
      </c>
      <c r="D542" s="185" t="str">
        <f t="shared" si="71"/>
        <v>62300 LIFE &amp; DISABILITY INSURANCE</v>
      </c>
      <c r="E542" s="185" t="str">
        <f t="shared" si="72"/>
        <v>62000 EMPLOYEE BENEFITS</v>
      </c>
      <c r="G542" s="191" t="s">
        <v>208</v>
      </c>
      <c r="J542" s="192">
        <v>3463.93</v>
      </c>
    </row>
    <row r="543" spans="1:10">
      <c r="A543" s="185" t="str">
        <f>IF(AND(LEN(G543)&gt;0,LEN(G542)=0,LEFT(G543,3)&lt;&gt;"TOT"),"GROUP","")</f>
        <v/>
      </c>
      <c r="B543" s="186" t="str">
        <f t="shared" ca="1" si="69"/>
        <v/>
      </c>
      <c r="C543" s="185" t="str">
        <f t="shared" si="70"/>
        <v/>
      </c>
      <c r="D543" s="185" t="str">
        <f t="shared" si="71"/>
        <v/>
      </c>
      <c r="E543" s="185" t="str">
        <f t="shared" si="72"/>
        <v/>
      </c>
      <c r="G543" s="191" t="s">
        <v>209</v>
      </c>
      <c r="J543" s="192">
        <v>9154.01</v>
      </c>
    </row>
    <row r="544" spans="1:10">
      <c r="A544" s="185" t="str">
        <f>IF(AND(LEN(G544)&gt;0,LEN(G543)=0,LEFT(G544,3)&lt;&gt;"TOT"),"GROUP","")</f>
        <v/>
      </c>
      <c r="B544" s="186" t="str">
        <f t="shared" ca="1" si="69"/>
        <v/>
      </c>
      <c r="C544" s="185" t="str">
        <f t="shared" si="70"/>
        <v/>
      </c>
      <c r="D544" s="185" t="str">
        <f t="shared" si="71"/>
        <v/>
      </c>
      <c r="E544" s="185" t="str">
        <f t="shared" si="72"/>
        <v/>
      </c>
      <c r="G544" s="191" t="s">
        <v>99</v>
      </c>
      <c r="J544" s="192"/>
    </row>
    <row r="545" spans="1:10">
      <c r="A545" s="185" t="str">
        <f>IF(AND(LEN(G545)&gt;0,LEN(G544)=0,LEFT(G545,3)&lt;&gt;"TOT"),"GROUP","")</f>
        <v>GROUP</v>
      </c>
      <c r="B545" s="186"/>
      <c r="C545" s="185" t="str">
        <f t="shared" si="70"/>
        <v/>
      </c>
      <c r="D545" s="185" t="str">
        <f t="shared" si="71"/>
        <v/>
      </c>
      <c r="E545" s="185" t="str">
        <f t="shared" si="72"/>
        <v>70000 OFFICE &amp; ADMINISTRATIVE</v>
      </c>
      <c r="G545" s="191" t="s">
        <v>210</v>
      </c>
      <c r="J545" s="192"/>
    </row>
    <row r="546" spans="1:10">
      <c r="A546" s="185" t="s">
        <v>82</v>
      </c>
      <c r="B546" s="186">
        <f t="shared" ca="1" si="69"/>
        <v>308</v>
      </c>
      <c r="C546" s="185" t="str">
        <f t="shared" si="70"/>
        <v>70000 OFFICE &amp; ADMINISTRATIVE : 70014 EMP BENES ADMIN</v>
      </c>
      <c r="D546" s="185" t="str">
        <f t="shared" si="71"/>
        <v>70014 EMP BENES ADMIN</v>
      </c>
      <c r="E546" s="185" t="str">
        <f t="shared" si="72"/>
        <v>70000 OFFICE &amp; ADMINISTRATIVE</v>
      </c>
      <c r="G546" s="191" t="s">
        <v>212</v>
      </c>
      <c r="J546" s="192">
        <v>325</v>
      </c>
    </row>
    <row r="547" spans="1:10">
      <c r="A547" s="185" t="s">
        <v>82</v>
      </c>
      <c r="B547" s="186">
        <f t="shared" ca="1" si="69"/>
        <v>307</v>
      </c>
      <c r="C547" s="185" t="str">
        <f t="shared" si="70"/>
        <v>70000 OFFICE &amp; ADMINISTRATIVE : 70012 PAYROLL TAX ADMIN</v>
      </c>
      <c r="D547" s="185" t="str">
        <f t="shared" si="71"/>
        <v>70012 PAYROLL TAX ADMIN</v>
      </c>
      <c r="E547" s="185" t="str">
        <f t="shared" si="72"/>
        <v>70000 OFFICE &amp; ADMINISTRATIVE</v>
      </c>
      <c r="G547" s="191" t="s">
        <v>213</v>
      </c>
      <c r="J547" s="192">
        <v>1838.26</v>
      </c>
    </row>
    <row r="548" spans="1:10">
      <c r="A548" s="185" t="s">
        <v>82</v>
      </c>
      <c r="B548" s="186">
        <f t="shared" ca="1" si="69"/>
        <v>306.10000000000002</v>
      </c>
      <c r="C548" s="185" t="str">
        <f t="shared" si="70"/>
        <v>70000 OFFICE &amp; ADMINISTRATIVE : 70010 OFFICE &amp; ADMIN SALARIES</v>
      </c>
      <c r="D548" s="185" t="str">
        <f t="shared" si="71"/>
        <v>70010 OFFICE &amp; ADMIN SALARIES</v>
      </c>
      <c r="E548" s="185" t="str">
        <f t="shared" si="72"/>
        <v>70000 OFFICE &amp; ADMINISTRATIVE</v>
      </c>
      <c r="G548" s="191" t="s">
        <v>214</v>
      </c>
      <c r="J548" s="192">
        <v>22147.08</v>
      </c>
    </row>
    <row r="549" spans="1:10">
      <c r="A549" s="185" t="s">
        <v>82</v>
      </c>
      <c r="B549" s="186">
        <f t="shared" ca="1" si="69"/>
        <v>306.3</v>
      </c>
      <c r="C549" s="185" t="str">
        <f t="shared" si="70"/>
        <v>70000 OFFICE &amp; ADMINISTRATIVE : 70300 DUES &amp; SUBSCRIPTIONS</v>
      </c>
      <c r="D549" s="185" t="str">
        <f t="shared" si="71"/>
        <v>70300 DUES &amp; SUBSCRIPTIONS</v>
      </c>
      <c r="E549" s="185" t="str">
        <f t="shared" si="72"/>
        <v>70000 OFFICE &amp; ADMINISTRATIVE</v>
      </c>
      <c r="G549" s="191" t="s">
        <v>215</v>
      </c>
      <c r="J549" s="192">
        <v>2048</v>
      </c>
    </row>
    <row r="550" spans="1:10">
      <c r="A550" s="185" t="s">
        <v>82</v>
      </c>
      <c r="B550" s="186">
        <f t="shared" ca="1" si="69"/>
        <v>306.3</v>
      </c>
      <c r="C550" s="185" t="str">
        <f t="shared" si="70"/>
        <v>70000 OFFICE &amp; ADMINISTRATIVE : 70515 BROKERS FEE</v>
      </c>
      <c r="D550" s="185" t="str">
        <f t="shared" si="71"/>
        <v>70515 BROKERS FEE</v>
      </c>
      <c r="E550" s="185" t="str">
        <f t="shared" si="72"/>
        <v>70000 OFFICE &amp; ADMINISTRATIVE</v>
      </c>
      <c r="G550" s="191" t="s">
        <v>219</v>
      </c>
      <c r="J550" s="192">
        <v>1890</v>
      </c>
    </row>
    <row r="551" spans="1:10">
      <c r="A551" s="185" t="s">
        <v>82</v>
      </c>
      <c r="B551" s="186">
        <f t="shared" ca="1" si="69"/>
        <v>306.3</v>
      </c>
      <c r="C551" s="185" t="str">
        <f t="shared" si="70"/>
        <v>70000 OFFICE &amp; ADMINISTRATIVE : 70510 ACCOUNTING</v>
      </c>
      <c r="D551" s="185" t="str">
        <f t="shared" si="71"/>
        <v>70510 ACCOUNTING</v>
      </c>
      <c r="E551" s="185" t="str">
        <f t="shared" si="72"/>
        <v>70000 OFFICE &amp; ADMINISTRATIVE</v>
      </c>
      <c r="G551" s="191" t="s">
        <v>220</v>
      </c>
      <c r="J551" s="192">
        <v>3000</v>
      </c>
    </row>
    <row r="552" spans="1:10">
      <c r="A552" s="185" t="s">
        <v>82</v>
      </c>
      <c r="B552" s="186">
        <f t="shared" ca="1" si="69"/>
        <v>306.3</v>
      </c>
      <c r="C552" s="185" t="str">
        <f t="shared" si="70"/>
        <v>70000 OFFICE &amp; ADMINISTRATIVE : 70550 PAYROLL ADMINISTRATION</v>
      </c>
      <c r="D552" s="185" t="str">
        <f t="shared" si="71"/>
        <v>70550 PAYROLL ADMINISTRATION</v>
      </c>
      <c r="E552" s="185" t="str">
        <f t="shared" si="72"/>
        <v>70000 OFFICE &amp; ADMINISTRATIVE</v>
      </c>
      <c r="G552" s="191" t="s">
        <v>221</v>
      </c>
      <c r="J552" s="192">
        <v>2837.01</v>
      </c>
    </row>
    <row r="553" spans="1:10">
      <c r="A553" s="185" t="s">
        <v>82</v>
      </c>
      <c r="B553" s="186">
        <f t="shared" ca="1" si="69"/>
        <v>306.3</v>
      </c>
      <c r="C553" s="185" t="str">
        <f t="shared" si="70"/>
        <v>70000 OFFICE &amp; ADMINISTRATIVE : 70520 EE BACKGROUND CHECK</v>
      </c>
      <c r="D553" s="185" t="str">
        <f t="shared" si="71"/>
        <v>70520 EE BACKGROUND CHECK</v>
      </c>
      <c r="E553" s="185" t="str">
        <f t="shared" si="72"/>
        <v>70000 OFFICE &amp; ADMINISTRATIVE</v>
      </c>
      <c r="G553" s="191" t="s">
        <v>222</v>
      </c>
      <c r="J553" s="192">
        <v>357.5</v>
      </c>
    </row>
    <row r="554" spans="1:10">
      <c r="A554" s="185" t="s">
        <v>82</v>
      </c>
      <c r="B554" s="186">
        <f t="shared" ca="1" si="69"/>
        <v>306.3</v>
      </c>
      <c r="C554" s="185" t="str">
        <f t="shared" si="70"/>
        <v>70000 OFFICE &amp; ADMINISTRATIVE : 70500 PROFESSIONAL FEES OTHER</v>
      </c>
      <c r="D554" s="185" t="str">
        <f t="shared" si="71"/>
        <v>70500 PROFESSIONAL FEES OTHER</v>
      </c>
      <c r="E554" s="185" t="str">
        <f t="shared" si="72"/>
        <v>70000 OFFICE &amp; ADMINISTRATIVE</v>
      </c>
      <c r="G554" s="191" t="s">
        <v>223</v>
      </c>
      <c r="J554" s="192">
        <v>6438.52</v>
      </c>
    </row>
    <row r="555" spans="1:10">
      <c r="A555" s="185" t="s">
        <v>82</v>
      </c>
      <c r="B555" s="186">
        <f t="shared" ca="1" si="69"/>
        <v>306.3</v>
      </c>
      <c r="C555" s="185" t="str">
        <f t="shared" si="70"/>
        <v>70000 OFFICE &amp; ADMINISTRATIVE : 70620 OFFICE EQUIPMENT LEASE</v>
      </c>
      <c r="D555" s="185" t="str">
        <f t="shared" si="71"/>
        <v>70620 OFFICE EQUIPMENT LEASE</v>
      </c>
      <c r="E555" s="185" t="str">
        <f t="shared" si="72"/>
        <v>70000 OFFICE &amp; ADMINISTRATIVE</v>
      </c>
      <c r="G555" s="191" t="s">
        <v>226</v>
      </c>
      <c r="J555" s="192">
        <v>10230.780000000001</v>
      </c>
    </row>
    <row r="556" spans="1:10">
      <c r="A556" s="185" t="s">
        <v>82</v>
      </c>
      <c r="B556" s="186">
        <f t="shared" ca="1" si="69"/>
        <v>306.3</v>
      </c>
      <c r="C556" s="185" t="str">
        <f t="shared" si="70"/>
        <v>70000 OFFICE &amp; ADMINISTRATIVE : 70610 OFFICE EQUIPMENT REPAIRS</v>
      </c>
      <c r="D556" s="185" t="str">
        <f t="shared" si="71"/>
        <v>70610 OFFICE EQUIPMENT REPAIRS</v>
      </c>
      <c r="E556" s="185" t="str">
        <f t="shared" si="72"/>
        <v>70000 OFFICE &amp; ADMINISTRATIVE</v>
      </c>
      <c r="G556" s="191" t="s">
        <v>227</v>
      </c>
      <c r="J556" s="192">
        <v>1668.93</v>
      </c>
    </row>
    <row r="557" spans="1:10">
      <c r="A557" s="185" t="s">
        <v>82</v>
      </c>
      <c r="B557" s="186">
        <f t="shared" ca="1" si="69"/>
        <v>306.3</v>
      </c>
      <c r="C557" s="185" t="str">
        <f t="shared" si="70"/>
        <v>70000 OFFICE &amp; ADMINISTRATIVE : 70710 POSTAGE &amp; SHIPPING</v>
      </c>
      <c r="D557" s="185" t="str">
        <f t="shared" si="71"/>
        <v>70710 POSTAGE &amp; SHIPPING</v>
      </c>
      <c r="E557" s="185" t="str">
        <f t="shared" si="72"/>
        <v>70000 OFFICE &amp; ADMINISTRATIVE</v>
      </c>
      <c r="G557" s="191" t="s">
        <v>229</v>
      </c>
      <c r="J557" s="192">
        <v>1590.77</v>
      </c>
    </row>
    <row r="558" spans="1:10">
      <c r="A558" s="185" t="s">
        <v>82</v>
      </c>
      <c r="B558" s="186">
        <f t="shared" ca="1" si="69"/>
        <v>306.3</v>
      </c>
      <c r="C558" s="185" t="str">
        <f t="shared" si="70"/>
        <v>70000 OFFICE &amp; ADMINISTRATIVE : 70700 OFFICE SUPPLIES</v>
      </c>
      <c r="D558" s="185" t="str">
        <f t="shared" si="71"/>
        <v>70700 OFFICE SUPPLIES</v>
      </c>
      <c r="E558" s="185" t="str">
        <f t="shared" si="72"/>
        <v>70000 OFFICE &amp; ADMINISTRATIVE</v>
      </c>
      <c r="G558" s="191" t="s">
        <v>231</v>
      </c>
      <c r="J558" s="192">
        <v>7525.44</v>
      </c>
    </row>
    <row r="559" spans="1:10">
      <c r="A559" s="185" t="s">
        <v>82</v>
      </c>
      <c r="B559" s="186">
        <f t="shared" ca="1" si="69"/>
        <v>306.3</v>
      </c>
      <c r="C559" s="185" t="str">
        <f t="shared" si="70"/>
        <v>70000 OFFICE &amp; ADMINISTRATIVE : 70910 SEMINARS</v>
      </c>
      <c r="D559" s="185" t="str">
        <f t="shared" si="71"/>
        <v>70910 SEMINARS</v>
      </c>
      <c r="E559" s="185" t="str">
        <f t="shared" si="72"/>
        <v>70000 OFFICE &amp; ADMINISTRATIVE</v>
      </c>
      <c r="G559" s="191" t="s">
        <v>310</v>
      </c>
      <c r="J559" s="192">
        <v>300</v>
      </c>
    </row>
    <row r="560" spans="1:10">
      <c r="A560" s="185" t="s">
        <v>82</v>
      </c>
      <c r="B560" s="186">
        <f t="shared" ca="1" si="69"/>
        <v>306.3</v>
      </c>
      <c r="C560" s="185" t="str">
        <f t="shared" si="70"/>
        <v>70000 OFFICE &amp; ADMINISTRATIVE : 70900 TRAINING &amp; TRAVEL</v>
      </c>
      <c r="D560" s="185" t="str">
        <f t="shared" si="71"/>
        <v>70900 TRAINING &amp; TRAVEL</v>
      </c>
      <c r="E560" s="185" t="str">
        <f t="shared" si="72"/>
        <v>70000 OFFICE &amp; ADMINISTRATIVE</v>
      </c>
      <c r="G560" s="191" t="s">
        <v>232</v>
      </c>
      <c r="J560" s="192">
        <v>825</v>
      </c>
    </row>
    <row r="561" spans="1:10">
      <c r="A561" s="185" t="s">
        <v>82</v>
      </c>
      <c r="B561" s="186">
        <f t="shared" ref="B561:B588" ca="1" si="73">IF(LEN(A561)=0,"",IFERROR(VLOOKUP(C561,INDIRECT(A561&amp;"_LOOKUP"),2,FALSE),"-100"))</f>
        <v>991</v>
      </c>
      <c r="C561" s="185" t="str">
        <f t="shared" ref="C561:C568" si="74">IF(LEN(D561)&gt;0,TRIM(E561&amp;" : "&amp;D561),"")</f>
        <v>70000 OFFICE &amp; ADMINISTRATIVE : 71000 QREC MANAGEMENT FEE</v>
      </c>
      <c r="D561" s="185" t="str">
        <f t="shared" ref="D561:D568" si="75">IFERROR(IF(AND(LEN(A561)&gt;0,A561&lt;&gt;"GROUP"),UPPER(G561),""),"")</f>
        <v>71000 QREC MANAGEMENT FEE</v>
      </c>
      <c r="E561" s="185" t="str">
        <f t="shared" ref="E561:E568" si="76">IFERROR(IF(A561="GROUP",UPPER(G561),IF(AND(LEN(A561)&gt;0,A561&lt;&gt;"GROUP"),UPPER(E560),"")),"")</f>
        <v>70000 OFFICE &amp; ADMINISTRATIVE</v>
      </c>
      <c r="G561" s="191" t="s">
        <v>234</v>
      </c>
      <c r="J561" s="192">
        <v>60000</v>
      </c>
    </row>
    <row r="562" spans="1:10">
      <c r="A562" s="185" t="s">
        <v>82</v>
      </c>
      <c r="B562" s="186">
        <f t="shared" ca="1" si="73"/>
        <v>306.3</v>
      </c>
      <c r="C562" s="185" t="str">
        <f t="shared" si="74"/>
        <v>70000 OFFICE &amp; ADMINISTRATIVE : 72000 CELLULAR PHONE</v>
      </c>
      <c r="D562" s="185" t="str">
        <f t="shared" si="75"/>
        <v>72000 CELLULAR PHONE</v>
      </c>
      <c r="E562" s="185" t="str">
        <f t="shared" si="76"/>
        <v>70000 OFFICE &amp; ADMINISTRATIVE</v>
      </c>
      <c r="G562" s="191" t="s">
        <v>235</v>
      </c>
      <c r="J562" s="192">
        <v>2232.13</v>
      </c>
    </row>
    <row r="563" spans="1:10">
      <c r="A563" s="185" t="s">
        <v>82</v>
      </c>
      <c r="B563" s="186">
        <f t="shared" ca="1" si="73"/>
        <v>306.3</v>
      </c>
      <c r="C563" s="185" t="str">
        <f t="shared" si="74"/>
        <v>70000 OFFICE &amp; ADMINISTRATIVE : 76000 CONTRIBUTIONS</v>
      </c>
      <c r="D563" s="185" t="str">
        <f t="shared" si="75"/>
        <v>76000 CONTRIBUTIONS</v>
      </c>
      <c r="E563" s="185" t="str">
        <f t="shared" si="76"/>
        <v>70000 OFFICE &amp; ADMINISTRATIVE</v>
      </c>
      <c r="G563" s="191" t="s">
        <v>301</v>
      </c>
      <c r="J563" s="192">
        <v>50</v>
      </c>
    </row>
    <row r="564" spans="1:10">
      <c r="A564" s="185" t="s">
        <v>82</v>
      </c>
      <c r="B564" s="186">
        <f t="shared" ca="1" si="73"/>
        <v>990</v>
      </c>
      <c r="C564" s="185" t="str">
        <f t="shared" si="74"/>
        <v>70000 OFFICE &amp; ADMINISTRATIVE : 78000 BANK FEES</v>
      </c>
      <c r="D564" s="185" t="str">
        <f t="shared" si="75"/>
        <v>78000 BANK FEES</v>
      </c>
      <c r="E564" s="185" t="str">
        <f t="shared" si="76"/>
        <v>70000 OFFICE &amp; ADMINISTRATIVE</v>
      </c>
      <c r="G564" s="191" t="s">
        <v>245</v>
      </c>
      <c r="J564" s="192">
        <v>173.65</v>
      </c>
    </row>
    <row r="565" spans="1:10">
      <c r="A565" s="185" t="s">
        <v>82</v>
      </c>
      <c r="B565" s="186">
        <f t="shared" ca="1" si="73"/>
        <v>306.3</v>
      </c>
      <c r="C565" s="185" t="str">
        <f t="shared" si="74"/>
        <v>70000 OFFICE &amp; ADMINISTRATIVE : 79000 MISCELLANEOUS</v>
      </c>
      <c r="D565" s="185" t="str">
        <f t="shared" si="75"/>
        <v>79000 MISCELLANEOUS</v>
      </c>
      <c r="E565" s="185" t="str">
        <f t="shared" si="76"/>
        <v>70000 OFFICE &amp; ADMINISTRATIVE</v>
      </c>
      <c r="G565" s="191" t="s">
        <v>246</v>
      </c>
      <c r="J565" s="192">
        <v>453.31</v>
      </c>
    </row>
    <row r="566" spans="1:10">
      <c r="A566" s="185" t="str">
        <f>IF(AND(LEN(G566)&gt;0,LEN(G565)=0,LEFT(G566,3)&lt;&gt;"TOT"),"GROUP","")</f>
        <v/>
      </c>
      <c r="B566" s="186" t="str">
        <f t="shared" ca="1" si="73"/>
        <v/>
      </c>
      <c r="C566" s="185" t="str">
        <f t="shared" si="74"/>
        <v/>
      </c>
      <c r="D566" s="185" t="str">
        <f t="shared" si="75"/>
        <v/>
      </c>
      <c r="E566" s="185" t="str">
        <f t="shared" si="76"/>
        <v/>
      </c>
      <c r="G566" s="191" t="s">
        <v>233</v>
      </c>
      <c r="J566" s="192">
        <v>63022.29</v>
      </c>
    </row>
    <row r="567" spans="1:10">
      <c r="A567" s="185" t="str">
        <f>IF(AND(LEN(G567)&gt;0,LEN(G566)=0,LEFT(G567,3)&lt;&gt;"TOT"),"GROUP","")</f>
        <v/>
      </c>
      <c r="B567" s="186" t="str">
        <f t="shared" ca="1" si="73"/>
        <v/>
      </c>
      <c r="C567" s="185" t="str">
        <f t="shared" si="74"/>
        <v/>
      </c>
      <c r="D567" s="185" t="str">
        <f t="shared" si="75"/>
        <v/>
      </c>
      <c r="E567" s="185" t="str">
        <f t="shared" si="76"/>
        <v/>
      </c>
      <c r="G567" s="191" t="s">
        <v>99</v>
      </c>
      <c r="J567" s="192"/>
    </row>
    <row r="568" spans="1:10">
      <c r="A568" s="185" t="str">
        <f>IF(AND(LEN(G568)&gt;0,LEN(G567)=0,LEFT(G568,3)&lt;&gt;"TOT"),"GROUP","")</f>
        <v>GROUP</v>
      </c>
      <c r="B568" s="186"/>
      <c r="C568" s="185" t="str">
        <f t="shared" si="74"/>
        <v/>
      </c>
      <c r="D568" s="185" t="str">
        <f t="shared" si="75"/>
        <v/>
      </c>
      <c r="E568" s="185" t="str">
        <f t="shared" si="76"/>
        <v>73000 VEHICLE EXPENSES</v>
      </c>
      <c r="G568" s="191" t="s">
        <v>236</v>
      </c>
      <c r="J568" s="192"/>
    </row>
    <row r="569" spans="1:10">
      <c r="A569" s="185" t="s">
        <v>82</v>
      </c>
      <c r="B569" s="186">
        <f t="shared" ca="1" si="73"/>
        <v>312.3</v>
      </c>
      <c r="C569" s="185" t="str">
        <f t="shared" ref="C569:C580" si="77">IF(LEN(D569)&gt;0,TRIM(E569&amp;" : "&amp;D569),"")</f>
        <v>73000 VEHICLE EXPENSES : 73700 MILEAGE REIMBURSEMENT</v>
      </c>
      <c r="D569" s="185" t="str">
        <f t="shared" ref="D569:D581" si="78">IFERROR(IF(AND(LEN(A569)&gt;0,A569&lt;&gt;"GROUP"),UPPER(G569),""),"")</f>
        <v>73700 MILEAGE REIMBURSEMENT</v>
      </c>
      <c r="E569" s="185" t="str">
        <f t="shared" ref="E569:E581" si="79">IFERROR(IF(A569="GROUP",UPPER(G569),IF(AND(LEN(A569)&gt;0,A569&lt;&gt;"GROUP"),UPPER(E568),"")),"")</f>
        <v>73000 VEHICLE EXPENSES</v>
      </c>
      <c r="G569" s="191" t="s">
        <v>299</v>
      </c>
      <c r="J569" s="192">
        <v>194.4</v>
      </c>
    </row>
    <row r="570" spans="1:10">
      <c r="A570" s="185" t="s">
        <v>82</v>
      </c>
      <c r="B570" s="186">
        <f t="shared" ca="1" si="73"/>
        <v>312.3</v>
      </c>
      <c r="C570" s="185" t="str">
        <f t="shared" si="77"/>
        <v>73000 VEHICLE EXPENSES : 73200 PARKING &amp; TOLLS</v>
      </c>
      <c r="D570" s="185" t="str">
        <f t="shared" si="78"/>
        <v>73200 PARKING &amp; TOLLS</v>
      </c>
      <c r="E570" s="185" t="str">
        <f t="shared" si="79"/>
        <v>73000 VEHICLE EXPENSES</v>
      </c>
      <c r="G570" s="191" t="s">
        <v>238</v>
      </c>
      <c r="J570" s="192">
        <v>467.64</v>
      </c>
    </row>
    <row r="571" spans="1:10">
      <c r="A571" s="185" t="s">
        <v>82</v>
      </c>
      <c r="B571" s="186">
        <f t="shared" ca="1" si="73"/>
        <v>312.3</v>
      </c>
      <c r="C571" s="185" t="str">
        <f t="shared" si="77"/>
        <v>73000 VEHICLE EXPENSES : 73100 GAS</v>
      </c>
      <c r="D571" s="185" t="str">
        <f t="shared" si="78"/>
        <v>73100 GAS</v>
      </c>
      <c r="E571" s="185" t="str">
        <f t="shared" si="79"/>
        <v>73000 VEHICLE EXPENSES</v>
      </c>
      <c r="G571" s="191" t="s">
        <v>239</v>
      </c>
      <c r="J571" s="192">
        <v>105.37</v>
      </c>
    </row>
    <row r="572" spans="1:10">
      <c r="A572" s="185" t="s">
        <v>82</v>
      </c>
      <c r="B572" s="186">
        <f t="shared" ca="1" si="73"/>
        <v>312.3</v>
      </c>
      <c r="C572" s="185" t="str">
        <f t="shared" si="77"/>
        <v>73000 VEHICLE EXPENSES : 73600 REGISTRATION &amp; FEES</v>
      </c>
      <c r="D572" s="185" t="str">
        <f t="shared" si="78"/>
        <v>73600 REGISTRATION &amp; FEES</v>
      </c>
      <c r="E572" s="185" t="str">
        <f t="shared" si="79"/>
        <v>73000 VEHICLE EXPENSES</v>
      </c>
      <c r="G572" s="191" t="s">
        <v>241</v>
      </c>
      <c r="J572" s="192">
        <v>14</v>
      </c>
    </row>
    <row r="573" spans="1:10">
      <c r="A573" s="185" t="s">
        <v>82</v>
      </c>
      <c r="B573" s="186">
        <f t="shared" ca="1" si="73"/>
        <v>312.3</v>
      </c>
      <c r="C573" s="185" t="str">
        <f t="shared" si="77"/>
        <v>73000 VEHICLE EXPENSES : 73800 REPAIRS &amp; MAINTENANCE</v>
      </c>
      <c r="D573" s="185" t="str">
        <f t="shared" si="78"/>
        <v>73800 REPAIRS &amp; MAINTENANCE</v>
      </c>
      <c r="E573" s="185" t="str">
        <f t="shared" si="79"/>
        <v>73000 VEHICLE EXPENSES</v>
      </c>
      <c r="G573" s="191" t="s">
        <v>242</v>
      </c>
      <c r="J573" s="192">
        <v>418.33</v>
      </c>
    </row>
    <row r="574" spans="1:10">
      <c r="A574" s="185" t="str">
        <f t="shared" ref="A574:A580" si="80">IF(AND(LEN(G574)&gt;0,LEN(G573)=0,LEFT(G574,3)&lt;&gt;"TOT"),"GROUP","")</f>
        <v/>
      </c>
      <c r="B574" s="186" t="str">
        <f t="shared" ca="1" si="73"/>
        <v/>
      </c>
      <c r="C574" s="185" t="str">
        <f t="shared" si="77"/>
        <v/>
      </c>
      <c r="D574" s="185" t="str">
        <f t="shared" si="78"/>
        <v/>
      </c>
      <c r="E574" s="185" t="str">
        <f t="shared" si="79"/>
        <v/>
      </c>
      <c r="G574" s="191" t="s">
        <v>244</v>
      </c>
      <c r="J574" s="192">
        <v>1199.74</v>
      </c>
    </row>
    <row r="575" spans="1:10">
      <c r="A575" s="185" t="str">
        <f t="shared" si="80"/>
        <v/>
      </c>
      <c r="B575" s="186" t="str">
        <f t="shared" ca="1" si="73"/>
        <v/>
      </c>
      <c r="C575" s="185" t="str">
        <f t="shared" si="77"/>
        <v/>
      </c>
      <c r="D575" s="185" t="str">
        <f t="shared" si="78"/>
        <v/>
      </c>
      <c r="E575" s="185" t="str">
        <f t="shared" si="79"/>
        <v/>
      </c>
      <c r="H575" s="211"/>
      <c r="I575" s="199"/>
      <c r="J575" s="199"/>
    </row>
    <row r="576" spans="1:10">
      <c r="A576" s="185" t="str">
        <f t="shared" si="80"/>
        <v/>
      </c>
      <c r="B576" s="186" t="str">
        <f t="shared" ca="1" si="73"/>
        <v/>
      </c>
      <c r="C576" s="185" t="str">
        <f t="shared" si="77"/>
        <v/>
      </c>
      <c r="D576" s="185" t="str">
        <f t="shared" si="78"/>
        <v/>
      </c>
      <c r="E576" s="185" t="str">
        <f t="shared" si="79"/>
        <v/>
      </c>
      <c r="G576" s="191" t="s">
        <v>99</v>
      </c>
      <c r="J576" s="192"/>
    </row>
    <row r="577" spans="1:13">
      <c r="A577" s="185" t="str">
        <f t="shared" si="80"/>
        <v>GROUP</v>
      </c>
      <c r="B577" s="186"/>
      <c r="C577" s="185" t="str">
        <f t="shared" si="77"/>
        <v/>
      </c>
      <c r="D577" s="185" t="str">
        <f t="shared" si="78"/>
        <v/>
      </c>
      <c r="E577" s="185" t="str">
        <f t="shared" si="79"/>
        <v>82000 INTEREST EXPENSE</v>
      </c>
      <c r="G577" s="191" t="s">
        <v>247</v>
      </c>
      <c r="J577" s="192"/>
    </row>
    <row r="578" spans="1:13">
      <c r="A578" s="185" t="s">
        <v>82</v>
      </c>
      <c r="B578" s="186">
        <f t="shared" ca="1" si="73"/>
        <v>990</v>
      </c>
      <c r="C578" s="185" t="str">
        <f t="shared" si="77"/>
        <v>82000 INTEREST EXPENSE : 82100 CREDIT CARD FINANCE CHARGES</v>
      </c>
      <c r="D578" s="185" t="str">
        <f t="shared" si="78"/>
        <v>82100 CREDIT CARD FINANCE CHARGES</v>
      </c>
      <c r="E578" s="185" t="str">
        <f t="shared" si="79"/>
        <v>82000 INTEREST EXPENSE</v>
      </c>
      <c r="G578" s="191" t="s">
        <v>248</v>
      </c>
      <c r="J578" s="192">
        <v>242.61</v>
      </c>
    </row>
    <row r="579" spans="1:13">
      <c r="A579" s="185" t="str">
        <f t="shared" si="80"/>
        <v/>
      </c>
      <c r="B579" s="186" t="str">
        <f t="shared" ca="1" si="73"/>
        <v/>
      </c>
      <c r="C579" s="185" t="str">
        <f t="shared" si="77"/>
        <v/>
      </c>
      <c r="D579" s="185" t="str">
        <f t="shared" si="78"/>
        <v/>
      </c>
      <c r="E579" s="185" t="str">
        <f t="shared" si="79"/>
        <v/>
      </c>
      <c r="G579" s="191" t="s">
        <v>251</v>
      </c>
      <c r="J579" s="192">
        <v>242.61</v>
      </c>
    </row>
    <row r="580" spans="1:13">
      <c r="A580" s="185" t="str">
        <f t="shared" si="80"/>
        <v/>
      </c>
      <c r="B580" s="186" t="str">
        <f t="shared" ca="1" si="73"/>
        <v/>
      </c>
      <c r="C580" s="185" t="str">
        <f t="shared" si="77"/>
        <v/>
      </c>
      <c r="D580" s="185" t="str">
        <f t="shared" si="78"/>
        <v/>
      </c>
      <c r="E580" s="185" t="str">
        <f t="shared" si="79"/>
        <v/>
      </c>
      <c r="G580" s="191" t="s">
        <v>99</v>
      </c>
      <c r="J580" s="192"/>
    </row>
    <row r="581" spans="1:13">
      <c r="A581" s="193" t="s">
        <v>82</v>
      </c>
      <c r="B581" s="194">
        <f t="shared" ca="1" si="73"/>
        <v>333</v>
      </c>
      <c r="C581" s="193" t="str">
        <f>UPPER(G581)</f>
        <v>TOTAL EXPENSE</v>
      </c>
      <c r="D581" s="185" t="str">
        <f t="shared" si="78"/>
        <v>TOTAL EXPENSE</v>
      </c>
      <c r="E581" s="185" t="str">
        <f t="shared" si="79"/>
        <v/>
      </c>
      <c r="G581" s="191" t="s">
        <v>75</v>
      </c>
      <c r="J581" s="192">
        <v>1348340.59</v>
      </c>
      <c r="L581" s="203"/>
    </row>
    <row r="582" spans="1:13">
      <c r="A582" s="185" t="str">
        <f>IF(AND(LEN(G582)&gt;0,LEN(G581)=0,LEFT(G582,3)&lt;&gt;"TOT"),"GROUP","")</f>
        <v/>
      </c>
      <c r="B582" s="186" t="str">
        <f t="shared" ca="1" si="73"/>
        <v/>
      </c>
      <c r="C582" s="185" t="str">
        <f t="shared" ref="C582:C588" si="81">IF(LEN(D582)&gt;0,TRIM(E582&amp;" : "&amp;D582),"")</f>
        <v/>
      </c>
      <c r="D582" s="185" t="str">
        <f t="shared" ref="D582:D589" si="82">IFERROR(IF(AND(LEN(A582)&gt;0,A582&lt;&gt;"GROUP"),UPPER(G582),""),"")</f>
        <v/>
      </c>
      <c r="E582" s="185" t="str">
        <f t="shared" ref="E582:E589" si="83">IFERROR(IF(A582="GROUP",UPPER(G582),IF(AND(LEN(A582)&gt;0,A582&lt;&gt;"GROUP"),UPPER(E581),"")),"")</f>
        <v/>
      </c>
      <c r="G582" s="191" t="s">
        <v>99</v>
      </c>
      <c r="J582" s="192"/>
      <c r="L582" s="203"/>
    </row>
    <row r="583" spans="1:13">
      <c r="A583" s="185" t="str">
        <f>IF(AND(LEN(G583)&gt;0,LEN(G582)=0,LEFT(G583,3)&lt;&gt;"TOT"),"GROUP","")</f>
        <v/>
      </c>
      <c r="B583" s="186" t="str">
        <f t="shared" ca="1" si="73"/>
        <v/>
      </c>
      <c r="C583" s="185" t="str">
        <f t="shared" si="81"/>
        <v/>
      </c>
      <c r="D583" s="185" t="str">
        <f t="shared" si="82"/>
        <v/>
      </c>
      <c r="E583" s="185" t="str">
        <f t="shared" si="83"/>
        <v/>
      </c>
      <c r="G583" s="191" t="s">
        <v>99</v>
      </c>
      <c r="J583" s="192"/>
      <c r="L583" s="203"/>
      <c r="M583" s="203"/>
    </row>
    <row r="584" spans="1:13">
      <c r="A584" s="185" t="str">
        <f>IF(AND(LEN(G584)&gt;0,LEN(G583)=0,LEFT(G584,3)&lt;&gt;"TOT"),"GROUP","")</f>
        <v>GROUP</v>
      </c>
      <c r="B584" s="186"/>
      <c r="C584" s="185" t="str">
        <f t="shared" si="81"/>
        <v/>
      </c>
      <c r="D584" s="185" t="str">
        <f t="shared" si="82"/>
        <v/>
      </c>
      <c r="E584" s="185" t="str">
        <f t="shared" si="83"/>
        <v>OTHER INCOME/EXPENSE</v>
      </c>
      <c r="G584" s="191" t="s">
        <v>252</v>
      </c>
      <c r="J584" s="192"/>
    </row>
    <row r="585" spans="1:13">
      <c r="A585" s="185" t="s">
        <v>82</v>
      </c>
      <c r="B585" s="186">
        <f t="shared" ca="1" si="73"/>
        <v>990</v>
      </c>
      <c r="C585" s="185" t="str">
        <f t="shared" si="81"/>
        <v>OTHER INCOME/EXPENSE : 85000 DEPRECIATION &amp; AMORTIZATION</v>
      </c>
      <c r="D585" s="185" t="str">
        <f t="shared" si="82"/>
        <v>85000 DEPRECIATION &amp; AMORTIZATION</v>
      </c>
      <c r="E585" s="185" t="str">
        <f t="shared" si="83"/>
        <v>OTHER INCOME/EXPENSE</v>
      </c>
      <c r="G585" s="191" t="s">
        <v>253</v>
      </c>
      <c r="J585" s="192">
        <v>-451.98</v>
      </c>
    </row>
    <row r="586" spans="1:13">
      <c r="A586" s="185" t="str">
        <f>IF(AND(LEN(G586)&gt;0,LEN(G585)=0,LEFT(G586,3)&lt;&gt;"TOT"),"GROUP","")</f>
        <v/>
      </c>
      <c r="B586" s="186" t="str">
        <f t="shared" ca="1" si="73"/>
        <v/>
      </c>
      <c r="C586" s="185" t="str">
        <f t="shared" si="81"/>
        <v/>
      </c>
      <c r="D586" s="185" t="str">
        <f t="shared" si="82"/>
        <v/>
      </c>
      <c r="E586" s="185" t="str">
        <f t="shared" si="83"/>
        <v/>
      </c>
      <c r="G586" s="191" t="s">
        <v>78</v>
      </c>
      <c r="J586" s="192">
        <v>451.98</v>
      </c>
    </row>
    <row r="587" spans="1:13">
      <c r="A587" s="185" t="str">
        <f>IF(AND(LEN(G587)&gt;0,LEN(G586)=0,LEFT(G587,3)&lt;&gt;"TOT"),"GROUP","")</f>
        <v/>
      </c>
      <c r="B587" s="186" t="str">
        <f t="shared" ca="1" si="73"/>
        <v/>
      </c>
      <c r="C587" s="185" t="str">
        <f t="shared" si="81"/>
        <v/>
      </c>
      <c r="D587" s="185" t="str">
        <f t="shared" si="82"/>
        <v/>
      </c>
      <c r="E587" s="185" t="str">
        <f t="shared" si="83"/>
        <v/>
      </c>
      <c r="G587" s="191" t="s">
        <v>79</v>
      </c>
      <c r="J587" s="192">
        <v>451.98</v>
      </c>
    </row>
    <row r="588" spans="1:13">
      <c r="A588" s="185" t="str">
        <f>IF(AND(LEN(G588)&gt;0,LEN(G587)=0,LEFT(G588,3)&lt;&gt;"TOT"),"GROUP","")</f>
        <v/>
      </c>
      <c r="B588" s="186" t="str">
        <f t="shared" ca="1" si="73"/>
        <v/>
      </c>
      <c r="C588" s="185" t="str">
        <f t="shared" si="81"/>
        <v/>
      </c>
      <c r="D588" s="185" t="str">
        <f t="shared" si="82"/>
        <v/>
      </c>
      <c r="E588" s="185" t="str">
        <f t="shared" si="83"/>
        <v/>
      </c>
      <c r="G588" s="191" t="s">
        <v>99</v>
      </c>
      <c r="J588" s="192"/>
    </row>
    <row r="589" spans="1:13">
      <c r="A589" s="193" t="s">
        <v>82</v>
      </c>
      <c r="B589" s="194">
        <v>444</v>
      </c>
      <c r="C589" s="193" t="str">
        <f>UPPER(G589)</f>
        <v>NET INCOME</v>
      </c>
      <c r="D589" s="185" t="str">
        <f t="shared" si="82"/>
        <v>NET INCOME</v>
      </c>
      <c r="E589" s="185" t="str">
        <f t="shared" si="83"/>
        <v/>
      </c>
      <c r="G589" s="191" t="s">
        <v>80</v>
      </c>
      <c r="J589" s="192">
        <v>-27091.02</v>
      </c>
    </row>
    <row r="590" spans="1:13">
      <c r="A590" s="185"/>
      <c r="B590" s="186"/>
      <c r="E590" s="185"/>
      <c r="J590" s="192"/>
    </row>
    <row r="591" spans="1:13">
      <c r="E591" s="185"/>
      <c r="J591" s="203"/>
    </row>
    <row r="592" spans="1:13">
      <c r="J592" s="203"/>
    </row>
  </sheetData>
  <pageMargins left="0.7" right="0.7" top="0.75" bottom="0.75" header="0.3" footer="0.3"/>
  <pageSetup orientation="portrait" verticalDpi="0" r:id="rId1"/>
  <ignoredErrors>
    <ignoredError sqref="H1:J1" numberStoredAsText="1"/>
    <ignoredError sqref="C196:C205 E336 C409:D409 C581"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E101"/>
  <sheetViews>
    <sheetView topLeftCell="A11" workbookViewId="0">
      <selection activeCell="A23" sqref="A23"/>
    </sheetView>
  </sheetViews>
  <sheetFormatPr defaultRowHeight="13.8"/>
  <cols>
    <col min="1" max="1" width="19.33203125" customWidth="1"/>
    <col min="2" max="2" width="19.6640625" customWidth="1"/>
    <col min="3" max="4" width="8.88671875" customWidth="1"/>
    <col min="5" max="5" width="9.88671875" customWidth="1"/>
    <col min="6" max="6" width="9.44140625" customWidth="1"/>
    <col min="7" max="7" width="14.88671875" customWidth="1"/>
    <col min="8" max="10" width="8.88671875" customWidth="1"/>
    <col min="11" max="13" width="9.5546875" customWidth="1"/>
    <col min="23" max="23" width="9.5546875" bestFit="1" customWidth="1"/>
    <col min="24" max="24" width="9.33203125" customWidth="1"/>
    <col min="25" max="25" width="9.5546875" bestFit="1" customWidth="1"/>
  </cols>
  <sheetData>
    <row r="1" spans="1:31">
      <c r="A1" t="s">
        <v>531</v>
      </c>
      <c r="B1">
        <f>C2-B2</f>
        <v>31</v>
      </c>
      <c r="C1">
        <f t="shared" ref="C1:E1" si="0">D2-C2</f>
        <v>28</v>
      </c>
      <c r="D1">
        <f t="shared" si="0"/>
        <v>31</v>
      </c>
      <c r="E1">
        <f t="shared" si="0"/>
        <v>30</v>
      </c>
      <c r="F1">
        <f t="shared" ref="F1" si="1">G2-F2</f>
        <v>31</v>
      </c>
      <c r="G1">
        <f t="shared" ref="G1:H1" si="2">H2-G2</f>
        <v>30</v>
      </c>
      <c r="H1">
        <f t="shared" si="2"/>
        <v>31</v>
      </c>
      <c r="I1">
        <f t="shared" ref="I1" si="3">J2-I2</f>
        <v>31</v>
      </c>
      <c r="J1">
        <f t="shared" ref="J1:K1" si="4">K2-J2</f>
        <v>30</v>
      </c>
      <c r="K1">
        <f t="shared" si="4"/>
        <v>31</v>
      </c>
      <c r="L1">
        <f t="shared" ref="L1" si="5">M2-L2</f>
        <v>30</v>
      </c>
      <c r="M1">
        <f t="shared" ref="M1:N1" si="6">N2-M2</f>
        <v>31</v>
      </c>
      <c r="N1">
        <f t="shared" si="6"/>
        <v>31</v>
      </c>
      <c r="O1">
        <f t="shared" ref="O1" si="7">P2-O2</f>
        <v>28</v>
      </c>
      <c r="P1">
        <f t="shared" ref="P1:Q1" si="8">Q2-P2</f>
        <v>31</v>
      </c>
      <c r="Q1">
        <f t="shared" si="8"/>
        <v>30</v>
      </c>
      <c r="R1">
        <f t="shared" ref="R1" si="9">S2-R2</f>
        <v>31</v>
      </c>
      <c r="S1">
        <f t="shared" ref="S1:T1" si="10">T2-S2</f>
        <v>30</v>
      </c>
      <c r="T1">
        <f t="shared" si="10"/>
        <v>31</v>
      </c>
      <c r="U1">
        <f t="shared" ref="U1" si="11">V2-U2</f>
        <v>31</v>
      </c>
      <c r="V1">
        <f t="shared" ref="V1:W1" si="12">W2-V2</f>
        <v>30</v>
      </c>
      <c r="W1">
        <f t="shared" si="12"/>
        <v>31</v>
      </c>
      <c r="X1">
        <f t="shared" ref="X1" si="13">Y2-X2</f>
        <v>30</v>
      </c>
      <c r="Y1">
        <f t="shared" ref="Y1" si="14">Z2-Y2</f>
        <v>31</v>
      </c>
      <c r="Z1">
        <f t="shared" ref="Z1" si="15">AA2-Z2</f>
        <v>31</v>
      </c>
      <c r="AA1">
        <f t="shared" ref="AA1" si="16">AB2-AA2</f>
        <v>29</v>
      </c>
      <c r="AB1">
        <f t="shared" ref="AB1" si="17">AC2-AB2</f>
        <v>31</v>
      </c>
      <c r="AC1">
        <f t="shared" ref="AC1" si="18">AD2-AC2</f>
        <v>30</v>
      </c>
      <c r="AD1">
        <f t="shared" ref="AD1" si="19">AE2-AD2</f>
        <v>31</v>
      </c>
      <c r="AE1">
        <v>30</v>
      </c>
    </row>
    <row r="2" spans="1:31">
      <c r="B2" s="174">
        <v>41640</v>
      </c>
      <c r="C2" s="174">
        <v>41671</v>
      </c>
      <c r="D2" s="174">
        <v>41699</v>
      </c>
      <c r="E2" s="174">
        <v>41730</v>
      </c>
      <c r="F2" s="174">
        <v>41760</v>
      </c>
      <c r="G2" s="174">
        <v>41791</v>
      </c>
      <c r="H2" s="174">
        <v>41821</v>
      </c>
      <c r="I2" s="174">
        <v>41852</v>
      </c>
      <c r="J2" s="174">
        <v>41883</v>
      </c>
      <c r="K2" s="174">
        <v>41913</v>
      </c>
      <c r="L2" s="174">
        <v>41944</v>
      </c>
      <c r="M2" s="174">
        <v>41974</v>
      </c>
      <c r="N2" s="174">
        <v>42005</v>
      </c>
      <c r="O2" s="174">
        <v>42036</v>
      </c>
      <c r="P2" s="174">
        <v>42064</v>
      </c>
      <c r="Q2" s="174">
        <v>42095</v>
      </c>
      <c r="R2" s="174">
        <v>42125</v>
      </c>
      <c r="S2" s="174">
        <v>42156</v>
      </c>
      <c r="T2" s="174">
        <v>42186</v>
      </c>
      <c r="U2" s="174">
        <v>42217</v>
      </c>
      <c r="V2" s="174">
        <v>42248</v>
      </c>
      <c r="W2" s="174">
        <v>42278</v>
      </c>
      <c r="X2" s="174">
        <v>42309</v>
      </c>
      <c r="Y2" s="174">
        <v>42339</v>
      </c>
      <c r="Z2" s="174">
        <v>42370</v>
      </c>
      <c r="AA2" s="174">
        <v>42401</v>
      </c>
      <c r="AB2" s="174">
        <v>42430</v>
      </c>
      <c r="AC2" s="174">
        <v>42461</v>
      </c>
      <c r="AD2" s="174">
        <v>42491</v>
      </c>
      <c r="AE2" s="174">
        <v>42522</v>
      </c>
    </row>
    <row r="3" spans="1:31" ht="14.4">
      <c r="A3" t="s">
        <v>545</v>
      </c>
      <c r="B3" s="263">
        <v>54</v>
      </c>
      <c r="C3" s="263">
        <v>53</v>
      </c>
      <c r="D3" s="263">
        <v>50</v>
      </c>
      <c r="E3" s="263">
        <v>51</v>
      </c>
      <c r="F3" s="263">
        <v>49</v>
      </c>
      <c r="G3" s="263">
        <v>49</v>
      </c>
      <c r="H3" s="263">
        <v>52</v>
      </c>
      <c r="I3" s="265">
        <v>54</v>
      </c>
      <c r="J3" s="263">
        <v>51</v>
      </c>
      <c r="K3" s="263">
        <v>50</v>
      </c>
      <c r="L3" s="263">
        <v>50</v>
      </c>
      <c r="M3" s="263">
        <v>49</v>
      </c>
      <c r="N3" s="175">
        <v>49</v>
      </c>
      <c r="O3" s="175">
        <v>51</v>
      </c>
      <c r="P3" s="175">
        <v>54</v>
      </c>
      <c r="Q3" s="175">
        <v>52</v>
      </c>
      <c r="R3" s="175">
        <v>53</v>
      </c>
      <c r="S3" s="175">
        <v>61</v>
      </c>
      <c r="T3" s="175">
        <v>56</v>
      </c>
      <c r="U3" s="175">
        <v>53</v>
      </c>
      <c r="V3" s="175">
        <v>54</v>
      </c>
      <c r="W3" s="175">
        <v>53</v>
      </c>
      <c r="X3" s="175">
        <v>55</v>
      </c>
      <c r="Y3" s="175">
        <v>54</v>
      </c>
      <c r="Z3" s="175">
        <v>53</v>
      </c>
      <c r="AA3" s="175">
        <v>55</v>
      </c>
      <c r="AB3" s="175">
        <v>52</v>
      </c>
      <c r="AC3" s="175">
        <v>54</v>
      </c>
      <c r="AD3" s="175">
        <v>52</v>
      </c>
      <c r="AE3" s="175">
        <v>50</v>
      </c>
    </row>
    <row r="4" spans="1:31" ht="14.4">
      <c r="A4" t="s">
        <v>529</v>
      </c>
      <c r="B4" s="263">
        <v>1669</v>
      </c>
      <c r="C4" s="263">
        <v>1494</v>
      </c>
      <c r="D4" s="263">
        <v>1614</v>
      </c>
      <c r="E4" s="263">
        <v>1474</v>
      </c>
      <c r="F4" s="263">
        <v>1558</v>
      </c>
      <c r="G4" s="263">
        <v>1473</v>
      </c>
      <c r="H4" s="266" t="s">
        <v>573</v>
      </c>
      <c r="I4" s="265">
        <v>1666</v>
      </c>
      <c r="J4" s="263">
        <v>1559</v>
      </c>
      <c r="K4" s="263">
        <v>1572</v>
      </c>
      <c r="L4" s="263">
        <v>1600</v>
      </c>
      <c r="M4" s="263">
        <v>1490</v>
      </c>
      <c r="N4" s="175">
        <v>1431</v>
      </c>
      <c r="O4" s="175">
        <v>1401</v>
      </c>
      <c r="P4" s="175">
        <v>1660</v>
      </c>
      <c r="Q4" s="175">
        <v>1582</v>
      </c>
      <c r="R4" s="175">
        <v>1643</v>
      </c>
      <c r="S4" s="175">
        <v>1733</v>
      </c>
      <c r="T4" s="175">
        <v>1761</v>
      </c>
      <c r="U4" s="175">
        <v>1711</v>
      </c>
      <c r="V4" s="175">
        <v>1613</v>
      </c>
      <c r="W4" s="175">
        <v>1666</v>
      </c>
      <c r="X4" s="175">
        <v>1605</v>
      </c>
      <c r="Y4" s="175">
        <v>1692</v>
      </c>
      <c r="Z4" s="175">
        <v>1670</v>
      </c>
      <c r="AA4" s="175">
        <v>1567</v>
      </c>
      <c r="AB4" s="175">
        <v>1690</v>
      </c>
      <c r="AC4" s="175">
        <v>1640</v>
      </c>
      <c r="AD4" s="175">
        <v>1608</v>
      </c>
      <c r="AE4" s="175">
        <v>1545</v>
      </c>
    </row>
    <row r="5" spans="1:31">
      <c r="A5" t="s">
        <v>530</v>
      </c>
      <c r="B5" s="264">
        <f>B4/B1</f>
        <v>53.838709677419352</v>
      </c>
      <c r="C5" s="264">
        <f t="shared" ref="C5:M5" si="20">C4/C1</f>
        <v>53.357142857142854</v>
      </c>
      <c r="D5" s="264">
        <f t="shared" si="20"/>
        <v>52.064516129032256</v>
      </c>
      <c r="E5" s="264">
        <f t="shared" si="20"/>
        <v>49.133333333333333</v>
      </c>
      <c r="F5" s="264">
        <f t="shared" si="20"/>
        <v>50.258064516129032</v>
      </c>
      <c r="G5" s="264">
        <f t="shared" si="20"/>
        <v>49.1</v>
      </c>
      <c r="H5" s="264">
        <f t="shared" si="20"/>
        <v>50.483870967741936</v>
      </c>
      <c r="I5" s="264">
        <f t="shared" si="20"/>
        <v>53.741935483870968</v>
      </c>
      <c r="J5" s="264">
        <f t="shared" si="20"/>
        <v>51.966666666666669</v>
      </c>
      <c r="K5" s="264">
        <f t="shared" si="20"/>
        <v>50.70967741935484</v>
      </c>
      <c r="L5" s="264">
        <f t="shared" si="20"/>
        <v>53.333333333333336</v>
      </c>
      <c r="M5" s="264">
        <f t="shared" si="20"/>
        <v>48.064516129032256</v>
      </c>
      <c r="N5" s="176">
        <f>N4/N1</f>
        <v>46.161290322580648</v>
      </c>
      <c r="O5" s="176">
        <f t="shared" ref="O5:Y5" si="21">O4/O1</f>
        <v>50.035714285714285</v>
      </c>
      <c r="P5" s="176">
        <f t="shared" si="21"/>
        <v>53.548387096774192</v>
      </c>
      <c r="Q5" s="176">
        <f t="shared" si="21"/>
        <v>52.733333333333334</v>
      </c>
      <c r="R5" s="176">
        <f t="shared" si="21"/>
        <v>53</v>
      </c>
      <c r="S5" s="176">
        <f t="shared" si="21"/>
        <v>57.766666666666666</v>
      </c>
      <c r="T5" s="176">
        <f t="shared" si="21"/>
        <v>56.806451612903224</v>
      </c>
      <c r="U5" s="176">
        <f t="shared" si="21"/>
        <v>55.193548387096776</v>
      </c>
      <c r="V5" s="176">
        <f t="shared" si="21"/>
        <v>53.766666666666666</v>
      </c>
      <c r="W5" s="176">
        <f t="shared" si="21"/>
        <v>53.741935483870968</v>
      </c>
      <c r="X5" s="176">
        <f t="shared" si="21"/>
        <v>53.5</v>
      </c>
      <c r="Y5" s="176">
        <f t="shared" si="21"/>
        <v>54.58064516129032</v>
      </c>
      <c r="Z5" s="176">
        <f t="shared" ref="Z5" si="22">Z4/Z1</f>
        <v>53.87096774193548</v>
      </c>
      <c r="AA5" s="176">
        <f t="shared" ref="AA5" si="23">AA4/AA1</f>
        <v>54.03448275862069</v>
      </c>
      <c r="AB5" s="176">
        <f t="shared" ref="AB5" si="24">AB4/AB1</f>
        <v>54.516129032258064</v>
      </c>
      <c r="AC5" s="176">
        <f t="shared" ref="AC5" si="25">AC4/AC1</f>
        <v>54.666666666666664</v>
      </c>
      <c r="AD5" s="176">
        <f t="shared" ref="AD5" si="26">AD4/AD1</f>
        <v>51.87096774193548</v>
      </c>
      <c r="AE5" s="176">
        <f t="shared" ref="AE5" si="27">AE4/AE1</f>
        <v>51.5</v>
      </c>
    </row>
    <row r="8" spans="1:31">
      <c r="A8" t="s">
        <v>544</v>
      </c>
    </row>
    <row r="9" spans="1:31">
      <c r="A9">
        <v>2015</v>
      </c>
      <c r="B9" s="176">
        <f>AVERAGE(N3:Y3)</f>
        <v>53.75</v>
      </c>
    </row>
    <row r="10" spans="1:31">
      <c r="A10">
        <v>2016</v>
      </c>
      <c r="B10" s="176">
        <f>AVERAGE(Z3:AE3)</f>
        <v>52.666666666666664</v>
      </c>
    </row>
    <row r="12" spans="1:31" ht="14.4" thickBot="1">
      <c r="A12" s="440" t="s">
        <v>549</v>
      </c>
      <c r="B12" s="440"/>
      <c r="E12" s="441" t="s">
        <v>574</v>
      </c>
      <c r="F12" s="441"/>
    </row>
    <row r="13" spans="1:31">
      <c r="A13" s="217" t="s">
        <v>546</v>
      </c>
      <c r="B13" s="222">
        <f>COUNT(C81:C95)</f>
        <v>8</v>
      </c>
      <c r="E13" s="217" t="s">
        <v>571</v>
      </c>
      <c r="F13" s="222">
        <f>AVERAGE(ALZ_CENSUS_2016,B18)</f>
        <v>8</v>
      </c>
    </row>
    <row r="14" spans="1:31">
      <c r="A14" s="221" t="s">
        <v>547</v>
      </c>
      <c r="B14" s="223">
        <f>COUNT(C28:C77)</f>
        <v>42</v>
      </c>
      <c r="E14" s="221" t="s">
        <v>547</v>
      </c>
      <c r="F14" s="223">
        <f>AVERAGE(AL_CENSUS_2016,B19)</f>
        <v>43.5</v>
      </c>
    </row>
    <row r="15" spans="1:31" ht="14.4" thickBot="1">
      <c r="A15" s="218" t="s">
        <v>548</v>
      </c>
      <c r="B15" s="219">
        <f>SUM(B13:B14)</f>
        <v>50</v>
      </c>
      <c r="E15" s="218" t="s">
        <v>14</v>
      </c>
      <c r="F15" s="262">
        <f>SUM(F13:F14)</f>
        <v>51.5</v>
      </c>
    </row>
    <row r="16" spans="1:31">
      <c r="A16" s="220"/>
      <c r="B16" s="220"/>
    </row>
    <row r="17" spans="1:7" ht="14.4" thickBot="1">
      <c r="A17" s="440" t="s">
        <v>554</v>
      </c>
      <c r="B17" s="440"/>
    </row>
    <row r="18" spans="1:7">
      <c r="A18" s="217" t="s">
        <v>546</v>
      </c>
      <c r="B18" s="222">
        <f>COUNT(G80:G95)</f>
        <v>8</v>
      </c>
    </row>
    <row r="19" spans="1:7">
      <c r="A19" s="221" t="s">
        <v>547</v>
      </c>
      <c r="B19" s="223">
        <f>COUNT(G27:G77)</f>
        <v>45</v>
      </c>
    </row>
    <row r="20" spans="1:7" ht="14.4" thickBot="1">
      <c r="A20" s="218" t="s">
        <v>548</v>
      </c>
      <c r="B20" s="219">
        <f>SUM(B18:B19)</f>
        <v>53</v>
      </c>
    </row>
    <row r="21" spans="1:7">
      <c r="A21" s="220"/>
      <c r="B21" s="220"/>
    </row>
    <row r="22" spans="1:7">
      <c r="A22" s="220"/>
      <c r="B22" s="220"/>
    </row>
    <row r="23" spans="1:7">
      <c r="A23" s="220" t="s">
        <v>533</v>
      </c>
      <c r="B23" s="220"/>
      <c r="C23" s="220"/>
      <c r="D23" s="220"/>
      <c r="E23" s="220" t="s">
        <v>570</v>
      </c>
      <c r="F23" s="220"/>
    </row>
    <row r="24" spans="1:7">
      <c r="A24" s="220"/>
      <c r="B24" s="220"/>
      <c r="C24" s="220"/>
      <c r="D24" s="220"/>
      <c r="E24" s="220"/>
      <c r="F24" s="220"/>
    </row>
    <row r="25" spans="1:7" ht="14.4">
      <c r="A25" s="230" t="s">
        <v>534</v>
      </c>
      <c r="B25" s="230" t="s">
        <v>535</v>
      </c>
      <c r="C25" s="230" t="s">
        <v>536</v>
      </c>
      <c r="D25" s="220"/>
      <c r="E25" s="253" t="s">
        <v>534</v>
      </c>
      <c r="F25" s="239" t="s">
        <v>535</v>
      </c>
      <c r="G25" s="239" t="s">
        <v>536</v>
      </c>
    </row>
    <row r="26" spans="1:7" ht="14.4">
      <c r="A26" s="220"/>
      <c r="B26" s="220"/>
      <c r="C26" s="220"/>
      <c r="D26" s="220"/>
      <c r="E26" s="253" t="s">
        <v>537</v>
      </c>
      <c r="F26" s="241"/>
      <c r="G26" s="241"/>
    </row>
    <row r="27" spans="1:7" ht="14.4">
      <c r="A27" s="230" t="s">
        <v>537</v>
      </c>
      <c r="B27" s="230" t="s">
        <v>540</v>
      </c>
      <c r="C27" s="220"/>
      <c r="D27" s="220"/>
      <c r="E27" s="254">
        <v>300</v>
      </c>
      <c r="F27" s="245" t="s">
        <v>538</v>
      </c>
      <c r="G27" s="246">
        <v>3885</v>
      </c>
    </row>
    <row r="28" spans="1:7" ht="14.4">
      <c r="A28" s="252">
        <v>300</v>
      </c>
      <c r="B28" s="231" t="s">
        <v>538</v>
      </c>
      <c r="C28" s="232">
        <v>3885</v>
      </c>
      <c r="D28" s="220"/>
      <c r="E28" s="254">
        <v>301</v>
      </c>
      <c r="F28" s="245" t="s">
        <v>538</v>
      </c>
      <c r="G28" s="246">
        <v>3885</v>
      </c>
    </row>
    <row r="29" spans="1:7" ht="14.4">
      <c r="A29" s="252">
        <v>301</v>
      </c>
      <c r="B29" s="231" t="s">
        <v>538</v>
      </c>
      <c r="C29" s="232">
        <v>3885</v>
      </c>
      <c r="D29" s="220"/>
      <c r="E29" s="254">
        <v>302</v>
      </c>
      <c r="F29" s="247" t="s">
        <v>555</v>
      </c>
      <c r="G29" s="246">
        <v>4280</v>
      </c>
    </row>
    <row r="30" spans="1:7" ht="14.4">
      <c r="A30" s="252">
        <v>302</v>
      </c>
      <c r="B30" s="231" t="s">
        <v>538</v>
      </c>
      <c r="C30" s="232">
        <v>3885</v>
      </c>
      <c r="D30" s="220"/>
      <c r="E30" s="254">
        <v>304</v>
      </c>
      <c r="F30" s="245" t="s">
        <v>538</v>
      </c>
      <c r="G30" s="246">
        <v>3885</v>
      </c>
    </row>
    <row r="31" spans="1:7" ht="14.4">
      <c r="A31" s="252">
        <v>304</v>
      </c>
      <c r="B31" s="231" t="s">
        <v>538</v>
      </c>
      <c r="C31" s="232">
        <v>3885</v>
      </c>
      <c r="D31" s="220"/>
      <c r="E31" s="254">
        <v>305</v>
      </c>
      <c r="F31" s="245" t="s">
        <v>538</v>
      </c>
      <c r="G31" s="246">
        <v>4280</v>
      </c>
    </row>
    <row r="32" spans="1:7" ht="14.4">
      <c r="A32" s="252">
        <v>305</v>
      </c>
      <c r="B32" s="231" t="s">
        <v>538</v>
      </c>
      <c r="C32" s="232">
        <v>4280</v>
      </c>
      <c r="D32" s="220"/>
      <c r="E32" s="254">
        <v>306</v>
      </c>
      <c r="F32" s="245" t="s">
        <v>556</v>
      </c>
      <c r="G32" s="246">
        <v>4280</v>
      </c>
    </row>
    <row r="33" spans="1:9" ht="14.4">
      <c r="A33" s="252">
        <v>306</v>
      </c>
      <c r="B33" s="231" t="s">
        <v>538</v>
      </c>
      <c r="C33" s="232">
        <v>4280</v>
      </c>
      <c r="D33" s="220"/>
      <c r="E33" s="255" t="s">
        <v>557</v>
      </c>
      <c r="F33" s="245" t="s">
        <v>538</v>
      </c>
      <c r="G33" s="248">
        <v>640.97</v>
      </c>
      <c r="I33" s="242" t="s">
        <v>566</v>
      </c>
    </row>
    <row r="34" spans="1:9" ht="14.4">
      <c r="A34" s="252">
        <v>307</v>
      </c>
      <c r="B34" s="233" t="s">
        <v>539</v>
      </c>
      <c r="C34" s="234"/>
      <c r="D34" s="220"/>
      <c r="E34" s="254">
        <v>308</v>
      </c>
      <c r="F34" s="245" t="s">
        <v>538</v>
      </c>
      <c r="G34" s="246">
        <v>4280</v>
      </c>
    </row>
    <row r="35" spans="1:9" ht="14.4">
      <c r="A35" s="252">
        <v>308</v>
      </c>
      <c r="B35" s="231" t="s">
        <v>538</v>
      </c>
      <c r="C35" s="232">
        <v>4280</v>
      </c>
      <c r="D35" s="220"/>
      <c r="E35" s="255" t="s">
        <v>558</v>
      </c>
      <c r="F35" s="245" t="s">
        <v>556</v>
      </c>
      <c r="G35" s="246">
        <v>1719</v>
      </c>
      <c r="I35" s="242" t="s">
        <v>567</v>
      </c>
    </row>
    <row r="36" spans="1:9" ht="14.4">
      <c r="A36" s="252">
        <v>309</v>
      </c>
      <c r="B36" s="231" t="s">
        <v>538</v>
      </c>
      <c r="C36" s="232">
        <v>1719</v>
      </c>
      <c r="D36" s="220"/>
      <c r="E36" s="254">
        <v>310</v>
      </c>
      <c r="F36" s="245" t="s">
        <v>559</v>
      </c>
      <c r="G36" s="246">
        <v>4280</v>
      </c>
    </row>
    <row r="37" spans="1:9" ht="14.4">
      <c r="A37" s="252">
        <v>310</v>
      </c>
      <c r="B37" s="231" t="s">
        <v>538</v>
      </c>
      <c r="C37" s="232">
        <v>4280</v>
      </c>
      <c r="D37" s="220"/>
      <c r="E37" s="254">
        <v>311</v>
      </c>
      <c r="F37" s="247" t="s">
        <v>538</v>
      </c>
      <c r="G37" s="246">
        <v>3885</v>
      </c>
    </row>
    <row r="38" spans="1:9" ht="14.4">
      <c r="A38" s="252">
        <v>311</v>
      </c>
      <c r="B38" s="231" t="s">
        <v>538</v>
      </c>
      <c r="C38" s="232">
        <v>3885</v>
      </c>
      <c r="D38" s="220"/>
      <c r="E38" s="254">
        <v>312</v>
      </c>
      <c r="F38" s="245" t="s">
        <v>538</v>
      </c>
      <c r="G38" s="246">
        <v>3885</v>
      </c>
    </row>
    <row r="39" spans="1:9" ht="14.4">
      <c r="A39" s="252">
        <v>312</v>
      </c>
      <c r="B39" s="231" t="s">
        <v>538</v>
      </c>
      <c r="C39" s="232">
        <v>3885</v>
      </c>
      <c r="D39" s="220"/>
      <c r="E39" s="254">
        <v>313</v>
      </c>
      <c r="F39" s="245" t="s">
        <v>560</v>
      </c>
      <c r="G39" s="241"/>
    </row>
    <row r="40" spans="1:9" ht="14.4">
      <c r="A40" s="252">
        <v>313</v>
      </c>
      <c r="B40" s="233" t="s">
        <v>539</v>
      </c>
      <c r="C40" s="234"/>
      <c r="D40" s="220"/>
      <c r="E40" s="254">
        <v>314</v>
      </c>
      <c r="F40" s="245" t="s">
        <v>538</v>
      </c>
      <c r="G40" s="246">
        <v>4280</v>
      </c>
    </row>
    <row r="41" spans="1:9" ht="14.4">
      <c r="A41" s="252">
        <v>314</v>
      </c>
      <c r="B41" s="231" t="s">
        <v>539</v>
      </c>
      <c r="C41" s="234"/>
      <c r="D41" s="220"/>
      <c r="E41" s="254">
        <v>315</v>
      </c>
      <c r="F41" s="245" t="s">
        <v>538</v>
      </c>
      <c r="G41" s="246">
        <v>4280</v>
      </c>
    </row>
    <row r="42" spans="1:9" ht="14.4">
      <c r="A42" s="252">
        <v>315</v>
      </c>
      <c r="B42" s="231" t="s">
        <v>538</v>
      </c>
      <c r="C42" s="232">
        <v>4280</v>
      </c>
      <c r="D42" s="220"/>
      <c r="E42" s="254">
        <v>317</v>
      </c>
      <c r="F42" s="245" t="s">
        <v>538</v>
      </c>
      <c r="G42" s="246">
        <v>5130</v>
      </c>
    </row>
    <row r="43" spans="1:9" ht="14.4">
      <c r="A43" s="252">
        <v>317</v>
      </c>
      <c r="B43" s="231" t="s">
        <v>538</v>
      </c>
      <c r="C43" s="232">
        <v>5130</v>
      </c>
      <c r="D43" s="220"/>
      <c r="E43" s="253" t="s">
        <v>541</v>
      </c>
      <c r="F43" s="241"/>
      <c r="G43" s="241"/>
    </row>
    <row r="44" spans="1:9" ht="14.4">
      <c r="A44" s="230" t="s">
        <v>541</v>
      </c>
      <c r="B44" s="235"/>
      <c r="C44" s="236"/>
      <c r="D44" s="220"/>
      <c r="E44" s="254">
        <v>100</v>
      </c>
      <c r="F44" s="245" t="s">
        <v>538</v>
      </c>
      <c r="G44" s="246">
        <v>3885</v>
      </c>
    </row>
    <row r="45" spans="1:9" ht="14.4">
      <c r="A45" s="252">
        <v>100</v>
      </c>
      <c r="B45" s="231" t="s">
        <v>538</v>
      </c>
      <c r="C45" s="232">
        <v>3885</v>
      </c>
      <c r="D45" s="220"/>
      <c r="E45" s="254">
        <v>101</v>
      </c>
      <c r="F45" s="245" t="s">
        <v>556</v>
      </c>
      <c r="G45" s="246">
        <v>3885</v>
      </c>
    </row>
    <row r="46" spans="1:9" ht="14.4">
      <c r="A46" s="252">
        <v>101</v>
      </c>
      <c r="B46" s="231" t="s">
        <v>538</v>
      </c>
      <c r="C46" s="232">
        <v>4280</v>
      </c>
      <c r="D46" s="220"/>
      <c r="E46" s="254">
        <v>102</v>
      </c>
      <c r="F46" s="245" t="s">
        <v>538</v>
      </c>
      <c r="G46" s="246">
        <v>3985</v>
      </c>
    </row>
    <row r="47" spans="1:9" ht="14.4">
      <c r="A47" s="252">
        <v>102</v>
      </c>
      <c r="B47" s="231" t="s">
        <v>538</v>
      </c>
      <c r="C47" s="232">
        <v>3985</v>
      </c>
      <c r="D47" s="220"/>
      <c r="E47" s="254">
        <v>104</v>
      </c>
      <c r="F47" s="245" t="s">
        <v>538</v>
      </c>
      <c r="G47" s="246">
        <v>3885</v>
      </c>
    </row>
    <row r="48" spans="1:9" ht="14.4">
      <c r="A48" s="252">
        <v>104</v>
      </c>
      <c r="B48" s="231" t="s">
        <v>538</v>
      </c>
      <c r="C48" s="232">
        <v>3885</v>
      </c>
      <c r="D48" s="220"/>
      <c r="E48" s="254">
        <v>105</v>
      </c>
      <c r="F48" s="245" t="s">
        <v>560</v>
      </c>
      <c r="G48" s="241"/>
    </row>
    <row r="49" spans="1:7" ht="14.4">
      <c r="A49" s="252">
        <v>105</v>
      </c>
      <c r="B49" s="231" t="s">
        <v>538</v>
      </c>
      <c r="C49" s="232">
        <v>3885</v>
      </c>
      <c r="D49" s="220"/>
      <c r="E49" s="254">
        <v>106</v>
      </c>
      <c r="F49" s="245" t="s">
        <v>538</v>
      </c>
      <c r="G49" s="246">
        <v>3885</v>
      </c>
    </row>
    <row r="50" spans="1:7" ht="14.4">
      <c r="A50" s="252">
        <v>106</v>
      </c>
      <c r="B50" s="231" t="s">
        <v>538</v>
      </c>
      <c r="C50" s="232">
        <v>3885</v>
      </c>
      <c r="D50" s="220"/>
      <c r="E50" s="254">
        <v>107</v>
      </c>
      <c r="F50" s="245" t="s">
        <v>538</v>
      </c>
      <c r="G50" s="246">
        <v>3885</v>
      </c>
    </row>
    <row r="51" spans="1:7" ht="14.4">
      <c r="A51" s="252">
        <v>107</v>
      </c>
      <c r="B51" s="233" t="s">
        <v>539</v>
      </c>
      <c r="C51" s="234"/>
      <c r="D51" s="220"/>
      <c r="E51" s="254">
        <v>108</v>
      </c>
      <c r="F51" s="245" t="s">
        <v>538</v>
      </c>
      <c r="G51" s="246">
        <v>3885</v>
      </c>
    </row>
    <row r="52" spans="1:7" ht="14.4">
      <c r="A52" s="252">
        <v>108</v>
      </c>
      <c r="B52" s="231" t="s">
        <v>538</v>
      </c>
      <c r="C52" s="232">
        <v>3885</v>
      </c>
      <c r="D52" s="220"/>
      <c r="E52" s="254">
        <v>109</v>
      </c>
      <c r="F52" s="245" t="s">
        <v>538</v>
      </c>
      <c r="G52" s="246">
        <v>3885</v>
      </c>
    </row>
    <row r="53" spans="1:7" ht="14.4">
      <c r="A53" s="252">
        <v>109</v>
      </c>
      <c r="B53" s="231" t="s">
        <v>539</v>
      </c>
      <c r="C53" s="234"/>
      <c r="D53" s="220"/>
      <c r="E53" s="254">
        <v>110</v>
      </c>
      <c r="F53" s="245" t="s">
        <v>538</v>
      </c>
      <c r="G53" s="246">
        <v>3885</v>
      </c>
    </row>
    <row r="54" spans="1:7" ht="14.4">
      <c r="A54" s="252">
        <v>110</v>
      </c>
      <c r="B54" s="231" t="s">
        <v>538</v>
      </c>
      <c r="C54" s="232">
        <v>3835</v>
      </c>
      <c r="D54" s="220"/>
      <c r="E54" s="254">
        <v>111</v>
      </c>
      <c r="F54" s="245" t="s">
        <v>538</v>
      </c>
      <c r="G54" s="246">
        <v>4280</v>
      </c>
    </row>
    <row r="55" spans="1:7" ht="14.4">
      <c r="A55" s="252">
        <v>111</v>
      </c>
      <c r="B55" s="231" t="s">
        <v>538</v>
      </c>
      <c r="C55" s="232">
        <v>3885</v>
      </c>
      <c r="D55" s="220"/>
      <c r="E55" s="254">
        <v>112</v>
      </c>
      <c r="F55" s="245" t="s">
        <v>538</v>
      </c>
      <c r="G55" s="246">
        <v>3885</v>
      </c>
    </row>
    <row r="56" spans="1:7" ht="14.4">
      <c r="A56" s="252">
        <v>112</v>
      </c>
      <c r="B56" s="231" t="s">
        <v>538</v>
      </c>
      <c r="C56" s="232">
        <v>3885</v>
      </c>
      <c r="D56" s="220"/>
      <c r="E56" s="254">
        <v>113</v>
      </c>
      <c r="F56" s="245" t="s">
        <v>561</v>
      </c>
      <c r="G56" s="246">
        <v>3885</v>
      </c>
    </row>
    <row r="57" spans="1:7" ht="14.4">
      <c r="A57" s="252">
        <v>113</v>
      </c>
      <c r="B57" s="231" t="s">
        <v>538</v>
      </c>
      <c r="C57" s="232">
        <v>3885</v>
      </c>
      <c r="D57" s="220"/>
      <c r="E57" s="254">
        <v>114</v>
      </c>
      <c r="F57" s="245" t="s">
        <v>560</v>
      </c>
      <c r="G57" s="241"/>
    </row>
    <row r="58" spans="1:7" ht="14.4">
      <c r="A58" s="252">
        <v>114</v>
      </c>
      <c r="B58" s="231" t="s">
        <v>538</v>
      </c>
      <c r="C58" s="232">
        <v>3885</v>
      </c>
      <c r="D58" s="220"/>
      <c r="E58" s="254">
        <v>115</v>
      </c>
      <c r="F58" s="245" t="s">
        <v>538</v>
      </c>
      <c r="G58" s="246">
        <v>3885</v>
      </c>
    </row>
    <row r="59" spans="1:7" ht="14.4">
      <c r="A59" s="252">
        <v>115</v>
      </c>
      <c r="B59" s="231" t="s">
        <v>538</v>
      </c>
      <c r="C59" s="232">
        <v>3885</v>
      </c>
      <c r="D59" s="220"/>
      <c r="E59" s="254">
        <v>117</v>
      </c>
      <c r="F59" s="245" t="s">
        <v>538</v>
      </c>
      <c r="G59" s="246">
        <v>3885</v>
      </c>
    </row>
    <row r="60" spans="1:7" ht="14.4">
      <c r="A60" s="252">
        <v>117</v>
      </c>
      <c r="B60" s="231" t="s">
        <v>538</v>
      </c>
      <c r="C60" s="232">
        <v>3885</v>
      </c>
      <c r="D60" s="220"/>
      <c r="E60" s="256"/>
      <c r="F60" s="241"/>
      <c r="G60" s="241"/>
    </row>
    <row r="61" spans="1:7" ht="14.4">
      <c r="A61" s="230" t="s">
        <v>542</v>
      </c>
      <c r="B61" s="236"/>
      <c r="C61" s="236"/>
      <c r="D61" s="220"/>
      <c r="E61" s="257" t="s">
        <v>542</v>
      </c>
      <c r="F61" s="241"/>
      <c r="G61" s="241"/>
    </row>
    <row r="62" spans="1:7" ht="14.4">
      <c r="A62" s="252">
        <v>200</v>
      </c>
      <c r="B62" s="231" t="s">
        <v>538</v>
      </c>
      <c r="C62" s="237">
        <v>3885</v>
      </c>
      <c r="D62" s="220"/>
      <c r="E62" s="258">
        <v>200</v>
      </c>
      <c r="F62" s="245" t="s">
        <v>538</v>
      </c>
      <c r="G62" s="246">
        <v>3885</v>
      </c>
    </row>
    <row r="63" spans="1:7" ht="14.4">
      <c r="A63" s="252">
        <v>201</v>
      </c>
      <c r="B63" s="231" t="s">
        <v>538</v>
      </c>
      <c r="C63" s="237">
        <v>3885</v>
      </c>
      <c r="D63" s="220"/>
      <c r="E63" s="258">
        <v>201</v>
      </c>
      <c r="F63" s="245" t="s">
        <v>538</v>
      </c>
      <c r="G63" s="246">
        <v>3885</v>
      </c>
    </row>
    <row r="64" spans="1:7" ht="14.4">
      <c r="A64" s="252">
        <v>202</v>
      </c>
      <c r="B64" s="231" t="s">
        <v>538</v>
      </c>
      <c r="C64" s="237">
        <v>3885</v>
      </c>
      <c r="D64" s="220"/>
      <c r="E64" s="258">
        <v>202</v>
      </c>
      <c r="F64" s="245" t="s">
        <v>538</v>
      </c>
      <c r="G64" s="246">
        <v>3885</v>
      </c>
    </row>
    <row r="65" spans="1:7" ht="14.4">
      <c r="A65" s="252">
        <v>204</v>
      </c>
      <c r="B65" s="231" t="s">
        <v>538</v>
      </c>
      <c r="C65" s="237">
        <v>3885</v>
      </c>
      <c r="D65" s="220"/>
      <c r="E65" s="258">
        <v>204</v>
      </c>
      <c r="F65" s="245" t="s">
        <v>538</v>
      </c>
      <c r="G65" s="246">
        <v>3885</v>
      </c>
    </row>
    <row r="66" spans="1:7" ht="14.4">
      <c r="A66" s="252">
        <v>205</v>
      </c>
      <c r="B66" s="231" t="s">
        <v>539</v>
      </c>
      <c r="C66" s="237"/>
      <c r="D66" s="220"/>
      <c r="E66" s="258">
        <v>205</v>
      </c>
      <c r="F66" s="245" t="s">
        <v>538</v>
      </c>
      <c r="G66" s="246">
        <v>4280</v>
      </c>
    </row>
    <row r="67" spans="1:7" ht="14.4">
      <c r="A67" s="252">
        <v>206</v>
      </c>
      <c r="B67" s="231" t="s">
        <v>538</v>
      </c>
      <c r="C67" s="237">
        <v>3885</v>
      </c>
      <c r="D67" s="220"/>
      <c r="E67" s="258">
        <v>206</v>
      </c>
      <c r="F67" s="245" t="s">
        <v>538</v>
      </c>
      <c r="G67" s="246">
        <v>3885</v>
      </c>
    </row>
    <row r="68" spans="1:7" ht="14.4">
      <c r="A68" s="252">
        <v>207</v>
      </c>
      <c r="B68" s="231" t="s">
        <v>538</v>
      </c>
      <c r="C68" s="237">
        <v>3885</v>
      </c>
      <c r="D68" s="220"/>
      <c r="E68" s="258">
        <v>207</v>
      </c>
      <c r="F68" s="245" t="s">
        <v>538</v>
      </c>
      <c r="G68" s="246">
        <v>3885</v>
      </c>
    </row>
    <row r="69" spans="1:7" ht="14.4">
      <c r="A69" s="252">
        <v>208</v>
      </c>
      <c r="B69" s="231" t="s">
        <v>538</v>
      </c>
      <c r="C69" s="237">
        <v>3685</v>
      </c>
      <c r="D69" s="220"/>
      <c r="E69" s="258">
        <v>208</v>
      </c>
      <c r="F69" s="245" t="s">
        <v>538</v>
      </c>
      <c r="G69" s="246">
        <v>3885</v>
      </c>
    </row>
    <row r="70" spans="1:7" ht="14.4">
      <c r="A70" s="252">
        <v>209</v>
      </c>
      <c r="B70" s="231" t="s">
        <v>538</v>
      </c>
      <c r="C70" s="237">
        <v>3885</v>
      </c>
      <c r="D70" s="220"/>
      <c r="E70" s="258">
        <v>209</v>
      </c>
      <c r="F70" s="245" t="s">
        <v>538</v>
      </c>
      <c r="G70" s="246">
        <v>3885</v>
      </c>
    </row>
    <row r="71" spans="1:7" ht="14.4">
      <c r="A71" s="252">
        <v>210</v>
      </c>
      <c r="B71" s="231" t="s">
        <v>538</v>
      </c>
      <c r="C71" s="237">
        <v>4280</v>
      </c>
      <c r="D71" s="220"/>
      <c r="E71" s="258">
        <v>210</v>
      </c>
      <c r="F71" s="245" t="s">
        <v>538</v>
      </c>
      <c r="G71" s="246">
        <v>4280</v>
      </c>
    </row>
    <row r="72" spans="1:7" ht="14.4">
      <c r="A72" s="252">
        <v>211</v>
      </c>
      <c r="B72" s="231" t="s">
        <v>538</v>
      </c>
      <c r="C72" s="237">
        <v>4280</v>
      </c>
      <c r="D72" s="220"/>
      <c r="E72" s="258">
        <v>211</v>
      </c>
      <c r="F72" s="245" t="s">
        <v>538</v>
      </c>
      <c r="G72" s="246">
        <v>4280</v>
      </c>
    </row>
    <row r="73" spans="1:7" ht="14.4">
      <c r="A73" s="252">
        <v>212</v>
      </c>
      <c r="B73" s="231" t="s">
        <v>538</v>
      </c>
      <c r="C73" s="237">
        <v>3685</v>
      </c>
      <c r="D73" s="220"/>
      <c r="E73" s="258">
        <v>212</v>
      </c>
      <c r="F73" s="245" t="s">
        <v>538</v>
      </c>
      <c r="G73" s="246">
        <v>3685</v>
      </c>
    </row>
    <row r="74" spans="1:7" ht="14.4">
      <c r="A74" s="252">
        <v>213</v>
      </c>
      <c r="B74" s="231" t="s">
        <v>538</v>
      </c>
      <c r="C74" s="237">
        <v>3885</v>
      </c>
      <c r="D74" s="220"/>
      <c r="E74" s="258">
        <v>213</v>
      </c>
      <c r="F74" s="245" t="s">
        <v>538</v>
      </c>
      <c r="G74" s="246">
        <v>3885</v>
      </c>
    </row>
    <row r="75" spans="1:7" ht="14.4">
      <c r="A75" s="252">
        <v>214</v>
      </c>
      <c r="B75" s="231" t="s">
        <v>538</v>
      </c>
      <c r="C75" s="237">
        <v>3885</v>
      </c>
      <c r="D75" s="220"/>
      <c r="E75" s="258">
        <v>214</v>
      </c>
      <c r="F75" s="245" t="s">
        <v>538</v>
      </c>
      <c r="G75" s="246">
        <v>3885</v>
      </c>
    </row>
    <row r="76" spans="1:7" ht="14.4">
      <c r="A76" s="252">
        <v>215</v>
      </c>
      <c r="B76" s="231" t="s">
        <v>538</v>
      </c>
      <c r="C76" s="237">
        <v>3885</v>
      </c>
      <c r="D76" s="220"/>
      <c r="E76" s="259">
        <v>215</v>
      </c>
      <c r="F76" s="245" t="s">
        <v>538</v>
      </c>
      <c r="G76" s="246">
        <v>3685</v>
      </c>
    </row>
    <row r="77" spans="1:7" ht="14.4">
      <c r="A77" s="252">
        <v>217</v>
      </c>
      <c r="B77" s="231" t="s">
        <v>538</v>
      </c>
      <c r="C77" s="237">
        <v>3885</v>
      </c>
      <c r="D77" s="220"/>
      <c r="E77" s="258">
        <v>217</v>
      </c>
      <c r="F77" s="245" t="s">
        <v>538</v>
      </c>
      <c r="G77" s="246">
        <v>3885</v>
      </c>
    </row>
    <row r="78" spans="1:7" ht="14.4">
      <c r="A78" s="220"/>
      <c r="B78" s="235"/>
      <c r="C78" s="236"/>
      <c r="D78" s="220"/>
    </row>
    <row r="79" spans="1:7" ht="14.4">
      <c r="A79" s="230" t="s">
        <v>543</v>
      </c>
      <c r="B79" s="235"/>
      <c r="C79" s="230"/>
      <c r="D79" s="220"/>
      <c r="E79" s="257" t="s">
        <v>562</v>
      </c>
      <c r="F79" s="249"/>
      <c r="G79" s="241"/>
    </row>
    <row r="80" spans="1:7" ht="14.4">
      <c r="A80" s="252">
        <v>400</v>
      </c>
      <c r="B80" s="231" t="s">
        <v>539</v>
      </c>
      <c r="C80" s="237"/>
      <c r="D80" s="220"/>
      <c r="E80" s="255" t="s">
        <v>563</v>
      </c>
      <c r="F80" s="245" t="s">
        <v>560</v>
      </c>
      <c r="G80" s="241"/>
    </row>
    <row r="81" spans="1:7" ht="14.4">
      <c r="A81" s="252">
        <v>401</v>
      </c>
      <c r="B81" s="231" t="s">
        <v>538</v>
      </c>
      <c r="C81" s="237">
        <v>4280</v>
      </c>
      <c r="D81" s="220"/>
      <c r="E81" s="258">
        <v>401</v>
      </c>
      <c r="F81" s="245" t="s">
        <v>538</v>
      </c>
      <c r="G81" s="246">
        <v>4280</v>
      </c>
    </row>
    <row r="82" spans="1:7" ht="14.4">
      <c r="A82" s="252">
        <v>402</v>
      </c>
      <c r="B82" s="231" t="s">
        <v>538</v>
      </c>
      <c r="C82" s="238">
        <v>3885</v>
      </c>
      <c r="D82" s="220"/>
      <c r="E82" s="255" t="s">
        <v>564</v>
      </c>
      <c r="F82" s="245" t="s">
        <v>560</v>
      </c>
      <c r="G82" s="241"/>
    </row>
    <row r="83" spans="1:7" ht="14.4">
      <c r="A83" s="252">
        <v>404</v>
      </c>
      <c r="B83" s="231" t="s">
        <v>538</v>
      </c>
      <c r="C83" s="237">
        <v>4730</v>
      </c>
      <c r="D83" s="220"/>
      <c r="E83" s="260">
        <v>404</v>
      </c>
      <c r="F83" s="245" t="s">
        <v>560</v>
      </c>
      <c r="G83" s="241"/>
    </row>
    <row r="84" spans="1:7" ht="14.4">
      <c r="A84" s="252">
        <v>405</v>
      </c>
      <c r="B84" s="231" t="s">
        <v>538</v>
      </c>
      <c r="C84" s="237">
        <v>3885</v>
      </c>
      <c r="D84" s="220"/>
      <c r="E84" s="261">
        <v>405</v>
      </c>
      <c r="F84" s="245" t="s">
        <v>538</v>
      </c>
      <c r="G84" s="246">
        <v>4730</v>
      </c>
    </row>
    <row r="85" spans="1:7" ht="14.4">
      <c r="A85" s="252">
        <v>406</v>
      </c>
      <c r="B85" s="233" t="s">
        <v>538</v>
      </c>
      <c r="C85" s="237">
        <v>4730</v>
      </c>
      <c r="D85" s="220"/>
      <c r="E85" s="255" t="s">
        <v>565</v>
      </c>
      <c r="F85" s="245" t="s">
        <v>538</v>
      </c>
      <c r="G85" s="246">
        <v>4730</v>
      </c>
    </row>
    <row r="86" spans="1:7" ht="14.4">
      <c r="A86" s="252">
        <v>407</v>
      </c>
      <c r="B86" s="231" t="s">
        <v>539</v>
      </c>
      <c r="C86" s="237"/>
      <c r="D86" s="220"/>
      <c r="E86" s="259">
        <v>407</v>
      </c>
      <c r="F86" s="245" t="s">
        <v>560</v>
      </c>
      <c r="G86" s="241"/>
    </row>
    <row r="87" spans="1:7" ht="14.4">
      <c r="A87" s="252">
        <v>408</v>
      </c>
      <c r="B87" s="231" t="s">
        <v>539</v>
      </c>
      <c r="C87" s="237"/>
      <c r="D87" s="220"/>
      <c r="E87" s="259">
        <v>408</v>
      </c>
      <c r="F87" s="245" t="s">
        <v>560</v>
      </c>
      <c r="G87" s="241"/>
    </row>
    <row r="88" spans="1:7" ht="14.4">
      <c r="A88" s="252">
        <v>409</v>
      </c>
      <c r="B88" s="231" t="s">
        <v>538</v>
      </c>
      <c r="C88" s="237">
        <v>4730</v>
      </c>
      <c r="D88" s="220"/>
      <c r="E88" s="258">
        <v>409</v>
      </c>
      <c r="F88" s="245" t="s">
        <v>538</v>
      </c>
      <c r="G88" s="250">
        <v>4730</v>
      </c>
    </row>
    <row r="89" spans="1:7" ht="14.4">
      <c r="A89" s="252">
        <v>410</v>
      </c>
      <c r="B89" s="231" t="s">
        <v>539</v>
      </c>
      <c r="C89" s="237"/>
      <c r="D89" s="220"/>
      <c r="E89" s="258">
        <v>410</v>
      </c>
      <c r="F89" s="245" t="s">
        <v>538</v>
      </c>
      <c r="G89" s="246">
        <v>4730</v>
      </c>
    </row>
    <row r="90" spans="1:7" ht="14.4">
      <c r="A90" s="252">
        <v>411</v>
      </c>
      <c r="B90" s="231" t="s">
        <v>538</v>
      </c>
      <c r="C90" s="237">
        <v>4730</v>
      </c>
      <c r="D90" s="220"/>
      <c r="E90" s="258">
        <v>411</v>
      </c>
      <c r="F90" s="245" t="s">
        <v>538</v>
      </c>
      <c r="G90" s="246">
        <v>4730</v>
      </c>
    </row>
    <row r="91" spans="1:7" ht="14.4">
      <c r="A91" s="252">
        <v>412</v>
      </c>
      <c r="B91" s="231" t="s">
        <v>539</v>
      </c>
      <c r="C91" s="237"/>
      <c r="D91" s="220"/>
      <c r="E91" s="258">
        <v>412</v>
      </c>
      <c r="F91" s="245" t="s">
        <v>560</v>
      </c>
      <c r="G91" s="241"/>
    </row>
    <row r="92" spans="1:7" ht="14.4">
      <c r="A92" s="252">
        <v>413</v>
      </c>
      <c r="B92" s="231" t="s">
        <v>539</v>
      </c>
      <c r="C92" s="237"/>
      <c r="D92" s="220"/>
      <c r="E92" s="258">
        <v>413</v>
      </c>
      <c r="F92" s="245" t="s">
        <v>560</v>
      </c>
      <c r="G92" s="241"/>
    </row>
    <row r="93" spans="1:7" ht="14.4">
      <c r="A93" s="252">
        <v>414</v>
      </c>
      <c r="B93" s="231" t="s">
        <v>539</v>
      </c>
      <c r="C93" s="237"/>
      <c r="D93" s="220"/>
      <c r="E93" s="258">
        <v>414</v>
      </c>
      <c r="F93" s="245" t="s">
        <v>538</v>
      </c>
      <c r="G93" s="246">
        <v>4730</v>
      </c>
    </row>
    <row r="94" spans="1:7" ht="14.4">
      <c r="A94" s="252">
        <v>415</v>
      </c>
      <c r="B94" s="231" t="s">
        <v>539</v>
      </c>
      <c r="C94" s="238"/>
      <c r="D94" s="220"/>
      <c r="E94" s="258">
        <v>415</v>
      </c>
      <c r="F94" s="245" t="s">
        <v>560</v>
      </c>
      <c r="G94" s="241"/>
    </row>
    <row r="95" spans="1:7" ht="14.4">
      <c r="A95" s="252">
        <v>417</v>
      </c>
      <c r="B95" s="231" t="s">
        <v>538</v>
      </c>
      <c r="C95" s="237">
        <v>4280</v>
      </c>
      <c r="D95" s="220"/>
      <c r="E95" s="258">
        <v>417</v>
      </c>
      <c r="F95" s="245" t="s">
        <v>538</v>
      </c>
      <c r="G95" s="246">
        <v>4280</v>
      </c>
    </row>
    <row r="96" spans="1:7">
      <c r="E96" s="229"/>
    </row>
    <row r="98" spans="5:7" ht="14.4">
      <c r="E98" s="240"/>
      <c r="F98" s="243"/>
      <c r="G98" s="246">
        <v>1723.65</v>
      </c>
    </row>
    <row r="99" spans="5:7" ht="14.4">
      <c r="E99" s="240"/>
      <c r="F99" s="244"/>
      <c r="G99" s="251">
        <v>998.35</v>
      </c>
    </row>
    <row r="100" spans="5:7" ht="14.4">
      <c r="F100" s="239" t="s">
        <v>568</v>
      </c>
      <c r="G100" s="246">
        <v>214366.97</v>
      </c>
    </row>
    <row r="101" spans="5:7" ht="14.4">
      <c r="F101" s="239" t="s">
        <v>569</v>
      </c>
      <c r="G101" s="244">
        <v>53</v>
      </c>
    </row>
  </sheetData>
  <mergeCells count="3">
    <mergeCell ref="A12:B12"/>
    <mergeCell ref="A17:B17"/>
    <mergeCell ref="E12:F12"/>
  </mergeCells>
  <pageMargins left="0.7" right="0.7" top="0.75" bottom="0.75" header="0.3" footer="0.3"/>
  <ignoredErrors>
    <ignoredError sqref="B10" formulaRange="1"/>
    <ignoredError sqref="H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LOOKUPS</vt:lpstr>
      <vt:lpstr>Quail Run - UW</vt:lpstr>
      <vt:lpstr>Sales Comps - Trimmed</vt:lpstr>
      <vt:lpstr>Sales Comps - Full</vt:lpstr>
      <vt:lpstr>Net Proceeds</vt:lpstr>
      <vt:lpstr>Quail Run - LABOR</vt:lpstr>
      <vt:lpstr>Quail Run</vt:lpstr>
      <vt:lpstr>Census</vt:lpstr>
      <vt:lpstr>ADVISOR_FEE</vt:lpstr>
      <vt:lpstr>AL_CENSUS_2014</vt:lpstr>
      <vt:lpstr>AL_CENSUS_2015</vt:lpstr>
      <vt:lpstr>AL_CENSUS_2016</vt:lpstr>
      <vt:lpstr>ALZ_CENSUS_2014</vt:lpstr>
      <vt:lpstr>ALZ_CENSUS_2015</vt:lpstr>
      <vt:lpstr>ALZ_CENSUS_2016</vt:lpstr>
      <vt:lpstr>CENSUS_LOOKUP</vt:lpstr>
      <vt:lpstr>DIETARY_PLUG</vt:lpstr>
      <vt:lpstr>EB_PERC</vt:lpstr>
      <vt:lpstr>EXP_LOOKUP</vt:lpstr>
      <vt:lpstr>INCREASED_MARKETING</vt:lpstr>
      <vt:lpstr>INFLATION</vt:lpstr>
      <vt:lpstr>MANAGEMENT_FEE</vt:lpstr>
      <vt:lpstr>PR_TAX_PERC</vt:lpstr>
      <vt:lpstr>PRO_FORMA_EMPBEN</vt:lpstr>
      <vt:lpstr>PRO_FORMA_PRTAX</vt:lpstr>
      <vt:lpstr>PRO_FORMA_WORKCMP</vt:lpstr>
      <vt:lpstr>REV_LOOKUP</vt:lpstr>
      <vt:lpstr>USE_WAGE_CODING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Payant</dc:creator>
  <cp:lastModifiedBy>John Berry</cp:lastModifiedBy>
  <dcterms:created xsi:type="dcterms:W3CDTF">2015-02-05T20:20:49Z</dcterms:created>
  <dcterms:modified xsi:type="dcterms:W3CDTF">2016-08-12T17:14:25Z</dcterms:modified>
</cp:coreProperties>
</file>