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 Berry\Desktop\"/>
    </mc:Choice>
  </mc:AlternateContent>
  <bookViews>
    <workbookView xWindow="0" yWindow="0" windowWidth="28800" windowHeight="11628" activeTab="1"/>
  </bookViews>
  <sheets>
    <sheet name="LOOKUPS" sheetId="5" r:id="rId1"/>
    <sheet name="Willow Springs - UW" sheetId="3" r:id="rId2"/>
    <sheet name="Willow Springs - LABOR" sheetId="9" r:id="rId3"/>
    <sheet name="Willow Springs" sheetId="4" r:id="rId4"/>
  </sheets>
  <externalReferences>
    <externalReference r:id="rId5"/>
  </externalReferences>
  <definedNames>
    <definedName name="_F" localSheetId="2" hidden="1">#REF!</definedName>
    <definedName name="_F" localSheetId="1" hidden="1">#REF!</definedName>
    <definedName name="_F" hidden="1">#REF!</definedName>
    <definedName name="_Fill" localSheetId="2" hidden="1">#REF!</definedName>
    <definedName name="_Fill" localSheetId="1" hidden="1">#REF!</definedName>
    <definedName name="_Fill" hidden="1">#REF!</definedName>
    <definedName name="_Key1" localSheetId="2" hidden="1">#REF!</definedName>
    <definedName name="_Key1" localSheetId="1" hidden="1">#REF!</definedName>
    <definedName name="_Key1" hidden="1">#REF!</definedName>
    <definedName name="_Key2" localSheetId="2" hidden="1">#REF!</definedName>
    <definedName name="_Key2" localSheetId="1" hidden="1">#REF!</definedName>
    <definedName name="_Key2" hidden="1">#REF!</definedName>
    <definedName name="_Order1" hidden="1">0</definedName>
    <definedName name="_Order2" hidden="1">255</definedName>
    <definedName name="_Sort" localSheetId="2" hidden="1">#REF!</definedName>
    <definedName name="_Sort" localSheetId="1" hidden="1">#REF!</definedName>
    <definedName name="_Sort" hidden="1">#REF!</definedName>
    <definedName name="a" hidden="1">{"rtn",#N/A,FALSE,"RTN";"tables",#N/A,FALSE,"RTN";"cf",#N/A,FALSE,"CF";"stats",#N/A,FALSE,"Stats";"prop",#N/A,FALSE,"Prop"}</definedName>
    <definedName name="aaaaa" localSheetId="2" hidden="1">{"rtn",#N/A,FALSE,"RTN";"tables",#N/A,FALSE,"RTN";"cf",#N/A,FALSE,"CF";"stats",#N/A,FALSE,"Stats";"prop",#N/A,FALSE,"Prop"}</definedName>
    <definedName name="aaaaa" localSheetId="1" hidden="1">{"rtn",#N/A,FALSE,"RTN";"tables",#N/A,FALSE,"RTN";"cf",#N/A,FALSE,"CF";"stats",#N/A,FALSE,"Stats";"prop",#N/A,FALSE,"Prop"}</definedName>
    <definedName name="aaaaa" hidden="1">{"rtn",#N/A,FALSE,"RTN";"tables",#N/A,FALSE,"RTN";"cf",#N/A,FALSE,"CF";"stats",#N/A,FALSE,"Stats";"prop",#N/A,FALSE,"Prop"}</definedName>
    <definedName name="aaaaaaa" localSheetId="2" hidden="1">{"Outflow 1",#N/A,FALSE,"Outflows-Inflows";"Outflow 2",#N/A,FALSE,"Outflows-Inflows";"Inflow 1",#N/A,FALSE,"Outflows-Inflows";"Inflow 2",#N/A,FALSE,"Outflows-Inflows"}</definedName>
    <definedName name="aaaaaaa" localSheetId="1" hidden="1">{"Outflow 1",#N/A,FALSE,"Outflows-Inflows";"Outflow 2",#N/A,FALSE,"Outflows-Inflows";"Inflow 1",#N/A,FALSE,"Outflows-Inflows";"Inflow 2",#N/A,FALSE,"Outflows-Inflows"}</definedName>
    <definedName name="aaaaaaa" hidden="1">{"Outflow 1",#N/A,FALSE,"Outflows-Inflows";"Outflow 2",#N/A,FALSE,"Outflows-Inflows";"Inflow 1",#N/A,FALSE,"Outflows-Inflows";"Inflow 2",#N/A,FALSE,"Outflows-Inflows"}</definedName>
    <definedName name="aaaaaaaaaaaaaa" localSheetId="2" hidden="1">{"rtn",#N/A,FALSE,"RTN";"tables",#N/A,FALSE,"RTN";"cf",#N/A,FALSE,"CF";"stats",#N/A,FALSE,"Stats";"prop",#N/A,FALSE,"Prop"}</definedName>
    <definedName name="aaaaaaaaaaaaaa" localSheetId="1" hidden="1">{"rtn",#N/A,FALSE,"RTN";"tables",#N/A,FALSE,"RTN";"cf",#N/A,FALSE,"CF";"stats",#N/A,FALSE,"Stats";"prop",#N/A,FALSE,"Prop"}</definedName>
    <definedName name="aaaaaaaaaaaaaa" hidden="1">{"rtn",#N/A,FALSE,"RTN";"tables",#N/A,FALSE,"RTN";"cf",#N/A,FALSE,"CF";"stats",#N/A,FALSE,"Stats";"prop",#N/A,FALSE,"Prop"}</definedName>
    <definedName name="aaaaaaaaaaaaaaaa" localSheetId="2" hidden="1">{"Outflow 1",#N/A,FALSE,"Outflows-Inflows";"Outflow 2",#N/A,FALSE,"Outflows-Inflows";"Inflow 1",#N/A,FALSE,"Outflows-Inflows";"Inflow 2",#N/A,FALSE,"Outflows-Inflows"}</definedName>
    <definedName name="aaaaaaaaaaaaaaaa" localSheetId="1" hidden="1">{"Outflow 1",#N/A,FALSE,"Outflows-Inflows";"Outflow 2",#N/A,FALSE,"Outflows-Inflows";"Inflow 1",#N/A,FALSE,"Outflows-Inflows";"Inflow 2",#N/A,FALSE,"Outflows-Inflows"}</definedName>
    <definedName name="aaaaaaaaaaaaaaaa" hidden="1">{"Outflow 1",#N/A,FALSE,"Outflows-Inflows";"Outflow 2",#N/A,FALSE,"Outflows-Inflows";"Inflow 1",#N/A,FALSE,"Outflows-Inflows";"Inflow 2",#N/A,FALSE,"Outflows-Inflows"}</definedName>
    <definedName name="aaaaaaaaaaaaaaaaaa" localSheetId="2" hidden="1">{"Outflow 1",#N/A,FALSE,"Outflows-Inflows";"Outflow 2",#N/A,FALSE,"Outflows-Inflows";"Inflow 1",#N/A,FALSE,"Outflows-Inflows";"Inflow 2",#N/A,FALSE,"Outflows-Inflows"}</definedName>
    <definedName name="aaaaaaaaaaaaaaaaaa" localSheetId="1" hidden="1">{"Outflow 1",#N/A,FALSE,"Outflows-Inflows";"Outflow 2",#N/A,FALSE,"Outflows-Inflows";"Inflow 1",#N/A,FALSE,"Outflows-Inflows";"Inflow 2",#N/A,FALSE,"Outflows-Inflows"}</definedName>
    <definedName name="aaaaaaaaaaaaaaaaaa" hidden="1">{"Outflow 1",#N/A,FALSE,"Outflows-Inflows";"Outflow 2",#N/A,FALSE,"Outflows-Inflows";"Inflow 1",#N/A,FALSE,"Outflows-Inflows";"Inflow 2",#N/A,FALSE,"Outflows-Inflows"}</definedName>
    <definedName name="aaaaaaaaaaaaaaaaaaaaaaa" localSheetId="2" hidden="1">{"Outflow 1",#N/A,FALSE,"Outflows-Inflows";"Outflow 2",#N/A,FALSE,"Outflows-Inflows";"Inflow 1",#N/A,FALSE,"Outflows-Inflows";"Inflow 2",#N/A,FALSE,"Outflows-Inflows"}</definedName>
    <definedName name="aaaaaaaaaaaaaaaaaaaaaaa" localSheetId="1" hidden="1">{"Outflow 1",#N/A,FALSE,"Outflows-Inflows";"Outflow 2",#N/A,FALSE,"Outflows-Inflows";"Inflow 1",#N/A,FALSE,"Outflows-Inflows";"Inflow 2",#N/A,FALSE,"Outflows-Inflows"}</definedName>
    <definedName name="aaaaaaaaaaaaaaaaaaaaaaa" hidden="1">{"Outflow 1",#N/A,FALSE,"Outflows-Inflows";"Outflow 2",#N/A,FALSE,"Outflows-Inflows";"Inflow 1",#N/A,FALSE,"Outflows-Inflows";"Inflow 2",#N/A,FALSE,"Outflows-Inflows"}</definedName>
    <definedName name="aasdfa" localSheetId="2" hidden="1">{"rtn",#N/A,FALSE,"RTN";"tables",#N/A,FALSE,"RTN";"cf",#N/A,FALSE,"CF";"stats",#N/A,FALSE,"Stats";"prop",#N/A,FALSE,"Prop"}</definedName>
    <definedName name="aasdfa" localSheetId="1" hidden="1">{"rtn",#N/A,FALSE,"RTN";"tables",#N/A,FALSE,"RTN";"cf",#N/A,FALSE,"CF";"stats",#N/A,FALSE,"Stats";"prop",#N/A,FALSE,"Prop"}</definedName>
    <definedName name="aasdfa" hidden="1">{"rtn",#N/A,FALSE,"RTN";"tables",#N/A,FALSE,"RTN";"cf",#N/A,FALSE,"CF";"stats",#N/A,FALSE,"Stats";"prop",#N/A,FALSE,"Prop"}</definedName>
    <definedName name="aasdfab" localSheetId="2" hidden="1">{"rtn",#N/A,FALSE,"RTN";"tables",#N/A,FALSE,"RTN";"cf",#N/A,FALSE,"CF";"stats",#N/A,FALSE,"Stats";"prop",#N/A,FALSE,"Prop"}</definedName>
    <definedName name="aasdfab" localSheetId="1" hidden="1">{"rtn",#N/A,FALSE,"RTN";"tables",#N/A,FALSE,"RTN";"cf",#N/A,FALSE,"CF";"stats",#N/A,FALSE,"Stats";"prop",#N/A,FALSE,"Prop"}</definedName>
    <definedName name="aasdfab" hidden="1">{"rtn",#N/A,FALSE,"RTN";"tables",#N/A,FALSE,"RTN";"cf",#N/A,FALSE,"CF";"stats",#N/A,FALSE,"Stats";"prop",#N/A,FALSE,"Prop"}</definedName>
    <definedName name="ab" localSheetId="2" hidden="1">{"rtn",#N/A,FALSE,"RTN";"tables",#N/A,FALSE,"RTN";"cf",#N/A,FALSE,"CF";"stats",#N/A,FALSE,"Stats";"prop",#N/A,FALSE,"Prop"}</definedName>
    <definedName name="ab" localSheetId="1" hidden="1">{"rtn",#N/A,FALSE,"RTN";"tables",#N/A,FALSE,"RTN";"cf",#N/A,FALSE,"CF";"stats",#N/A,FALSE,"Stats";"prop",#N/A,FALSE,"Prop"}</definedName>
    <definedName name="ab" hidden="1">{"rtn",#N/A,FALSE,"RTN";"tables",#N/A,FALSE,"RTN";"cf",#N/A,FALSE,"CF";"stats",#N/A,FALSE,"Stats";"prop",#N/A,FALSE,"Prop"}</definedName>
    <definedName name="adfsfadfasf" localSheetId="2" hidden="1">{"Outflow 1",#N/A,FALSE,"Outflows-Inflows";"Outflow 2",#N/A,FALSE,"Outflows-Inflows";"Inflow 1",#N/A,FALSE,"Outflows-Inflows";"Inflow 2",#N/A,FALSE,"Outflows-Inflows"}</definedName>
    <definedName name="adfsfadfasf" localSheetId="1" hidden="1">{"Outflow 1",#N/A,FALSE,"Outflows-Inflows";"Outflow 2",#N/A,FALSE,"Outflows-Inflows";"Inflow 1",#N/A,FALSE,"Outflows-Inflows";"Inflow 2",#N/A,FALSE,"Outflows-Inflows"}</definedName>
    <definedName name="adfsfadfasf" hidden="1">{"Outflow 1",#N/A,FALSE,"Outflows-Inflows";"Outflow 2",#N/A,FALSE,"Outflows-Inflows";"Inflow 1",#N/A,FALSE,"Outflows-Inflows";"Inflow 2",#N/A,FALSE,"Outflows-Inflows"}</definedName>
    <definedName name="as" localSheetId="2" hidden="1">{"Outflow 1",#N/A,FALSE,"Outflows-Inflows";"Outflow 2",#N/A,FALSE,"Outflows-Inflows";"Inflow 1",#N/A,FALSE,"Outflows-Inflows";"Inflow 2",#N/A,FALSE,"Outflows-Inflows"}</definedName>
    <definedName name="as" localSheetId="1" hidden="1">{"Outflow 1",#N/A,FALSE,"Outflows-Inflows";"Outflow 2",#N/A,FALSE,"Outflows-Inflows";"Inflow 1",#N/A,FALSE,"Outflows-Inflows";"Inflow 2",#N/A,FALSE,"Outflows-Inflows"}</definedName>
    <definedName name="as" hidden="1">{"Outflow 1",#N/A,FALSE,"Outflows-Inflows";"Outflow 2",#N/A,FALSE,"Outflows-Inflows";"Inflow 1",#N/A,FALSE,"Outflows-Inflows";"Inflow 2",#N/A,FALSE,"Outflows-Inflows"}</definedName>
    <definedName name="asdfas" localSheetId="2" hidden="1">{"print 1.6",#N/A,FALSE,"Sheet1";"print 2.6",#N/A,FALSE,"Sheet1";"print 3.6",#N/A,FALSE,"Sheet1";"print 4.6",#N/A,FALSE,"Sheet1";"print 5.6",#N/A,FALSE,"Sheet1";"print 6.6",#N/A,FALSE,"Sheet1"}</definedName>
    <definedName name="asdfas" localSheetId="1" hidden="1">{"print 1.6",#N/A,FALSE,"Sheet1";"print 2.6",#N/A,FALSE,"Sheet1";"print 3.6",#N/A,FALSE,"Sheet1";"print 4.6",#N/A,FALSE,"Sheet1";"print 5.6",#N/A,FALSE,"Sheet1";"print 6.6",#N/A,FALSE,"Sheet1"}</definedName>
    <definedName name="asdfas" hidden="1">{"print 1.6",#N/A,FALSE,"Sheet1";"print 2.6",#N/A,FALSE,"Sheet1";"print 3.6",#N/A,FALSE,"Sheet1";"print 4.6",#N/A,FALSE,"Sheet1";"print 5.6",#N/A,FALSE,"Sheet1";"print 6.6",#N/A,FALSE,"Sheet1"}</definedName>
    <definedName name="asdfasaa" localSheetId="2" hidden="1">{"print 1.6",#N/A,FALSE,"Sheet1";"print 2.6",#N/A,FALSE,"Sheet1";"print 3.6",#N/A,FALSE,"Sheet1";"print 4.6",#N/A,FALSE,"Sheet1";"print 5.6",#N/A,FALSE,"Sheet1";"print 6.6",#N/A,FALSE,"Sheet1"}</definedName>
    <definedName name="asdfasaa" localSheetId="1" hidden="1">{"print 1.6",#N/A,FALSE,"Sheet1";"print 2.6",#N/A,FALSE,"Sheet1";"print 3.6",#N/A,FALSE,"Sheet1";"print 4.6",#N/A,FALSE,"Sheet1";"print 5.6",#N/A,FALSE,"Sheet1";"print 6.6",#N/A,FALSE,"Sheet1"}</definedName>
    <definedName name="asdfasaa" hidden="1">{"print 1.6",#N/A,FALSE,"Sheet1";"print 2.6",#N/A,FALSE,"Sheet1";"print 3.6",#N/A,FALSE,"Sheet1";"print 4.6",#N/A,FALSE,"Sheet1";"print 5.6",#N/A,FALSE,"Sheet1";"print 6.6",#N/A,FALSE,"Sheet1"}</definedName>
    <definedName name="asdfasdf" localSheetId="2" hidden="1">{"rtn",#N/A,FALSE,"RTN";"tables",#N/A,FALSE,"RTN";"cf",#N/A,FALSE,"CF";"stats",#N/A,FALSE,"Stats";"prop",#N/A,FALSE,"Prop"}</definedName>
    <definedName name="asdfasdf" localSheetId="1" hidden="1">{"rtn",#N/A,FALSE,"RTN";"tables",#N/A,FALSE,"RTN";"cf",#N/A,FALSE,"CF";"stats",#N/A,FALSE,"Stats";"prop",#N/A,FALSE,"Prop"}</definedName>
    <definedName name="asdfasdf" hidden="1">{"rtn",#N/A,FALSE,"RTN";"tables",#N/A,FALSE,"RTN";"cf",#N/A,FALSE,"CF";"stats",#N/A,FALSE,"Stats";"prop",#N/A,FALSE,"Prop"}</definedName>
    <definedName name="ass" localSheetId="2" hidden="1">{"print 1.6",#N/A,FALSE,"Sheet1";"print 2.6",#N/A,FALSE,"Sheet1";"print 3.6",#N/A,FALSE,"Sheet1";"print 4.6",#N/A,FALSE,"Sheet1";"print 5.6",#N/A,FALSE,"Sheet1";"print 6.6",#N/A,FALSE,"Sheet1"}</definedName>
    <definedName name="ass" localSheetId="1" hidden="1">{"print 1.6",#N/A,FALSE,"Sheet1";"print 2.6",#N/A,FALSE,"Sheet1";"print 3.6",#N/A,FALSE,"Sheet1";"print 4.6",#N/A,FALSE,"Sheet1";"print 5.6",#N/A,FALSE,"Sheet1";"print 6.6",#N/A,FALSE,"Sheet1"}</definedName>
    <definedName name="ass" hidden="1">{"print 1.6",#N/A,FALSE,"Sheet1";"print 2.6",#N/A,FALSE,"Sheet1";"print 3.6",#N/A,FALSE,"Sheet1";"print 4.6",#N/A,FALSE,"Sheet1";"print 5.6",#N/A,FALSE,"Sheet1";"print 6.6",#N/A,FALSE,"Sheet1"}</definedName>
    <definedName name="asss" localSheetId="2" hidden="1">{"rtn",#N/A,FALSE,"RTN";"tables",#N/A,FALSE,"RTN";"cf",#N/A,FALSE,"CF";"stats",#N/A,FALSE,"Stats";"prop",#N/A,FALSE,"Prop"}</definedName>
    <definedName name="asss" localSheetId="1" hidden="1">{"rtn",#N/A,FALSE,"RTN";"tables",#N/A,FALSE,"RTN";"cf",#N/A,FALSE,"CF";"stats",#N/A,FALSE,"Stats";"prop",#N/A,FALSE,"Prop"}</definedName>
    <definedName name="asss" hidden="1">{"rtn",#N/A,FALSE,"RTN";"tables",#N/A,FALSE,"RTN";"cf",#N/A,FALSE,"CF";"stats",#N/A,FALSE,"Stats";"prop",#N/A,FALSE,"Prop"}</definedName>
    <definedName name="BAD_DEBT">LOOKUPS!$A$8</definedName>
    <definedName name="bbbb" localSheetId="2" hidden="1">{"Outflow 1",#N/A,FALSE,"Outflows-Inflows";"Outflow 2",#N/A,FALSE,"Outflows-Inflows";"Inflow 1",#N/A,FALSE,"Outflows-Inflows";"Inflow 2",#N/A,FALSE,"Outflows-Inflows"}</definedName>
    <definedName name="bbbb" localSheetId="1" hidden="1">{"Outflow 1",#N/A,FALSE,"Outflows-Inflows";"Outflow 2",#N/A,FALSE,"Outflows-Inflows";"Inflow 1",#N/A,FALSE,"Outflows-Inflows";"Inflow 2",#N/A,FALSE,"Outflows-Inflows"}</definedName>
    <definedName name="bbbb" hidden="1">{"Outflow 1",#N/A,FALSE,"Outflows-Inflows";"Outflow 2",#N/A,FALSE,"Outflows-Inflows";"Inflow 1",#N/A,FALSE,"Outflows-Inflows";"Inflow 2",#N/A,FALSE,"Outflows-Inflows"}</definedName>
    <definedName name="bbbbbb" localSheetId="2" hidden="1">{"rtn",#N/A,FALSE,"RTN";"tables",#N/A,FALSE,"RTN";"cf",#N/A,FALSE,"CF";"stats",#N/A,FALSE,"Stats";"prop",#N/A,FALSE,"Prop"}</definedName>
    <definedName name="bbbbbb" localSheetId="1" hidden="1">{"rtn",#N/A,FALSE,"RTN";"tables",#N/A,FALSE,"RTN";"cf",#N/A,FALSE,"CF";"stats",#N/A,FALSE,"Stats";"prop",#N/A,FALSE,"Prop"}</definedName>
    <definedName name="bbbbbb" hidden="1">{"rtn",#N/A,FALSE,"RTN";"tables",#N/A,FALSE,"RTN";"cf",#N/A,FALSE,"CF";"stats",#N/A,FALSE,"Stats";"prop",#N/A,FALSE,"Prop"}</definedName>
    <definedName name="bbbbbbb" localSheetId="2" hidden="1">{"Outflow 1",#N/A,FALSE,"Outflows-Inflows";"Outflow 2",#N/A,FALSE,"Outflows-Inflows";"Inflow 1",#N/A,FALSE,"Outflows-Inflows";"Inflow 2",#N/A,FALSE,"Outflows-Inflows"}</definedName>
    <definedName name="bbbbbbb" localSheetId="1" hidden="1">{"Outflow 1",#N/A,FALSE,"Outflows-Inflows";"Outflow 2",#N/A,FALSE,"Outflows-Inflows";"Inflow 1",#N/A,FALSE,"Outflows-Inflows";"Inflow 2",#N/A,FALSE,"Outflows-Inflows"}</definedName>
    <definedName name="bbbbbbb" hidden="1">{"Outflow 1",#N/A,FALSE,"Outflows-Inflows";"Outflow 2",#N/A,FALSE,"Outflows-Inflows";"Inflow 1",#N/A,FALSE,"Outflows-Inflows";"Inflow 2",#N/A,FALSE,"Outflows-Inflows"}</definedName>
    <definedName name="Bullshit" localSheetId="2" hidden="1">{"Outflow 1",#N/A,FALSE,"Outflows-Inflows";"Outflow 2",#N/A,FALSE,"Outflows-Inflows";"Inflow 1",#N/A,FALSE,"Outflows-Inflows";"Inflow 2",#N/A,FALSE,"Outflows-Inflows"}</definedName>
    <definedName name="Bullshit" localSheetId="1" hidden="1">{"Outflow 1",#N/A,FALSE,"Outflows-Inflows";"Outflow 2",#N/A,FALSE,"Outflows-Inflows";"Inflow 1",#N/A,FALSE,"Outflows-Inflows";"Inflow 2",#N/A,FALSE,"Outflows-Inflows"}</definedName>
    <definedName name="Bullshit" hidden="1">{"Outflow 1",#N/A,FALSE,"Outflows-Inflows";"Outflow 2",#N/A,FALSE,"Outflows-Inflows";"Inflow 1",#N/A,FALSE,"Outflows-Inflows";"Inflow 2",#N/A,FALSE,"Outflows-Inflows"}</definedName>
    <definedName name="ccccccc" localSheetId="2" hidden="1">{"rtn",#N/A,FALSE,"RTN";"tables",#N/A,FALSE,"RTN";"cf",#N/A,FALSE,"CF";"stats",#N/A,FALSE,"Stats";"prop",#N/A,FALSE,"Prop"}</definedName>
    <definedName name="ccccccc" localSheetId="1" hidden="1">{"rtn",#N/A,FALSE,"RTN";"tables",#N/A,FALSE,"RTN";"cf",#N/A,FALSE,"CF";"stats",#N/A,FALSE,"Stats";"prop",#N/A,FALSE,"Prop"}</definedName>
    <definedName name="ccccccc" hidden="1">{"rtn",#N/A,FALSE,"RTN";"tables",#N/A,FALSE,"RTN";"cf",#N/A,FALSE,"CF";"stats",#N/A,FALSE,"Stats";"prop",#N/A,FALSE,"Prop"}</definedName>
    <definedName name="cccccccccccc" localSheetId="2" hidden="1">{"Outflow 1",#N/A,FALSE,"Outflows-Inflows";"Outflow 2",#N/A,FALSE,"Outflows-Inflows";"Inflow 1",#N/A,FALSE,"Outflows-Inflows";"Inflow 2",#N/A,FALSE,"Outflows-Inflows"}</definedName>
    <definedName name="cccccccccccc" localSheetId="1" hidden="1">{"Outflow 1",#N/A,FALSE,"Outflows-Inflows";"Outflow 2",#N/A,FALSE,"Outflows-Inflows";"Inflow 1",#N/A,FALSE,"Outflows-Inflows";"Inflow 2",#N/A,FALSE,"Outflows-Inflows"}</definedName>
    <definedName name="cccccccccccc" hidden="1">{"Outflow 1",#N/A,FALSE,"Outflows-Inflows";"Outflow 2",#N/A,FALSE,"Outflows-Inflows";"Inflow 1",#N/A,FALSE,"Outflows-Inflows";"Inflow 2",#N/A,FALSE,"Outflows-Inflows"}</definedName>
    <definedName name="CENSUS_LOOKUP">LOOKUPS!$C$3:$D$8</definedName>
    <definedName name="DATA_01" localSheetId="2" hidden="1">#REF!</definedName>
    <definedName name="DATA_01" localSheetId="1" hidden="1">#REF!</definedName>
    <definedName name="DATA_01" hidden="1">#REF!</definedName>
    <definedName name="Debt" localSheetId="2" hidden="1">{"print 1.6",#N/A,FALSE,"Sheet1";"print 2.6",#N/A,FALSE,"Sheet1";"print 3.6",#N/A,FALSE,"Sheet1";"print 4.6",#N/A,FALSE,"Sheet1";"print 5.6",#N/A,FALSE,"Sheet1";"print 6.6",#N/A,FALSE,"Sheet1"}</definedName>
    <definedName name="Debt" localSheetId="1" hidden="1">{"print 1.6",#N/A,FALSE,"Sheet1";"print 2.6",#N/A,FALSE,"Sheet1";"print 3.6",#N/A,FALSE,"Sheet1";"print 4.6",#N/A,FALSE,"Sheet1";"print 5.6",#N/A,FALSE,"Sheet1";"print 6.6",#N/A,FALSE,"Sheet1"}</definedName>
    <definedName name="Debt" hidden="1">{"print 1.6",#N/A,FALSE,"Sheet1";"print 2.6",#N/A,FALSE,"Sheet1";"print 3.6",#N/A,FALSE,"Sheet1";"print 4.6",#N/A,FALSE,"Sheet1";"print 5.6",#N/A,FALSE,"Sheet1";"print 6.6",#N/A,FALSE,"Sheet1"}</definedName>
    <definedName name="EB_PERC">LOOKUPS!$T$6</definedName>
    <definedName name="EXP_LOOKUP">LOOKUPS!$I$3:$L$135</definedName>
    <definedName name="Hello" localSheetId="2" hidden="1">{"rtn",#N/A,FALSE,"RTN";"tables",#N/A,FALSE,"RTN";"cf",#N/A,FALSE,"CF";"stats",#N/A,FALSE,"Stats";"prop",#N/A,FALSE,"Prop"}</definedName>
    <definedName name="Hello" localSheetId="1" hidden="1">{"rtn",#N/A,FALSE,"RTN";"tables",#N/A,FALSE,"RTN";"cf",#N/A,FALSE,"CF";"stats",#N/A,FALSE,"Stats";"prop",#N/A,FALSE,"Prop"}</definedName>
    <definedName name="Hello" hidden="1">{"rtn",#N/A,FALSE,"RTN";"tables",#N/A,FALSE,"RTN";"cf",#N/A,FALSE,"CF";"stats",#N/A,FALSE,"Stats";"prop",#N/A,FALSE,"Prop"}</definedName>
    <definedName name="heryyw" localSheetId="2" hidden="1">{"Outflow 1",#N/A,FALSE,"Outflows-Inflows";"Outflow 2",#N/A,FALSE,"Outflows-Inflows";"Inflow 1",#N/A,FALSE,"Outflows-Inflows";"Inflow 2",#N/A,FALSE,"Outflows-Inflows"}</definedName>
    <definedName name="heryyw" localSheetId="1" hidden="1">{"Outflow 1",#N/A,FALSE,"Outflows-Inflows";"Outflow 2",#N/A,FALSE,"Outflows-Inflows";"Inflow 1",#N/A,FALSE,"Outflows-Inflows";"Inflow 2",#N/A,FALSE,"Outflows-Inflows"}</definedName>
    <definedName name="heryyw" hidden="1">{"Outflow 1",#N/A,FALSE,"Outflows-Inflows";"Outflow 2",#N/A,FALSE,"Outflows-Inflows";"Inflow 1",#N/A,FALSE,"Outflows-Inflows";"Inflow 2",#N/A,FALSE,"Outflows-Inflows"}</definedName>
    <definedName name="hhh" localSheetId="2" hidden="1">{"Outflow 1",#N/A,FALSE,"Outflows-Inflows";"Outflow 2",#N/A,FALSE,"Outflows-Inflows";"Inflow 1",#N/A,FALSE,"Outflows-Inflows";"Inflow 2",#N/A,FALSE,"Outflows-Inflows"}</definedName>
    <definedName name="hhh" localSheetId="1" hidden="1">{"Outflow 1",#N/A,FALSE,"Outflows-Inflows";"Outflow 2",#N/A,FALSE,"Outflows-Inflows";"Inflow 1",#N/A,FALSE,"Outflows-Inflows";"Inflow 2",#N/A,FALSE,"Outflows-Inflows"}</definedName>
    <definedName name="hhh" hidden="1">{"Outflow 1",#N/A,FALSE,"Outflows-Inflows";"Outflow 2",#N/A,FALSE,"Outflows-Inflows";"Inflow 1",#N/A,FALSE,"Outflows-Inflows";"Inflow 2",#N/A,FALSE,"Outflows-Inflows"}</definedName>
    <definedName name="INFLATION_FACTOR">LOOKUPS!$A$11</definedName>
    <definedName name="IntroPrintArea" localSheetId="2" hidden="1">#REF!</definedName>
    <definedName name="IntroPrintArea" localSheetId="1" hidden="1">#REF!</definedName>
    <definedName name="IntroPrintArea" hidden="1">#REF!</definedName>
    <definedName name="IQ_ADDIN" hidden="1">"AUTO"</definedName>
    <definedName name="IQ_CH" hidden="1">110000</definedName>
    <definedName name="IQ_CLOSEPRICE" hidden="1">"IQ_CLOSEPRICE"</definedName>
    <definedName name="IQ_CQ" hidden="1">5000</definedName>
    <definedName name="IQ_CY" hidden="1">10000</definedName>
    <definedName name="IQ_EBIT_10K" hidden="1">"EBIT_10K"</definedName>
    <definedName name="IQ_EBIT_10Q" hidden="1">"EBIT_10Q"</definedName>
    <definedName name="IQ_EBIT_10Q1" hidden="1">"EBIT_10Q1"</definedName>
    <definedName name="IQ_EBITDA_10K" hidden="1">"EBITDA_10K"</definedName>
    <definedName name="IQ_EBITDA_10Q" hidden="1">"EBITDA_10Q"</definedName>
    <definedName name="IQ_EBITDA_10Q1" hidden="1">"EBITDA_10Q1"</definedName>
    <definedName name="IQ_EPS_10K" hidden="1">"EPS_10K"</definedName>
    <definedName name="IQ_EPS_10Q" hidden="1">"EPS_10Q"</definedName>
    <definedName name="IQ_EPS_10Q1" hidden="1">"EPS_10Q1"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FY_DATE" hidden="1">"FY_DATE"</definedName>
    <definedName name="IQ_HIGHPRICE" hidden="1">"IQ_HIGHPRICE"</definedName>
    <definedName name="IQ_INTEREST_INC_10K" hidden="1">"INTEREST_INC_10K"</definedName>
    <definedName name="IQ_INTEREST_INC_10Q" hidden="1">"INTEREST_INC_10Q"</definedName>
    <definedName name="IQ_INTEREST_INC_10Q1" hidden="1">"INTEREST_INC_10Q1"</definedName>
    <definedName name="IQ_LASTSALEPRICE" hidden="1">"IQ_LASTSALEPRICE"</definedName>
    <definedName name="IQ_LATEST" hidden="1">"1"</definedName>
    <definedName name="IQ_LATESTK" hidden="1">"1000"</definedName>
    <definedName name="IQ_LATESTKFR" hidden="1">"50"</definedName>
    <definedName name="IQ_LATESTQ" hidden="1">"500"</definedName>
    <definedName name="IQ_LATESTQFR" hidden="1">"100"</definedName>
    <definedName name="IQ_LOWPRICE" hidden="1">"IQ_LOWPRICE"</definedName>
    <definedName name="IQ_LTM" hidden="1">2000</definedName>
    <definedName name="IQ_LTM_DATE" hidden="1">"LTM_DATE"</definedName>
    <definedName name="IQ_LTMMONTH" hidden="1">120000</definedName>
    <definedName name="IQ_MARKETCAP" hidden="1">"IQ_MARKETCAP"</definedName>
    <definedName name="IQ_MONTH" hidden="1">15000</definedName>
    <definedName name="IQ_NAMES_REVISION_DATE_" hidden="1">40415.6283101852</definedName>
    <definedName name="IQ_NET_INC_10K" hidden="1">"NET_INC_10K"</definedName>
    <definedName name="IQ_NET_INC_10Q" hidden="1">"NET_INC_10Q"</definedName>
    <definedName name="IQ_NET_INC_10Q1" hidden="1">"NET_INC_10Q1"</definedName>
    <definedName name="IQ_NTM" hidden="1">6000</definedName>
    <definedName name="IQ_OPENPRICE" hidden="1">"IQ_OPENPRICE"</definedName>
    <definedName name="IQ_PRETAX_INC_10K" hidden="1">"PRETAX_INC_10K"</definedName>
    <definedName name="IQ_PRETAX_INC_10Q" hidden="1">"PRETAX_INC_10Q"</definedName>
    <definedName name="IQ_PRETAX_INC_10Q1" hidden="1">"PRETAX_INC_10Q1"</definedName>
    <definedName name="IQ_PRICEDATE" hidden="1">"IQ_PRICEDATE"</definedName>
    <definedName name="IQ_PRICEDATETIME" hidden="1">"IQ_PRICEDATETIME"</definedName>
    <definedName name="IQ_REVENUE_10K" hidden="1">"REVENUE_10K"</definedName>
    <definedName name="IQ_REVENUE_10Q" hidden="1">"REVENUE_10Q"</definedName>
    <definedName name="IQ_REVENUE_10Q1" hidden="1">"REVENUE_10Q1"</definedName>
    <definedName name="IQ_SHARESOUTSTANDING" hidden="1">"IQ_SHARESOUTSTANDING"</definedName>
    <definedName name="IQ_TODAY" hidden="1">"0"</definedName>
    <definedName name="IQ_VOLUME" hidden="1">"IQ_VOLUME"</definedName>
    <definedName name="IQ_WEEK" hidden="1">50000</definedName>
    <definedName name="IQ_YEARHIGH" hidden="1">"IQ_YEARHIGH"</definedName>
    <definedName name="IQ_YEARLOW" hidden="1">"IQ_YEARLOW"</definedName>
    <definedName name="IQ_YTD" hidden="1">3000</definedName>
    <definedName name="IQ_YTDMONTH" hidden="1">130000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2" hidden="1">{"rtn",#N/A,FALSE,"RTN";"tables",#N/A,FALSE,"RTN";"cf",#N/A,FALSE,"CF";"stats",#N/A,FALSE,"Stats";"prop",#N/A,FALSE,"Prop"}</definedName>
    <definedName name="m" localSheetId="1" hidden="1">{"rtn",#N/A,FALSE,"RTN";"tables",#N/A,FALSE,"RTN";"cf",#N/A,FALSE,"CF";"stats",#N/A,FALSE,"Stats";"prop",#N/A,FALSE,"Prop"}</definedName>
    <definedName name="m" hidden="1">{"rtn",#N/A,FALSE,"RTN";"tables",#N/A,FALSE,"RTN";"cf",#N/A,FALSE,"CF";"stats",#N/A,FALSE,"Stats";"prop",#N/A,FALSE,"Prop"}</definedName>
    <definedName name="MANAGEMENT_FEE">LOOKUPS!$A$5</definedName>
    <definedName name="MLNK00dbc720fdc64f9cbe243e145b06b8fe" localSheetId="2" hidden="1">#REF!</definedName>
    <definedName name="MLNK00dbc720fdc64f9cbe243e145b06b8fe" hidden="1">#REF!</definedName>
    <definedName name="MLNK02cf996dab2b492ea491ba0c4f3b5de9" localSheetId="2" hidden="1">#REF!</definedName>
    <definedName name="MLNK02cf996dab2b492ea491ba0c4f3b5de9" hidden="1">#REF!</definedName>
    <definedName name="MLNK066ea6a037dd4af5ae613d6da2eec5ac" localSheetId="2" hidden="1">#REF!</definedName>
    <definedName name="MLNK066ea6a037dd4af5ae613d6da2eec5ac" hidden="1">#REF!</definedName>
    <definedName name="MLNK0945da6441684d5c8cee79e6c621e5e6" localSheetId="2" hidden="1">#REF!</definedName>
    <definedName name="MLNK0945da6441684d5c8cee79e6c621e5e6" hidden="1">#REF!</definedName>
    <definedName name="MLNK09950c1f256a49c0a791126aa6688e05" localSheetId="2" hidden="1">#REF!</definedName>
    <definedName name="MLNK09950c1f256a49c0a791126aa6688e05" hidden="1">#REF!</definedName>
    <definedName name="MLNK0a179e3ff8804876bca7c1bd81b36d95" localSheetId="2" hidden="1">#REF!</definedName>
    <definedName name="MLNK0a179e3ff8804876bca7c1bd81b36d95" localSheetId="1" hidden="1">#REF!</definedName>
    <definedName name="MLNK0a179e3ff8804876bca7c1bd81b36d95" hidden="1">#REF!</definedName>
    <definedName name="MLNK13054045b6a34bd3876fda46283eaeb9" localSheetId="2" hidden="1">#REF!</definedName>
    <definedName name="MLNK13054045b6a34bd3876fda46283eaeb9" localSheetId="1" hidden="1">#REF!</definedName>
    <definedName name="MLNK13054045b6a34bd3876fda46283eaeb9" hidden="1">#REF!</definedName>
    <definedName name="MLNK16fce9241c1246adb724f8d469b1bdbc" localSheetId="2" hidden="1">#REF!</definedName>
    <definedName name="MLNK16fce9241c1246adb724f8d469b1bdbc" hidden="1">#REF!</definedName>
    <definedName name="MLNK17291dbd1bbe4909a69311cec5d272ba" localSheetId="2" hidden="1">#REF!</definedName>
    <definedName name="MLNK17291dbd1bbe4909a69311cec5d272ba" hidden="1">#REF!</definedName>
    <definedName name="MLNK179922a791ab4c979e0a91d8c684fea5" localSheetId="2" hidden="1">'[1]Blueprint UW'!#REF!</definedName>
    <definedName name="MLNK179922a791ab4c979e0a91d8c684fea5" hidden="1">'[1]Blueprint UW'!#REF!</definedName>
    <definedName name="MLNK17ff91e1ca304b76a6b1df2f46b4298f" localSheetId="2" hidden="1">#REF!</definedName>
    <definedName name="MLNK17ff91e1ca304b76a6b1df2f46b4298f" hidden="1">#REF!</definedName>
    <definedName name="MLNK1b9a183e5ae445ba9b645b3605ef5184" localSheetId="2" hidden="1">#REF!</definedName>
    <definedName name="MLNK1b9a183e5ae445ba9b645b3605ef5184" hidden="1">#REF!</definedName>
    <definedName name="MLNK212440cf5dc442bba16e9658991c6658" localSheetId="2" hidden="1">#REF!</definedName>
    <definedName name="MLNK212440cf5dc442bba16e9658991c6658" hidden="1">#REF!</definedName>
    <definedName name="MLNK2ad7f71953a249e6bef0dc3a60b594e6" localSheetId="2" hidden="1">#REF!</definedName>
    <definedName name="MLNK2ad7f71953a249e6bef0dc3a60b594e6" localSheetId="1" hidden="1">#REF!</definedName>
    <definedName name="MLNK2ad7f71953a249e6bef0dc3a60b594e6" hidden="1">#REF!</definedName>
    <definedName name="MLNK32df3cf1a8db434c86b24a36d128e8eb" localSheetId="2" hidden="1">#REF!</definedName>
    <definedName name="MLNK32df3cf1a8db434c86b24a36d128e8eb" hidden="1">#REF!</definedName>
    <definedName name="MLNK3545101ed9d3462182d4417a7e7378f6" localSheetId="2" hidden="1">#REF!</definedName>
    <definedName name="MLNK3545101ed9d3462182d4417a7e7378f6" localSheetId="1" hidden="1">#REF!</definedName>
    <definedName name="MLNK3545101ed9d3462182d4417a7e7378f6" hidden="1">#REF!</definedName>
    <definedName name="MLNK362825735243420ead3d183ad81c5eb6" localSheetId="2" hidden="1">#REF!</definedName>
    <definedName name="MLNK362825735243420ead3d183ad81c5eb6" hidden="1">#REF!</definedName>
    <definedName name="MLNK3b22acc4fe5b41a39ce6fcb27694e55c" localSheetId="2" hidden="1">#REF!</definedName>
    <definedName name="MLNK3b22acc4fe5b41a39ce6fcb27694e55c" hidden="1">#REF!</definedName>
    <definedName name="MLNK3fbd09e449154dc19e6f95f8e3b1ad01" localSheetId="2" hidden="1">#REF!</definedName>
    <definedName name="MLNK3fbd09e449154dc19e6f95f8e3b1ad01" localSheetId="1" hidden="1">#REF!</definedName>
    <definedName name="MLNK3fbd09e449154dc19e6f95f8e3b1ad01" hidden="1">#REF!</definedName>
    <definedName name="MLNK40318cc7aa244bc6b4283e0609a7800e" localSheetId="2" hidden="1">#REF!</definedName>
    <definedName name="MLNK40318cc7aa244bc6b4283e0609a7800e" localSheetId="1" hidden="1">#REF!</definedName>
    <definedName name="MLNK40318cc7aa244bc6b4283e0609a7800e" hidden="1">#REF!</definedName>
    <definedName name="MLNK548e52f3a7714f9ab674ecca84c67576" localSheetId="2" hidden="1">#REF!</definedName>
    <definedName name="MLNK548e52f3a7714f9ab674ecca84c67576" hidden="1">#REF!</definedName>
    <definedName name="MLNK56e5a5eb3f3d4e99a053902b7157ab52" localSheetId="2" hidden="1">#REF!</definedName>
    <definedName name="MLNK56e5a5eb3f3d4e99a053902b7157ab52" localSheetId="1" hidden="1">#REF!</definedName>
    <definedName name="MLNK56e5a5eb3f3d4e99a053902b7157ab52" hidden="1">#REF!</definedName>
    <definedName name="MLNK5f948923880943879cc2d7c3a2b26ef6" localSheetId="2" hidden="1">#REF!</definedName>
    <definedName name="MLNK5f948923880943879cc2d7c3a2b26ef6" localSheetId="1" hidden="1">#REF!</definedName>
    <definedName name="MLNK5f948923880943879cc2d7c3a2b26ef6" hidden="1">#REF!</definedName>
    <definedName name="MLNK61c4042dcd20457ca84a35b7f7af08b1" localSheetId="2" hidden="1">#REF!</definedName>
    <definedName name="MLNK61c4042dcd20457ca84a35b7f7af08b1" localSheetId="1" hidden="1">#REF!</definedName>
    <definedName name="MLNK61c4042dcd20457ca84a35b7f7af08b1" hidden="1">#REF!</definedName>
    <definedName name="MLNK6cc6003ca4b547a7959a4c86b8d3b437" localSheetId="2" hidden="1">#REF!</definedName>
    <definedName name="MLNK6cc6003ca4b547a7959a4c86b8d3b437" hidden="1">#REF!</definedName>
    <definedName name="MLNK6d757c7b6a5a453f8d812a506ab25e08" localSheetId="2" hidden="1">#REF!</definedName>
    <definedName name="MLNK6d757c7b6a5a453f8d812a506ab25e08" hidden="1">#REF!</definedName>
    <definedName name="MLNK71d49020a16547aba8c7c2592d1ab73b" localSheetId="2" hidden="1">#REF!</definedName>
    <definedName name="MLNK71d49020a16547aba8c7c2592d1ab73b" localSheetId="1" hidden="1">#REF!</definedName>
    <definedName name="MLNK71d49020a16547aba8c7c2592d1ab73b" hidden="1">#REF!</definedName>
    <definedName name="MLNK721dcd8ac43740f7ab6a538498908586" localSheetId="2" hidden="1">#REF!</definedName>
    <definedName name="MLNK721dcd8ac43740f7ab6a538498908586" localSheetId="1" hidden="1">#REF!</definedName>
    <definedName name="MLNK721dcd8ac43740f7ab6a538498908586" hidden="1">#REF!</definedName>
    <definedName name="MLNK77555fc06e4c45709ae9e7bdbbf742b6" localSheetId="2" hidden="1">#REF!</definedName>
    <definedName name="MLNK77555fc06e4c45709ae9e7bdbbf742b6" localSheetId="1" hidden="1">#REF!</definedName>
    <definedName name="MLNK77555fc06e4c45709ae9e7bdbbf742b6" hidden="1">#REF!</definedName>
    <definedName name="MLNK7ab025c73b7d4d73a0e48562342e50fe" localSheetId="2" hidden="1">#REF!</definedName>
    <definedName name="MLNK7ab025c73b7d4d73a0e48562342e50fe" localSheetId="1" hidden="1">#REF!</definedName>
    <definedName name="MLNK7ab025c73b7d4d73a0e48562342e50fe" hidden="1">#REF!</definedName>
    <definedName name="MLNK7bd04e6d507a4773b2ce7e8338e46c69" localSheetId="2" hidden="1">#REF!</definedName>
    <definedName name="MLNK7bd04e6d507a4773b2ce7e8338e46c69" localSheetId="1" hidden="1">#REF!</definedName>
    <definedName name="MLNK7bd04e6d507a4773b2ce7e8338e46c69" hidden="1">#REF!</definedName>
    <definedName name="MLNK7f4bc68765a1409da1057517c35abdc8" localSheetId="2" hidden="1">#REF!</definedName>
    <definedName name="MLNK7f4bc68765a1409da1057517c35abdc8" hidden="1">#REF!</definedName>
    <definedName name="MLNK89973c0adb014a67a2654da05e41a67f" localSheetId="2" hidden="1">'[1]Blueprint UW'!#REF!</definedName>
    <definedName name="MLNK89973c0adb014a67a2654da05e41a67f" hidden="1">'[1]Blueprint UW'!#REF!</definedName>
    <definedName name="MLNK8a669293b74b4ec3a61737dedaf18628" localSheetId="2" hidden="1">#REF!</definedName>
    <definedName name="MLNK8a669293b74b4ec3a61737dedaf18628" localSheetId="1" hidden="1">#REF!</definedName>
    <definedName name="MLNK8a669293b74b4ec3a61737dedaf18628" hidden="1">#REF!</definedName>
    <definedName name="MLNK8d662787bf854e3d99ec6efc0c88d671" localSheetId="2" hidden="1">#REF!</definedName>
    <definedName name="MLNK8d662787bf854e3d99ec6efc0c88d671" hidden="1">#REF!</definedName>
    <definedName name="MLNK949d464de4c5459ba05fe60c3708ef70" localSheetId="2" hidden="1">#REF!</definedName>
    <definedName name="MLNK949d464de4c5459ba05fe60c3708ef70" hidden="1">#REF!</definedName>
    <definedName name="MLNK96cf39092d4a4d1091888f312fd86fef" localSheetId="2" hidden="1">#REF!</definedName>
    <definedName name="MLNK96cf39092d4a4d1091888f312fd86fef" hidden="1">#REF!</definedName>
    <definedName name="MLNK97b396b4e0c742f2bcb4ed41561c3eae" localSheetId="2" hidden="1">#REF!</definedName>
    <definedName name="MLNK97b396b4e0c742f2bcb4ed41561c3eae" localSheetId="1" hidden="1">#REF!</definedName>
    <definedName name="MLNK97b396b4e0c742f2bcb4ed41561c3eae" hidden="1">#REF!</definedName>
    <definedName name="MLNKa001e84b75b64cc79a8cb729c31d55ae" localSheetId="2" hidden="1">'[1]Blueprint UW'!#REF!</definedName>
    <definedName name="MLNKa001e84b75b64cc79a8cb729c31d55ae" hidden="1">'[1]Blueprint UW'!#REF!</definedName>
    <definedName name="MLNKa0a2d2e945fc45389fcbd62524ad231c" localSheetId="2" hidden="1">#REF!</definedName>
    <definedName name="MLNKa0a2d2e945fc45389fcbd62524ad231c" localSheetId="1" hidden="1">#REF!</definedName>
    <definedName name="MLNKa0a2d2e945fc45389fcbd62524ad231c" hidden="1">#REF!</definedName>
    <definedName name="MLNKa3870f5dfebc44cb8a4d0f5c9e42bbe8" localSheetId="2" hidden="1">#REF!</definedName>
    <definedName name="MLNKa3870f5dfebc44cb8a4d0f5c9e42bbe8" hidden="1">#REF!</definedName>
    <definedName name="MLNKa914c2c829f84143bb42976975631f72" localSheetId="2" hidden="1">#REF!</definedName>
    <definedName name="MLNKa914c2c829f84143bb42976975631f72" localSheetId="1" hidden="1">#REF!</definedName>
    <definedName name="MLNKa914c2c829f84143bb42976975631f72" hidden="1">#REF!</definedName>
    <definedName name="MLNKacf322a75e9549e4bf504244859cc41e" localSheetId="2" hidden="1">#REF!</definedName>
    <definedName name="MLNKacf322a75e9549e4bf504244859cc41e" localSheetId="1" hidden="1">#REF!</definedName>
    <definedName name="MLNKacf322a75e9549e4bf504244859cc41e" hidden="1">#REF!</definedName>
    <definedName name="MLNKb03389e2789e407c90c389d48dc491d6" localSheetId="2" hidden="1">'[1]Blueprint UW'!#REF!</definedName>
    <definedName name="MLNKb03389e2789e407c90c389d48dc491d6" hidden="1">'[1]Blueprint UW'!#REF!</definedName>
    <definedName name="MLNKb219686e31064f869ed45698f5b2c53f" localSheetId="2" hidden="1">#REF!</definedName>
    <definedName name="MLNKb219686e31064f869ed45698f5b2c53f" hidden="1">#REF!</definedName>
    <definedName name="MLNKb4172fc52fbc46789c23a425cf846643" localSheetId="2" hidden="1">#REF!</definedName>
    <definedName name="MLNKb4172fc52fbc46789c23a425cf846643" localSheetId="1" hidden="1">#REF!</definedName>
    <definedName name="MLNKb4172fc52fbc46789c23a425cf846643" hidden="1">#REF!</definedName>
    <definedName name="MLNKb424cbd318e641a8aade9c0a46de9f23" localSheetId="2" hidden="1">#REF!</definedName>
    <definedName name="MLNKb424cbd318e641a8aade9c0a46de9f23" hidden="1">#REF!</definedName>
    <definedName name="MLNKb86a845e978a41a0abaed9a0055a7916" localSheetId="2" hidden="1">#REF!</definedName>
    <definedName name="MLNKb86a845e978a41a0abaed9a0055a7916" localSheetId="1" hidden="1">#REF!</definedName>
    <definedName name="MLNKb86a845e978a41a0abaed9a0055a7916" hidden="1">#REF!</definedName>
    <definedName name="MLNKb8ea5f3558314cdba0689a311bfef6f5" localSheetId="2" hidden="1">#REF!</definedName>
    <definedName name="MLNKb8ea5f3558314cdba0689a311bfef6f5" localSheetId="1" hidden="1">#REF!</definedName>
    <definedName name="MLNKb8ea5f3558314cdba0689a311bfef6f5" hidden="1">#REF!</definedName>
    <definedName name="MLNKc059adae8ef94d7f9791a565ce55c8a1" localSheetId="2" hidden="1">#REF!</definedName>
    <definedName name="MLNKc059adae8ef94d7f9791a565ce55c8a1" localSheetId="1" hidden="1">#REF!</definedName>
    <definedName name="MLNKc059adae8ef94d7f9791a565ce55c8a1" hidden="1">#REF!</definedName>
    <definedName name="MLNKc5e3878d48994ab684237c23e151a109" localSheetId="2" hidden="1">#REF!</definedName>
    <definedName name="MLNKc5e3878d48994ab684237c23e151a109" hidden="1">#REF!</definedName>
    <definedName name="MLNKc8475be9e7ad491da11c323d7d731386" localSheetId="2" hidden="1">'[1]Blueprint UW'!#REF!</definedName>
    <definedName name="MLNKc8475be9e7ad491da11c323d7d731386" hidden="1">'[1]Blueprint UW'!#REF!</definedName>
    <definedName name="MLNKcd0a6eb3343246f8ad7982bc5d88b6b1" localSheetId="2" hidden="1">#REF!</definedName>
    <definedName name="MLNKcd0a6eb3343246f8ad7982bc5d88b6b1" hidden="1">#REF!</definedName>
    <definedName name="MLNKdcd71f36c42a49679d800704b5fdafa2" localSheetId="2" hidden="1">#REF!</definedName>
    <definedName name="MLNKdcd71f36c42a49679d800704b5fdafa2" localSheetId="1" hidden="1">#REF!</definedName>
    <definedName name="MLNKdcd71f36c42a49679d800704b5fdafa2" hidden="1">#REF!</definedName>
    <definedName name="MLNKe09e3ce9a6e34632a202f334b4d99a3e" localSheetId="2" hidden="1">#REF!</definedName>
    <definedName name="MLNKe09e3ce9a6e34632a202f334b4d99a3e" hidden="1">#REF!</definedName>
    <definedName name="MLNKe0b3ddd28cd44462932210c75a477ff3" localSheetId="2" hidden="1">'[1]Blueprint UW'!#REF!</definedName>
    <definedName name="MLNKe0b3ddd28cd44462932210c75a477ff3" hidden="1">'[1]Blueprint UW'!#REF!</definedName>
    <definedName name="MLNKe51f12bcf6274e949bc360cbe85b19e0" localSheetId="2" hidden="1">#REF!</definedName>
    <definedName name="MLNKe51f12bcf6274e949bc360cbe85b19e0" localSheetId="1" hidden="1">#REF!</definedName>
    <definedName name="MLNKe51f12bcf6274e949bc360cbe85b19e0" hidden="1">#REF!</definedName>
    <definedName name="MLNKeb6ce885a90b49d88cb11f1e9b517986" localSheetId="2" hidden="1">#REF!</definedName>
    <definedName name="MLNKeb6ce885a90b49d88cb11f1e9b517986" localSheetId="1" hidden="1">#REF!</definedName>
    <definedName name="MLNKeb6ce885a90b49d88cb11f1e9b517986" hidden="1">#REF!</definedName>
    <definedName name="MLNKf33a1e789b6241d6bafa4db58f19b59a" localSheetId="2" hidden="1">#REF!</definedName>
    <definedName name="MLNKf33a1e789b6241d6bafa4db58f19b59a" hidden="1">#REF!</definedName>
    <definedName name="mmmmmmmmmmmmm" localSheetId="2" hidden="1">{"rtn",#N/A,FALSE,"RTN";"tables",#N/A,FALSE,"RTN";"cf",#N/A,FALSE,"CF";"stats",#N/A,FALSE,"Stats";"prop",#N/A,FALSE,"Prop"}</definedName>
    <definedName name="mmmmmmmmmmmmm" localSheetId="1" hidden="1">{"rtn",#N/A,FALSE,"RTN";"tables",#N/A,FALSE,"RTN";"cf",#N/A,FALSE,"CF";"stats",#N/A,FALSE,"Stats";"prop",#N/A,FALSE,"Prop"}</definedName>
    <definedName name="mmmmmmmmmmmmm" hidden="1">{"rtn",#N/A,FALSE,"RTN";"tables",#N/A,FALSE,"RTN";"cf",#N/A,FALSE,"CF";"stats",#N/A,FALSE,"Stats";"prop",#N/A,FALSE,"Prop"}</definedName>
    <definedName name="nnnnnnnnnnnnnnnn" localSheetId="2" hidden="1">{"print 1.6",#N/A,FALSE,"Sheet1";"print 2.6",#N/A,FALSE,"Sheet1";"print 3.6",#N/A,FALSE,"Sheet1";"print 4.6",#N/A,FALSE,"Sheet1";"print 5.6",#N/A,FALSE,"Sheet1";"print 6.6",#N/A,FALSE,"Sheet1"}</definedName>
    <definedName name="nnnnnnnnnnnnnnnn" localSheetId="1" hidden="1">{"print 1.6",#N/A,FALSE,"Sheet1";"print 2.6",#N/A,FALSE,"Sheet1";"print 3.6",#N/A,FALSE,"Sheet1";"print 4.6",#N/A,FALSE,"Sheet1";"print 5.6",#N/A,FALSE,"Sheet1";"print 6.6",#N/A,FALSE,"Sheet1"}</definedName>
    <definedName name="nnnnnnnnnnnnnnnn" hidden="1">{"print 1.6",#N/A,FALSE,"Sheet1";"print 2.6",#N/A,FALSE,"Sheet1";"print 3.6",#N/A,FALSE,"Sheet1";"print 4.6",#N/A,FALSE,"Sheet1";"print 5.6",#N/A,FALSE,"Sheet1";"print 6.6",#N/A,FALSE,"Sheet1"}</definedName>
    <definedName name="PR_TAX_PERC">LOOKUPS!$T$5</definedName>
    <definedName name="PRO_FORMA_NSNG_LABOR">LOOKUPS!$A$29</definedName>
    <definedName name="qq" localSheetId="2" hidden="1">{"Outflow 1",#N/A,FALSE,"Outflows-Inflows";"Outflow 2",#N/A,FALSE,"Outflows-Inflows";"Inflow 1",#N/A,FALSE,"Outflows-Inflows";"Inflow 2",#N/A,FALSE,"Outflows-Inflows"}</definedName>
    <definedName name="qq" localSheetId="1" hidden="1">{"Outflow 1",#N/A,FALSE,"Outflows-Inflows";"Outflow 2",#N/A,FALSE,"Outflows-Inflows";"Inflow 1",#N/A,FALSE,"Outflows-Inflows";"Inflow 2",#N/A,FALSE,"Outflows-Inflows"}</definedName>
    <definedName name="qq" hidden="1">{"Outflow 1",#N/A,FALSE,"Outflows-Inflows";"Outflow 2",#N/A,FALSE,"Outflows-Inflows";"Inflow 1",#N/A,FALSE,"Outflows-Inflows";"Inflow 2",#N/A,FALSE,"Outflows-Inflows"}</definedName>
    <definedName name="qqq" localSheetId="2" hidden="1">{"Outflow 1",#N/A,FALSE,"Outflows-Inflows";"Outflow 2",#N/A,FALSE,"Outflows-Inflows";"Inflow 1",#N/A,FALSE,"Outflows-Inflows";"Inflow 2",#N/A,FALSE,"Outflows-Inflows"}</definedName>
    <definedName name="qqq" localSheetId="1" hidden="1">{"Outflow 1",#N/A,FALSE,"Outflows-Inflows";"Outflow 2",#N/A,FALSE,"Outflows-Inflows";"Inflow 1",#N/A,FALSE,"Outflows-Inflows";"Inflow 2",#N/A,FALSE,"Outflows-Inflows"}</definedName>
    <definedName name="qqq" hidden="1">{"Outflow 1",#N/A,FALSE,"Outflows-Inflows";"Outflow 2",#N/A,FALSE,"Outflows-Inflows";"Inflow 1",#N/A,FALSE,"Outflows-Inflows";"Inflow 2",#N/A,FALSE,"Outflows-Inflows"}</definedName>
    <definedName name="qqqq" localSheetId="2" hidden="1">{"print 1.6",#N/A,FALSE,"Sheet1";"print 2.6",#N/A,FALSE,"Sheet1";"print 3.6",#N/A,FALSE,"Sheet1";"print 4.6",#N/A,FALSE,"Sheet1";"print 5.6",#N/A,FALSE,"Sheet1";"print 6.6",#N/A,FALSE,"Sheet1"}</definedName>
    <definedName name="qqqq" localSheetId="1" hidden="1">{"print 1.6",#N/A,FALSE,"Sheet1";"print 2.6",#N/A,FALSE,"Sheet1";"print 3.6",#N/A,FALSE,"Sheet1";"print 4.6",#N/A,FALSE,"Sheet1";"print 5.6",#N/A,FALSE,"Sheet1";"print 6.6",#N/A,FALSE,"Sheet1"}</definedName>
    <definedName name="qqqq" hidden="1">{"print 1.6",#N/A,FALSE,"Sheet1";"print 2.6",#N/A,FALSE,"Sheet1";"print 3.6",#N/A,FALSE,"Sheet1";"print 4.6",#N/A,FALSE,"Sheet1";"print 5.6",#N/A,FALSE,"Sheet1";"print 6.6",#N/A,FALSE,"Sheet1"}</definedName>
    <definedName name="qrewrqwerqw3e" localSheetId="2" hidden="1">{"Outflow 1",#N/A,FALSE,"Outflows-Inflows";"Outflow 2",#N/A,FALSE,"Outflows-Inflows";"Inflow 1",#N/A,FALSE,"Outflows-Inflows";"Inflow 2",#N/A,FALSE,"Outflows-Inflows"}</definedName>
    <definedName name="qrewrqwerqw3e" localSheetId="1" hidden="1">{"Outflow 1",#N/A,FALSE,"Outflows-Inflows";"Outflow 2",#N/A,FALSE,"Outflows-Inflows";"Inflow 1",#N/A,FALSE,"Outflows-Inflows";"Inflow 2",#N/A,FALSE,"Outflows-Inflows"}</definedName>
    <definedName name="qrewrqwerqw3e" hidden="1">{"Outflow 1",#N/A,FALSE,"Outflows-Inflows";"Outflow 2",#N/A,FALSE,"Outflows-Inflows";"Inflow 1",#N/A,FALSE,"Outflows-Inflows";"Inflow 2",#N/A,FALSE,"Outflows-Inflows"}</definedName>
    <definedName name="Ramp" localSheetId="2" hidden="1">{"rtn",#N/A,FALSE,"RTN";"tables",#N/A,FALSE,"RTN";"cf",#N/A,FALSE,"CF";"stats",#N/A,FALSE,"Stats";"prop",#N/A,FALSE,"Prop"}</definedName>
    <definedName name="Ramp" localSheetId="1" hidden="1">{"rtn",#N/A,FALSE,"RTN";"tables",#N/A,FALSE,"RTN";"cf",#N/A,FALSE,"CF";"stats",#N/A,FALSE,"Stats";"prop",#N/A,FALSE,"Prop"}</definedName>
    <definedName name="Ramp" hidden="1">{"rtn",#N/A,FALSE,"RTN";"tables",#N/A,FALSE,"RTN";"cf",#N/A,FALSE,"CF";"stats",#N/A,FALSE,"Stats";"prop",#N/A,FALSE,"Prop"}</definedName>
    <definedName name="REV_LOOKUP">LOOKUPS!$F$3:$G$10</definedName>
    <definedName name="saa" localSheetId="2" hidden="1">{"rtn",#N/A,FALSE,"RTN";"tables",#N/A,FALSE,"RTN";"cf",#N/A,FALSE,"CF";"stats",#N/A,FALSE,"Stats";"prop",#N/A,FALSE,"Prop"}</definedName>
    <definedName name="saa" localSheetId="1" hidden="1">{"rtn",#N/A,FALSE,"RTN";"tables",#N/A,FALSE,"RTN";"cf",#N/A,FALSE,"CF";"stats",#N/A,FALSE,"Stats";"prop",#N/A,FALSE,"Prop"}</definedName>
    <definedName name="saa" hidden="1">{"rtn",#N/A,FALSE,"RTN";"tables",#N/A,FALSE,"RTN";"cf",#N/A,FALSE,"CF";"stats",#N/A,FALSE,"Stats";"prop",#N/A,FALSE,"Prop"}</definedName>
    <definedName name="sas" localSheetId="2" hidden="1">{"Outflow 1",#N/A,FALSE,"Outflows-Inflows";"Outflow 2",#N/A,FALSE,"Outflows-Inflows";"Inflow 1",#N/A,FALSE,"Outflows-Inflows";"Inflow 2",#N/A,FALSE,"Outflows-Inflows"}</definedName>
    <definedName name="sas" localSheetId="1" hidden="1">{"Outflow 1",#N/A,FALSE,"Outflows-Inflows";"Outflow 2",#N/A,FALSE,"Outflows-Inflows";"Inflow 1",#N/A,FALSE,"Outflows-Inflows";"Inflow 2",#N/A,FALSE,"Outflows-Inflows"}</definedName>
    <definedName name="sas" hidden="1">{"Outflow 1",#N/A,FALSE,"Outflows-Inflows";"Outflow 2",#N/A,FALSE,"Outflows-Inflows";"Inflow 1",#N/A,FALSE,"Outflows-Inflows";"Inflow 2",#N/A,FALSE,"Outflows-Inflows"}</definedName>
    <definedName name="sdfass" localSheetId="2" hidden="1">{"Outflow 1",#N/A,FALSE,"Outflows-Inflows";"Outflow 2",#N/A,FALSE,"Outflows-Inflows";"Inflow 1",#N/A,FALSE,"Outflows-Inflows";"Inflow 2",#N/A,FALSE,"Outflows-Inflows"}</definedName>
    <definedName name="sdfass" localSheetId="1" hidden="1">{"Outflow 1",#N/A,FALSE,"Outflows-Inflows";"Outflow 2",#N/A,FALSE,"Outflows-Inflows";"Inflow 1",#N/A,FALSE,"Outflows-Inflows";"Inflow 2",#N/A,FALSE,"Outflows-Inflows"}</definedName>
    <definedName name="sdfass" hidden="1">{"Outflow 1",#N/A,FALSE,"Outflows-Inflows";"Outflow 2",#N/A,FALSE,"Outflows-Inflows";"Inflow 1",#N/A,FALSE,"Outflows-Inflows";"Inflow 2",#N/A,FALSE,"Outflows-Inflows"}</definedName>
    <definedName name="ss" localSheetId="2" hidden="1">{"rtn",#N/A,FALSE,"RTN";"tables",#N/A,FALSE,"RTN";"cf",#N/A,FALSE,"CF";"stats",#N/A,FALSE,"Stats";"prop",#N/A,FALSE,"Prop"}</definedName>
    <definedName name="ss" localSheetId="1" hidden="1">{"rtn",#N/A,FALSE,"RTN";"tables",#N/A,FALSE,"RTN";"cf",#N/A,FALSE,"CF";"stats",#N/A,FALSE,"Stats";"prop",#N/A,FALSE,"Prop"}</definedName>
    <definedName name="ss" hidden="1">{"rtn",#N/A,FALSE,"RTN";"tables",#N/A,FALSE,"RTN";"cf",#N/A,FALSE,"CF";"stats",#N/A,FALSE,"Stats";"prop",#N/A,FALSE,"Prop"}</definedName>
    <definedName name="sss" localSheetId="2" hidden="1">{"Outflow 1",#N/A,FALSE,"Outflows-Inflows";"Outflow 2",#N/A,FALSE,"Outflows-Inflows";"Inflow 1",#N/A,FALSE,"Outflows-Inflows";"Inflow 2",#N/A,FALSE,"Outflows-Inflows"}</definedName>
    <definedName name="sss" localSheetId="1" hidden="1">{"Outflow 1",#N/A,FALSE,"Outflows-Inflows";"Outflow 2",#N/A,FALSE,"Outflows-Inflows";"Inflow 1",#N/A,FALSE,"Outflows-Inflows";"Inflow 2",#N/A,FALSE,"Outflows-Inflows"}</definedName>
    <definedName name="sss" hidden="1">{"Outflow 1",#N/A,FALSE,"Outflows-Inflows";"Outflow 2",#N/A,FALSE,"Outflows-Inflows";"Inflow 1",#N/A,FALSE,"Outflows-Inflows";"Inflow 2",#N/A,FALSE,"Outflows-Inflows"}</definedName>
    <definedName name="ssss" localSheetId="2" hidden="1">{"print 1.6",#N/A,FALSE,"Sheet1";"print 2.6",#N/A,FALSE,"Sheet1";"print 3.6",#N/A,FALSE,"Sheet1";"print 4.6",#N/A,FALSE,"Sheet1";"print 5.6",#N/A,FALSE,"Sheet1";"print 6.6",#N/A,FALSE,"Sheet1"}</definedName>
    <definedName name="ssss" localSheetId="1" hidden="1">{"print 1.6",#N/A,FALSE,"Sheet1";"print 2.6",#N/A,FALSE,"Sheet1";"print 3.6",#N/A,FALSE,"Sheet1";"print 4.6",#N/A,FALSE,"Sheet1";"print 5.6",#N/A,FALSE,"Sheet1";"print 6.6",#N/A,FALSE,"Sheet1"}</definedName>
    <definedName name="ssss" hidden="1">{"print 1.6",#N/A,FALSE,"Sheet1";"print 2.6",#N/A,FALSE,"Sheet1";"print 3.6",#N/A,FALSE,"Sheet1";"print 4.6",#N/A,FALSE,"Sheet1";"print 5.6",#N/A,FALSE,"Sheet1";"print 6.6",#N/A,FALSE,"Sheet1"}</definedName>
    <definedName name="sssss" localSheetId="2" hidden="1">{"print 1.6",#N/A,FALSE,"Sheet1";"print 2.6",#N/A,FALSE,"Sheet1";"print 3.6",#N/A,FALSE,"Sheet1";"print 4.6",#N/A,FALSE,"Sheet1";"print 5.6",#N/A,FALSE,"Sheet1";"print 6.6",#N/A,FALSE,"Sheet1"}</definedName>
    <definedName name="sssss" localSheetId="1" hidden="1">{"print 1.6",#N/A,FALSE,"Sheet1";"print 2.6",#N/A,FALSE,"Sheet1";"print 3.6",#N/A,FALSE,"Sheet1";"print 4.6",#N/A,FALSE,"Sheet1";"print 5.6",#N/A,FALSE,"Sheet1";"print 6.6",#N/A,FALSE,"Sheet1"}</definedName>
    <definedName name="sssss" hidden="1">{"print 1.6",#N/A,FALSE,"Sheet1";"print 2.6",#N/A,FALSE,"Sheet1";"print 3.6",#N/A,FALSE,"Sheet1";"print 4.6",#N/A,FALSE,"Sheet1";"print 5.6",#N/A,FALSE,"Sheet1";"print 6.6",#N/A,FALSE,"Sheet1"}</definedName>
    <definedName name="ssssss" localSheetId="2" hidden="1">{"rtn",#N/A,FALSE,"RTN";"tables",#N/A,FALSE,"RTN";"cf",#N/A,FALSE,"CF";"stats",#N/A,FALSE,"Stats";"prop",#N/A,FALSE,"Prop"}</definedName>
    <definedName name="ssssss" localSheetId="1" hidden="1">{"rtn",#N/A,FALSE,"RTN";"tables",#N/A,FALSE,"RTN";"cf",#N/A,FALSE,"CF";"stats",#N/A,FALSE,"Stats";"prop",#N/A,FALSE,"Prop"}</definedName>
    <definedName name="ssssss" hidden="1">{"rtn",#N/A,FALSE,"RTN";"tables",#N/A,FALSE,"RTN";"cf",#N/A,FALSE,"CF";"stats",#N/A,FALSE,"Stats";"prop",#N/A,FALSE,"Prop"}</definedName>
    <definedName name="sssssss" localSheetId="2" hidden="1">{"print 1.6",#N/A,FALSE,"Sheet1";"print 2.6",#N/A,FALSE,"Sheet1";"print 3.6",#N/A,FALSE,"Sheet1";"print 4.6",#N/A,FALSE,"Sheet1";"print 5.6",#N/A,FALSE,"Sheet1";"print 6.6",#N/A,FALSE,"Sheet1"}</definedName>
    <definedName name="sssssss" localSheetId="1" hidden="1">{"print 1.6",#N/A,FALSE,"Sheet1";"print 2.6",#N/A,FALSE,"Sheet1";"print 3.6",#N/A,FALSE,"Sheet1";"print 4.6",#N/A,FALSE,"Sheet1";"print 5.6",#N/A,FALSE,"Sheet1";"print 6.6",#N/A,FALSE,"Sheet1"}</definedName>
    <definedName name="sssssss" hidden="1">{"print 1.6",#N/A,FALSE,"Sheet1";"print 2.6",#N/A,FALSE,"Sheet1";"print 3.6",#N/A,FALSE,"Sheet1";"print 4.6",#N/A,FALSE,"Sheet1";"print 5.6",#N/A,FALSE,"Sheet1";"print 6.6",#N/A,FALSE,"Sheet1"}</definedName>
    <definedName name="ssssssss" localSheetId="2" hidden="1">{"rtn",#N/A,FALSE,"RTN";"tables",#N/A,FALSE,"RTN";"cf",#N/A,FALSE,"CF";"stats",#N/A,FALSE,"Stats";"prop",#N/A,FALSE,"Prop"}</definedName>
    <definedName name="ssssssss" localSheetId="1" hidden="1">{"rtn",#N/A,FALSE,"RTN";"tables",#N/A,FALSE,"RTN";"cf",#N/A,FALSE,"CF";"stats",#N/A,FALSE,"Stats";"prop",#N/A,FALSE,"Prop"}</definedName>
    <definedName name="ssssssss" hidden="1">{"rtn",#N/A,FALSE,"RTN";"tables",#N/A,FALSE,"RTN";"cf",#N/A,FALSE,"CF";"stats",#N/A,FALSE,"Stats";"prop",#N/A,FALSE,"Prop"}</definedName>
    <definedName name="sssssssss" localSheetId="2" hidden="1">{"rtn",#N/A,FALSE,"RTN";"tables",#N/A,FALSE,"RTN";"cf",#N/A,FALSE,"CF";"stats",#N/A,FALSE,"Stats";"prop",#N/A,FALSE,"Prop"}</definedName>
    <definedName name="sssssssss" localSheetId="1" hidden="1">{"rtn",#N/A,FALSE,"RTN";"tables",#N/A,FALSE,"RTN";"cf",#N/A,FALSE,"CF";"stats",#N/A,FALSE,"Stats";"prop",#N/A,FALSE,"Prop"}</definedName>
    <definedName name="sssssssss" hidden="1">{"rtn",#N/A,FALSE,"RTN";"tables",#N/A,FALSE,"RTN";"cf",#N/A,FALSE,"CF";"stats",#N/A,FALSE,"Stats";"prop",#N/A,FALSE,"Prop"}</definedName>
    <definedName name="temp" localSheetId="2" hidden="1">{"Outflow 1",#N/A,FALSE,"Outflows-Inflows";"Outflow 2",#N/A,FALSE,"Outflows-Inflows";"Inflow 1",#N/A,FALSE,"Outflows-Inflows";"Inflow 2",#N/A,FALSE,"Outflows-Inflows"}</definedName>
    <definedName name="temp" localSheetId="1" hidden="1">{"Outflow 1",#N/A,FALSE,"Outflows-Inflows";"Outflow 2",#N/A,FALSE,"Outflows-Inflows";"Inflow 1",#N/A,FALSE,"Outflows-Inflows";"Inflow 2",#N/A,FALSE,"Outflows-Inflows"}</definedName>
    <definedName name="temp" hidden="1">{"Outflow 1",#N/A,FALSE,"Outflows-Inflows";"Outflow 2",#N/A,FALSE,"Outflows-Inflows";"Inflow 1",#N/A,FALSE,"Outflows-Inflows";"Inflow 2",#N/A,FALSE,"Outflows-Inflows"}</definedName>
    <definedName name="Therapies_PPD">LOOKUPS!$A$32</definedName>
    <definedName name="v" localSheetId="2" hidden="1">{"rtn",#N/A,FALSE,"RTN";"tables",#N/A,FALSE,"RTN";"cf",#N/A,FALSE,"CF";"stats",#N/A,FALSE,"Stats";"prop",#N/A,FALSE,"Prop"}</definedName>
    <definedName name="v" localSheetId="1" hidden="1">{"rtn",#N/A,FALSE,"RTN";"tables",#N/A,FALSE,"RTN";"cf",#N/A,FALSE,"CF";"stats",#N/A,FALSE,"Stats";"prop",#N/A,FALSE,"Prop"}</definedName>
    <definedName name="v" hidden="1">{"rtn",#N/A,FALSE,"RTN";"tables",#N/A,FALSE,"RTN";"cf",#N/A,FALSE,"CF";"stats",#N/A,FALSE,"Stats";"prop",#N/A,FALSE,"Prop"}</definedName>
    <definedName name="VIG_HKPNG_PPD">LOOKUPS!$A$22</definedName>
    <definedName name="VIG_LNDRY_PPD">LOOKUPS!$A$26</definedName>
    <definedName name="VIG_NURSING_PPD">LOOKUPS!$A$18</definedName>
    <definedName name="w" localSheetId="2" hidden="1">{"rtn",#N/A,FALSE,"RTN";"tables",#N/A,FALSE,"RTN";"cf",#N/A,FALSE,"CF";"stats",#N/A,FALSE,"Stats";"prop",#N/A,FALSE,"Prop"}</definedName>
    <definedName name="w" localSheetId="1" hidden="1">{"rtn",#N/A,FALSE,"RTN";"tables",#N/A,FALSE,"RTN";"cf",#N/A,FALSE,"CF";"stats",#N/A,FALSE,"Stats";"prop",#N/A,FALSE,"Prop"}</definedName>
    <definedName name="w" hidden="1">{"rtn",#N/A,FALSE,"RTN";"tables",#N/A,FALSE,"RTN";"cf",#N/A,FALSE,"CF";"stats",#N/A,FALSE,"Stats";"prop",#N/A,FALSE,"Prop"}</definedName>
    <definedName name="WAGE_CODING">LOOKUPS!$A$2</definedName>
    <definedName name="WC_MULTIPLIER">LOOKUPS!$A$14</definedName>
    <definedName name="wrn.Acquiror." localSheetId="2" hidden="1">{"a_Acquiror Assumptions",#N/A,FALSE,"Financials";"b_Acquiror Income Statement",#N/A,FALSE,"Financials";"c_Acquiror Balance Sheet",#N/A,FALSE,"Financials";"d_Acquiror Cashflow Statement",#N/A,FALSE,"Financials"}</definedName>
    <definedName name="wrn.Acquiror." localSheetId="1" hidden="1">{"a_Acquiror Assumptions",#N/A,FALSE,"Financials";"b_Acquiror Income Statement",#N/A,FALSE,"Financials";"c_Acquiror Balance Sheet",#N/A,FALSE,"Financials";"d_Acquiror Cashflow Statement",#N/A,FALSE,"Financials"}</definedName>
    <definedName name="wrn.Acquiror." hidden="1">{"a_Acquiror Assumptions",#N/A,FALSE,"Financials";"b_Acquiror Income Statement",#N/A,FALSE,"Financials";"c_Acquiror Balance Sheet",#N/A,FALSE,"Financials";"d_Acquiror Cashflow Statement",#N/A,FALSE,"Financials"}</definedName>
    <definedName name="wrn.All._.Agings._.with._.Excess._.Cash." localSheetId="2" hidden="1">{"Birch Grove Aging",#N/A,FALSE,"Windward Garden";"Cedar Ridge Aging",#N/A,FALSE,"Windward Garden";"Harbor Hill Aging",#N/A,FALSE,"Windward Garden";"Marshwood Aging",#N/A,FALSE,"Windward Garden";"Oak Grove Aging",#N/A,FALSE,"Windward Garden";"Orono Aging",#N/A,FALSE,"Windward Garden";"Pine Point Aging",#N/A,FALSE,"Windward Garden";"River Ridge Aging",#N/A,FALSE,"Windward Garden";"Sandy River Aging",#N/A,FALSE,"Windward Garden";"Sedgewood Aging",#N/A,FALSE,"Windward Garden";"Springbrook Aging",#N/A,FALSE,"Windward Garden";"Windward Aging",#N/A,FALSE,"Windward Garden"}</definedName>
    <definedName name="wrn.All._.Agings._.with._.Excess._.Cash." localSheetId="1" hidden="1">{"Birch Grove Aging",#N/A,FALSE,"Windward Garden";"Cedar Ridge Aging",#N/A,FALSE,"Windward Garden";"Harbor Hill Aging",#N/A,FALSE,"Windward Garden";"Marshwood Aging",#N/A,FALSE,"Windward Garden";"Oak Grove Aging",#N/A,FALSE,"Windward Garden";"Orono Aging",#N/A,FALSE,"Windward Garden";"Pine Point Aging",#N/A,FALSE,"Windward Garden";"River Ridge Aging",#N/A,FALSE,"Windward Garden";"Sandy River Aging",#N/A,FALSE,"Windward Garden";"Sedgewood Aging",#N/A,FALSE,"Windward Garden";"Springbrook Aging",#N/A,FALSE,"Windward Garden";"Windward Aging",#N/A,FALSE,"Windward Garden"}</definedName>
    <definedName name="wrn.All._.Agings._.with._.Excess._.Cash." hidden="1">{"Birch Grove Aging",#N/A,FALSE,"Windward Garden";"Cedar Ridge Aging",#N/A,FALSE,"Windward Garden";"Harbor Hill Aging",#N/A,FALSE,"Windward Garden";"Marshwood Aging",#N/A,FALSE,"Windward Garden";"Oak Grove Aging",#N/A,FALSE,"Windward Garden";"Orono Aging",#N/A,FALSE,"Windward Garden";"Pine Point Aging",#N/A,FALSE,"Windward Garden";"River Ridge Aging",#N/A,FALSE,"Windward Garden";"Sandy River Aging",#N/A,FALSE,"Windward Garden";"Sedgewood Aging",#N/A,FALSE,"Windward Garden";"Springbrook Aging",#N/A,FALSE,"Windward Garden";"Windward Aging",#N/A,FALSE,"Windward Garden"}</definedName>
    <definedName name="wrn.Group._.B._.Report." localSheetId="2" hidden="1">{"Both Reports Group B",#N/A,FALSE,"Group B";"Both Reports S33",#N/A,FALSE,"S33 Weymouth";"Both Reports S35",#N/A,FALSE,"S35 Woodcrest";"Both Reports S36",#N/A,FALSE,"S36 Cheshire";"Both Reports S38",#N/A,FALSE,"S38 Newton"}</definedName>
    <definedName name="wrn.Group._.B._.Report." localSheetId="1" hidden="1">{"Both Reports Group B",#N/A,FALSE,"Group B";"Both Reports S33",#N/A,FALSE,"S33 Weymouth";"Both Reports S35",#N/A,FALSE,"S35 Woodcrest";"Both Reports S36",#N/A,FALSE,"S36 Cheshire";"Both Reports S38",#N/A,FALSE,"S38 Newton"}</definedName>
    <definedName name="wrn.Group._.B._.Report." hidden="1">{"Both Reports Group B",#N/A,FALSE,"Group B";"Both Reports S33",#N/A,FALSE,"S33 Weymouth";"Both Reports S35",#N/A,FALSE,"S35 Woodcrest";"Both Reports S36",#N/A,FALSE,"S36 Cheshire";"Both Reports S38",#N/A,FALSE,"S38 Newton"}</definedName>
    <definedName name="wrn.Group._.C._.Report." localSheetId="2" hidden="1">{"Group C",#N/A,FALSE,"Group C";"Total Bev",#N/A,FALSE,"S01 Beverly";"Total S15",#N/A,FALSE,"S15 Lexington";"Both Reports S26",#N/A,FALSE,"S26 Peabody";"Both Reports S27",#N/A,FALSE,"S27 Randolph";"Both Reports S31",#N/A,FALSE,"S31 Westport";"Both Reports S34",#N/A,FALSE,"S34 Wilmington Woods"}</definedName>
    <definedName name="wrn.Group._.C._.Report." localSheetId="1" hidden="1">{"Group C",#N/A,FALSE,"Group C";"Total Bev",#N/A,FALSE,"S01 Beverly";"Total S15",#N/A,FALSE,"S15 Lexington";"Both Reports S26",#N/A,FALSE,"S26 Peabody";"Both Reports S27",#N/A,FALSE,"S27 Randolph";"Both Reports S31",#N/A,FALSE,"S31 Westport";"Both Reports S34",#N/A,FALSE,"S34 Wilmington Woods"}</definedName>
    <definedName name="wrn.Group._.C._.Report." hidden="1">{"Group C",#N/A,FALSE,"Group C";"Total Bev",#N/A,FALSE,"S01 Beverly";"Total S15",#N/A,FALSE,"S15 Lexington";"Both Reports S26",#N/A,FALSE,"S26 Peabody";"Both Reports S27",#N/A,FALSE,"S27 Randolph";"Both Reports S31",#N/A,FALSE,"S31 Westport";"Both Reports S34",#N/A,FALSE,"S34 Wilmington Woods"}</definedName>
    <definedName name="wrn.Income." localSheetId="2" hidden="1">{"Income",#N/A,FALSE,"Recap IS"}</definedName>
    <definedName name="wrn.Income." localSheetId="1" hidden="1">{"Income",#N/A,FALSE,"Recap IS"}</definedName>
    <definedName name="wrn.Income." hidden="1">{"Income",#N/A,FALSE,"Recap IS"}</definedName>
    <definedName name="wrn.Print._.4." localSheetId="2" hidden="1">{"Outflow 1",#N/A,FALSE,"Outflows-Inflows";"Outflow 2",#N/A,FALSE,"Outflows-Inflows";"Inflow 1",#N/A,FALSE,"Outflows-Inflows";"Inflow 2",#N/A,FALSE,"Outflows-Inflows"}</definedName>
    <definedName name="wrn.Print._.4." localSheetId="1" hidden="1">{"Outflow 1",#N/A,FALSE,"Outflows-Inflows";"Outflow 2",#N/A,FALSE,"Outflows-Inflows";"Inflow 1",#N/A,FALSE,"Outflows-Inflows";"Inflow 2",#N/A,FALSE,"Outflows-Inflows"}</definedName>
    <definedName name="wrn.Print._.4." hidden="1">{"Outflow 1",#N/A,FALSE,"Outflows-Inflows";"Outflow 2",#N/A,FALSE,"Outflows-Inflows";"Inflow 1",#N/A,FALSE,"Outflows-Inflows";"Inflow 2",#N/A,FALSE,"Outflows-Inflows"}</definedName>
    <definedName name="wrn.Print._.6." localSheetId="2" hidden="1">{"print 1.6",#N/A,FALSE,"Sheet1";"print 2.6",#N/A,FALSE,"Sheet1";"print 3.6",#N/A,FALSE,"Sheet1";"print 4.6",#N/A,FALSE,"Sheet1";"print 5.6",#N/A,FALSE,"Sheet1";"print 6.6",#N/A,FALSE,"Sheet1"}</definedName>
    <definedName name="wrn.Print._.6." localSheetId="1" hidden="1">{"print 1.6",#N/A,FALSE,"Sheet1";"print 2.6",#N/A,FALSE,"Sheet1";"print 3.6",#N/A,FALSE,"Sheet1";"print 4.6",#N/A,FALSE,"Sheet1";"print 5.6",#N/A,FALSE,"Sheet1";"print 6.6",#N/A,FALSE,"Sheet1"}</definedName>
    <definedName name="wrn.Print._.6." hidden="1">{"print 1.6",#N/A,FALSE,"Sheet1";"print 2.6",#N/A,FALSE,"Sheet1";"print 3.6",#N/A,FALSE,"Sheet1";"print 4.6",#N/A,FALSE,"Sheet1";"print 5.6",#N/A,FALSE,"Sheet1";"print 6.6",#N/A,FALSE,"Sheet1"}</definedName>
    <definedName name="wrn.Pro._.Forma." localSheetId="2" hidden="1">{"i_Pro Forma Opening B.S.",#N/A,FALSE,"Financials";"j_Pro Forma Assumptions",#N/A,FALSE,"Financials";"k_Pro Forma Income Statement",#N/A,FALSE,"Financials";"l_Pro Forma Balance Sheet",#N/A,FALSE,"Financials";"m_Pro Forma Cashflow Statement",#N/A,FALSE,"Financials";"n_Pro Forma Depreciation Schedule",#N/A,FALSE,"Financials"}</definedName>
    <definedName name="wrn.Pro._.Forma." localSheetId="1" hidden="1">{"i_Pro Forma Opening B.S.",#N/A,FALSE,"Financials";"j_Pro Forma Assumptions",#N/A,FALSE,"Financials";"k_Pro Forma Income Statement",#N/A,FALSE,"Financials";"l_Pro Forma Balance Sheet",#N/A,FALSE,"Financials";"m_Pro Forma Cashflow Statement",#N/A,FALSE,"Financials";"n_Pro Forma Depreciation Schedule",#N/A,FALSE,"Financials"}</definedName>
    <definedName name="wrn.Pro._.Forma." hidden="1">{"i_Pro Forma Opening B.S.",#N/A,FALSE,"Financials";"j_Pro Forma Assumptions",#N/A,FALSE,"Financials";"k_Pro Forma Income Statement",#N/A,FALSE,"Financials";"l_Pro Forma Balance Sheet",#N/A,FALSE,"Financials";"m_Pro Forma Cashflow Statement",#N/A,FALSE,"Financials";"n_Pro Forma Depreciation Schedule",#N/A,FALSE,"Financials"}</definedName>
    <definedName name="wrn.review." localSheetId="2" hidden="1">{#N/A,#N/A,FALSE,"FRONTPG";#N/A,#N/A,FALSE,"STATUSREC";#N/A,#N/A,FALSE,"INELIG";#N/A,#N/A,FALSE,"ARACTIV";#N/A,#N/A,FALSE,"ARANAL";#N/A,#N/A,FALSE,"INVANAL";#N/A,#N/A,FALSE,"BALSHT";#N/A,#N/A,FALSE,"INCSTMT";#N/A,#N/A,FALSE,"CASHFLOW";#N/A,#N/A,FALSE,"TREND";#N/A,#N/A,FALSE,"LIAB"}</definedName>
    <definedName name="wrn.review." localSheetId="1" hidden="1">{#N/A,#N/A,FALSE,"FRONTPG";#N/A,#N/A,FALSE,"STATUSREC";#N/A,#N/A,FALSE,"INELIG";#N/A,#N/A,FALSE,"ARACTIV";#N/A,#N/A,FALSE,"ARANAL";#N/A,#N/A,FALSE,"INVANAL";#N/A,#N/A,FALSE,"BALSHT";#N/A,#N/A,FALSE,"INCSTMT";#N/A,#N/A,FALSE,"CASHFLOW";#N/A,#N/A,FALSE,"TREND";#N/A,#N/A,FALSE,"LIAB"}</definedName>
    <definedName name="wrn.review." hidden="1">{#N/A,#N/A,FALSE,"FRONTPG";#N/A,#N/A,FALSE,"STATUSREC";#N/A,#N/A,FALSE,"INELIG";#N/A,#N/A,FALSE,"ARACTIV";#N/A,#N/A,FALSE,"ARANAL";#N/A,#N/A,FALSE,"INVANAL";#N/A,#N/A,FALSE,"BALSHT";#N/A,#N/A,FALSE,"INCSTMT";#N/A,#N/A,FALSE,"CASHFLOW";#N/A,#N/A,FALSE,"TREND";#N/A,#N/A,FALSE,"LIAB"}</definedName>
    <definedName name="wrn.Target." localSheetId="2" hidden="1">{"e_Target Assumptions",#N/A,FALSE,"Financials";"f_Target Income Statement",#N/A,FALSE,"Financials";"g_Target Balance Sheet",#N/A,FALSE,"Financials";"h_Target Cashflow Statement",#N/A,FALSE,"Financials"}</definedName>
    <definedName name="wrn.Target." localSheetId="1" hidden="1">{"e_Target Assumptions",#N/A,FALSE,"Financials";"f_Target Income Statement",#N/A,FALSE,"Financials";"g_Target Balance Sheet",#N/A,FALSE,"Financials";"h_Target Cashflow Statement",#N/A,FALSE,"Financials"}</definedName>
    <definedName name="wrn.Target." hidden="1">{"e_Target Assumptions",#N/A,FALSE,"Financials";"f_Target Income Statement",#N/A,FALSE,"Financials";"g_Target Balance Sheet",#N/A,FALSE,"Financials";"h_Target Cashflow Statement",#N/A,FALSE,"Financials"}</definedName>
    <definedName name="wrn.Totals." localSheetId="2" hidden="1">{"Total Conn",#N/A,FALSE,"Sun CT Properties";"Total Sun",#N/A,FALSE,"Sun Portfolio";"Total SNF",#N/A,FALSE,"Sun SNFs";"Total Hospitals",#N/A,FALSE,"Sun Hospitals";"Total Bev",#N/A,FALSE,"S01 Beverly";"Total S02",#N/A,FALSE,"S02 Boston";"Total S03",#N/A,FALSE,"S03 Bowling Green";"Total S04",#N/A,FALSE,"S04 Bradenton";"Total S05",#N/A,FALSE,"S05 Bristol";"Total S06",#N/A,FALSE,"S06 Brookline";"Total S07",#N/A,FALSE,"S07 Camden";"Total S08",#N/A,FALSE,"S08 Concord";"Total S09",#N/A,FALSE,"S09 South Conn";"Total S10",#N/A,FALSE,"S10 Danbury";"Total S11",#N/A,FALSE,"S11 Darien";"Total S12",#N/A,FALSE,"S12 Denver";"Total S13",#N/A,FALSE,"S13 East Longmeadow";"Total S14",#N/A,FALSE,"S14 Holyoke";"Total S15",#N/A,FALSE,"S15 Lexington";"Total S16",#N/A,FALSE,"S16 Lowell";"Total S17",#N/A,FALSE,"S17 Marlton";"Total S18",#N/A,FALSE,"S18 Milford";"Total S19",#N/A,FALSE,"S19 Millbury";"Total S20",#N/A,FALSE,"S20 Montgomery";"Total S21",#N/A,FALSE,"S21 New Bedford";"Total S22",#N/A,FALSE,"S22 Newington";"Total S23",#N/A,FALSE,"S23 Northshore";"Total S24",#N/A,FALSE,"S24 Northampton";"Total S25",#N/A,FALSE,"S25 Oradell";"Total S26",#N/A,FALSE,"S26 Peabody";"Total S27",#N/A,FALSE,"S27 Randolph";"Total S28",#N/A,FALSE,"S28 San Joaquin";"Total S29",#N/A,FALSE,"S29 Southbury";"Total S30",#N/A,FALSE,"S30 Stamford";"Total S31",#N/A,FALSE,"S31 Westport";"Total S32",#N/A,FALSE,"S32 Wethersfield";"Total S33",#N/A,FALSE,"S33 Weymouth";"Total S34",#N/A,FALSE,"S34 Wilmington Woods";"Total S35",#N/A,FALSE,"S35 Woodcrest";"Total S36",#N/A,FALSE,"S36 Cheshire";"Total S37",#N/A,FALSE,"S37 Kentfield";"Total S38",#N/A,FALSE,"S38 Newton"}</definedName>
    <definedName name="wrn.Totals." localSheetId="1" hidden="1">{"Total Conn",#N/A,FALSE,"Sun CT Properties";"Total Sun",#N/A,FALSE,"Sun Portfolio";"Total SNF",#N/A,FALSE,"Sun SNFs";"Total Hospitals",#N/A,FALSE,"Sun Hospitals";"Total Bev",#N/A,FALSE,"S01 Beverly";"Total S02",#N/A,FALSE,"S02 Boston";"Total S03",#N/A,FALSE,"S03 Bowling Green";"Total S04",#N/A,FALSE,"S04 Bradenton";"Total S05",#N/A,FALSE,"S05 Bristol";"Total S06",#N/A,FALSE,"S06 Brookline";"Total S07",#N/A,FALSE,"S07 Camden";"Total S08",#N/A,FALSE,"S08 Concord";"Total S09",#N/A,FALSE,"S09 South Conn";"Total S10",#N/A,FALSE,"S10 Danbury";"Total S11",#N/A,FALSE,"S11 Darien";"Total S12",#N/A,FALSE,"S12 Denver";"Total S13",#N/A,FALSE,"S13 East Longmeadow";"Total S14",#N/A,FALSE,"S14 Holyoke";"Total S15",#N/A,FALSE,"S15 Lexington";"Total S16",#N/A,FALSE,"S16 Lowell";"Total S17",#N/A,FALSE,"S17 Marlton";"Total S18",#N/A,FALSE,"S18 Milford";"Total S19",#N/A,FALSE,"S19 Millbury";"Total S20",#N/A,FALSE,"S20 Montgomery";"Total S21",#N/A,FALSE,"S21 New Bedford";"Total S22",#N/A,FALSE,"S22 Newington";"Total S23",#N/A,FALSE,"S23 Northshore";"Total S24",#N/A,FALSE,"S24 Northampton";"Total S25",#N/A,FALSE,"S25 Oradell";"Total S26",#N/A,FALSE,"S26 Peabody";"Total S27",#N/A,FALSE,"S27 Randolph";"Total S28",#N/A,FALSE,"S28 San Joaquin";"Total S29",#N/A,FALSE,"S29 Southbury";"Total S30",#N/A,FALSE,"S30 Stamford";"Total S31",#N/A,FALSE,"S31 Westport";"Total S32",#N/A,FALSE,"S32 Wethersfield";"Total S33",#N/A,FALSE,"S33 Weymouth";"Total S34",#N/A,FALSE,"S34 Wilmington Woods";"Total S35",#N/A,FALSE,"S35 Woodcrest";"Total S36",#N/A,FALSE,"S36 Cheshire";"Total S37",#N/A,FALSE,"S37 Kentfield";"Total S38",#N/A,FALSE,"S38 Newton"}</definedName>
    <definedName name="wrn.Totals." hidden="1">{"Total Conn",#N/A,FALSE,"Sun CT Properties";"Total Sun",#N/A,FALSE,"Sun Portfolio";"Total SNF",#N/A,FALSE,"Sun SNFs";"Total Hospitals",#N/A,FALSE,"Sun Hospitals";"Total Bev",#N/A,FALSE,"S01 Beverly";"Total S02",#N/A,FALSE,"S02 Boston";"Total S03",#N/A,FALSE,"S03 Bowling Green";"Total S04",#N/A,FALSE,"S04 Bradenton";"Total S05",#N/A,FALSE,"S05 Bristol";"Total S06",#N/A,FALSE,"S06 Brookline";"Total S07",#N/A,FALSE,"S07 Camden";"Total S08",#N/A,FALSE,"S08 Concord";"Total S09",#N/A,FALSE,"S09 South Conn";"Total S10",#N/A,FALSE,"S10 Danbury";"Total S11",#N/A,FALSE,"S11 Darien";"Total S12",#N/A,FALSE,"S12 Denver";"Total S13",#N/A,FALSE,"S13 East Longmeadow";"Total S14",#N/A,FALSE,"S14 Holyoke";"Total S15",#N/A,FALSE,"S15 Lexington";"Total S16",#N/A,FALSE,"S16 Lowell";"Total S17",#N/A,FALSE,"S17 Marlton";"Total S18",#N/A,FALSE,"S18 Milford";"Total S19",#N/A,FALSE,"S19 Millbury";"Total S20",#N/A,FALSE,"S20 Montgomery";"Total S21",#N/A,FALSE,"S21 New Bedford";"Total S22",#N/A,FALSE,"S22 Newington";"Total S23",#N/A,FALSE,"S23 Northshore";"Total S24",#N/A,FALSE,"S24 Northampton";"Total S25",#N/A,FALSE,"S25 Oradell";"Total S26",#N/A,FALSE,"S26 Peabody";"Total S27",#N/A,FALSE,"S27 Randolph";"Total S28",#N/A,FALSE,"S28 San Joaquin";"Total S29",#N/A,FALSE,"S29 Southbury";"Total S30",#N/A,FALSE,"S30 Stamford";"Total S31",#N/A,FALSE,"S31 Westport";"Total S32",#N/A,FALSE,"S32 Wethersfield";"Total S33",#N/A,FALSE,"S33 Weymouth";"Total S34",#N/A,FALSE,"S34 Wilmington Woods";"Total S35",#N/A,FALSE,"S35 Woodcrest";"Total S36",#N/A,FALSE,"S36 Cheshire";"Total S37",#N/A,FALSE,"S37 Kentfield";"Total S38",#N/A,FALSE,"S38 Newton"}</definedName>
    <definedName name="wrn.Tycon._.Model." localSheetId="2" hidden="1">{"rtn",#N/A,FALSE,"RTN";"tables",#N/A,FALSE,"RTN";"cf",#N/A,FALSE,"CF";"stats",#N/A,FALSE,"Stats";"prop",#N/A,FALSE,"Prop"}</definedName>
    <definedName name="wrn.Tycon._.Model." localSheetId="1" hidden="1">{"rtn",#N/A,FALSE,"RTN";"tables",#N/A,FALSE,"RTN";"cf",#N/A,FALSE,"CF";"stats",#N/A,FALSE,"Stats";"prop",#N/A,FALSE,"Prop"}</definedName>
    <definedName name="wrn.Tycon._.Model." hidden="1">{"rtn",#N/A,FALSE,"RTN";"tables",#N/A,FALSE,"RTN";"cf",#N/A,FALSE,"CF";"stats",#N/A,FALSE,"Stats";"prop",#N/A,FALSE,"Prop"}</definedName>
    <definedName name="wrn.z_ALL." localSheetId="2" hidden="1">{"a_Acquiror Assumptions",#N/A,FALSE,"Financials";"b_Acquiror Income Statement",#N/A,FALSE,"Financials";"c_Acquiror Balance Sheet",#N/A,FALSE,"Financials";"d_Acquiror Cashflow Statement",#N/A,FALSE,"Financials";"e_Target Assumptions",#N/A,FALSE,"Financials";"f_Target Income Statement",#N/A,FALSE,"Financials";"g_Target Balance Sheet",#N/A,FALSE,"Financials";"h_Target Cashflow Statement",#N/A,FALSE,"Financials";"i_Pro Forma Opening B.S.",#N/A,FALSE,"Financials";"j_Pro Forma Assumptions",#N/A,FALSE,"Financials";"k_Pro Forma Income Statement",#N/A,FALSE,"Financials";"l_Pro Forma Balance Sheet",#N/A,FALSE,"Financials";"m_Pro Forma Cashflow Statement",#N/A,FALSE,"Financials";"n_Pro Forma Depreciation Schedule",#N/A,FALSE,"Financials"}</definedName>
    <definedName name="wrn.z_ALL." localSheetId="1" hidden="1">{"a_Acquiror Assumptions",#N/A,FALSE,"Financials";"b_Acquiror Income Statement",#N/A,FALSE,"Financials";"c_Acquiror Balance Sheet",#N/A,FALSE,"Financials";"d_Acquiror Cashflow Statement",#N/A,FALSE,"Financials";"e_Target Assumptions",#N/A,FALSE,"Financials";"f_Target Income Statement",#N/A,FALSE,"Financials";"g_Target Balance Sheet",#N/A,FALSE,"Financials";"h_Target Cashflow Statement",#N/A,FALSE,"Financials";"i_Pro Forma Opening B.S.",#N/A,FALSE,"Financials";"j_Pro Forma Assumptions",#N/A,FALSE,"Financials";"k_Pro Forma Income Statement",#N/A,FALSE,"Financials";"l_Pro Forma Balance Sheet",#N/A,FALSE,"Financials";"m_Pro Forma Cashflow Statement",#N/A,FALSE,"Financials";"n_Pro Forma Depreciation Schedule",#N/A,FALSE,"Financials"}</definedName>
    <definedName name="wrn.z_ALL." hidden="1">{"a_Acquiror Assumptions",#N/A,FALSE,"Financials";"b_Acquiror Income Statement",#N/A,FALSE,"Financials";"c_Acquiror Balance Sheet",#N/A,FALSE,"Financials";"d_Acquiror Cashflow Statement",#N/A,FALSE,"Financials";"e_Target Assumptions",#N/A,FALSE,"Financials";"f_Target Income Statement",#N/A,FALSE,"Financials";"g_Target Balance Sheet",#N/A,FALSE,"Financials";"h_Target Cashflow Statement",#N/A,FALSE,"Financials";"i_Pro Forma Opening B.S.",#N/A,FALSE,"Financials";"j_Pro Forma Assumptions",#N/A,FALSE,"Financials";"k_Pro Forma Income Statement",#N/A,FALSE,"Financials";"l_Pro Forma Balance Sheet",#N/A,FALSE,"Financials";"m_Pro Forma Cashflow Statement",#N/A,FALSE,"Financials";"n_Pro Forma Depreciation Schedule",#N/A,FALSE,"Financials"}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44" i="3" l="1"/>
  <c r="V43" i="3"/>
  <c r="V37" i="3"/>
  <c r="A11" i="5"/>
  <c r="Q76" i="9"/>
  <c r="Q68" i="9"/>
  <c r="Q37" i="9"/>
  <c r="Q34" i="9"/>
  <c r="Q30" i="9"/>
  <c r="Q19" i="9"/>
  <c r="R1" i="9"/>
  <c r="Q1" i="9"/>
  <c r="Q74" i="3"/>
  <c r="Q75" i="3" s="1"/>
  <c r="Q36" i="3"/>
  <c r="Q19" i="3"/>
  <c r="V45" i="9"/>
  <c r="V44" i="9"/>
  <c r="U53" i="9"/>
  <c r="U47" i="9"/>
  <c r="U46" i="9"/>
  <c r="U43" i="9"/>
  <c r="U42" i="9"/>
  <c r="U39" i="9"/>
  <c r="R3" i="5"/>
  <c r="Q3" i="5"/>
  <c r="P3" i="5"/>
  <c r="V1" i="9" l="1"/>
  <c r="U1" i="9"/>
  <c r="N1" i="9"/>
  <c r="M1" i="9"/>
  <c r="J1" i="9"/>
  <c r="I1" i="9"/>
  <c r="F1" i="9"/>
  <c r="E1" i="9"/>
  <c r="V34" i="9"/>
  <c r="V30" i="9"/>
  <c r="V25" i="9"/>
  <c r="V24" i="9"/>
  <c r="V23" i="9"/>
  <c r="V22" i="9"/>
  <c r="V21" i="9"/>
  <c r="U34" i="9"/>
  <c r="U30" i="9"/>
  <c r="U28" i="9"/>
  <c r="U19" i="9"/>
  <c r="U13" i="9"/>
  <c r="U12" i="9"/>
  <c r="U11" i="9"/>
  <c r="U10" i="9"/>
  <c r="U9" i="9"/>
  <c r="M34" i="9"/>
  <c r="M30" i="9"/>
  <c r="M19" i="9"/>
  <c r="I34" i="9"/>
  <c r="I30" i="9"/>
  <c r="I19" i="9"/>
  <c r="E34" i="9"/>
  <c r="E30" i="9"/>
  <c r="L134" i="5"/>
  <c r="L133" i="5"/>
  <c r="L132" i="5"/>
  <c r="L131" i="5"/>
  <c r="L130" i="5"/>
  <c r="L129" i="5"/>
  <c r="L128" i="5"/>
  <c r="L127" i="5"/>
  <c r="L126" i="5"/>
  <c r="L125" i="5"/>
  <c r="L124" i="5"/>
  <c r="L123" i="5"/>
  <c r="L122" i="5"/>
  <c r="L121" i="5"/>
  <c r="L120" i="5"/>
  <c r="L119" i="5"/>
  <c r="L118" i="5"/>
  <c r="L117" i="5"/>
  <c r="L116" i="5"/>
  <c r="L115" i="5"/>
  <c r="L114" i="5"/>
  <c r="L113" i="5"/>
  <c r="L112" i="5"/>
  <c r="L111" i="5"/>
  <c r="L110" i="5"/>
  <c r="L109" i="5"/>
  <c r="L108" i="5"/>
  <c r="L107" i="5"/>
  <c r="L106" i="5"/>
  <c r="L105" i="5"/>
  <c r="L104" i="5"/>
  <c r="U76" i="9"/>
  <c r="M76" i="9"/>
  <c r="U37" i="9"/>
  <c r="M37" i="9"/>
  <c r="I37" i="9"/>
  <c r="E37" i="9"/>
  <c r="E19" i="9"/>
  <c r="AG11" i="9"/>
  <c r="AF11" i="9"/>
  <c r="AE11" i="9"/>
  <c r="AD11" i="9"/>
  <c r="AC11" i="9"/>
  <c r="J5" i="9"/>
  <c r="F5" i="9"/>
  <c r="I75" i="9" l="1"/>
  <c r="I76" i="9" s="1"/>
  <c r="E75" i="9"/>
  <c r="E76" i="9" s="1"/>
  <c r="U75" i="9"/>
  <c r="B167" i="4"/>
  <c r="B172" i="4"/>
  <c r="B173" i="4"/>
  <c r="J134" i="5"/>
  <c r="J133" i="5"/>
  <c r="F157" i="4"/>
  <c r="E157" i="4"/>
  <c r="D157" i="4"/>
  <c r="C157" i="4"/>
  <c r="D154" i="4"/>
  <c r="E154" i="4"/>
  <c r="E155" i="4" s="1"/>
  <c r="F154" i="4"/>
  <c r="D155" i="4"/>
  <c r="F155" i="4"/>
  <c r="C155" i="4"/>
  <c r="C47" i="4"/>
  <c r="B154" i="4" l="1"/>
  <c r="B156" i="4"/>
  <c r="B158" i="4"/>
  <c r="B159" i="4"/>
  <c r="B160" i="4"/>
  <c r="B161" i="4"/>
  <c r="B162" i="4"/>
  <c r="B163" i="4"/>
  <c r="B164" i="4"/>
  <c r="B165" i="4"/>
  <c r="B166" i="4"/>
  <c r="B168" i="4"/>
  <c r="B169" i="4"/>
  <c r="B170" i="4"/>
  <c r="B171" i="4"/>
  <c r="B174" i="4"/>
  <c r="B175" i="4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D177" i="4"/>
  <c r="F177" i="4"/>
  <c r="D178" i="4"/>
  <c r="F178" i="4"/>
  <c r="D179" i="4"/>
  <c r="F179" i="4"/>
  <c r="D180" i="4"/>
  <c r="F180" i="4"/>
  <c r="D181" i="4"/>
  <c r="F181" i="4"/>
  <c r="D182" i="4"/>
  <c r="F182" i="4"/>
  <c r="D183" i="4"/>
  <c r="F183" i="4"/>
  <c r="D184" i="4"/>
  <c r="F184" i="4"/>
  <c r="D185" i="4"/>
  <c r="F185" i="4"/>
  <c r="D186" i="4"/>
  <c r="F186" i="4"/>
  <c r="D187" i="4"/>
  <c r="F187" i="4"/>
  <c r="D188" i="4"/>
  <c r="F188" i="4"/>
  <c r="D189" i="4"/>
  <c r="F189" i="4"/>
  <c r="D190" i="4"/>
  <c r="F190" i="4"/>
  <c r="D191" i="4"/>
  <c r="F191" i="4"/>
  <c r="D192" i="4"/>
  <c r="F192" i="4"/>
  <c r="D193" i="4"/>
  <c r="F193" i="4"/>
  <c r="D194" i="4"/>
  <c r="F194" i="4"/>
  <c r="A195" i="4"/>
  <c r="D195" i="4" s="1"/>
  <c r="C195" i="4" s="1"/>
  <c r="A196" i="4"/>
  <c r="D196" i="4" s="1"/>
  <c r="C196" i="4" s="1"/>
  <c r="F196" i="4"/>
  <c r="A197" i="4"/>
  <c r="D197" i="4" s="1"/>
  <c r="C197" i="4" s="1"/>
  <c r="F197" i="4"/>
  <c r="D198" i="4"/>
  <c r="F198" i="4"/>
  <c r="D199" i="4"/>
  <c r="F199" i="4"/>
  <c r="D200" i="4"/>
  <c r="F200" i="4"/>
  <c r="D201" i="4"/>
  <c r="F201" i="4"/>
  <c r="D202" i="4"/>
  <c r="F202" i="4"/>
  <c r="D203" i="4"/>
  <c r="F203" i="4"/>
  <c r="D204" i="4"/>
  <c r="F204" i="4"/>
  <c r="D205" i="4"/>
  <c r="F205" i="4"/>
  <c r="D206" i="4"/>
  <c r="F206" i="4"/>
  <c r="D207" i="4"/>
  <c r="F207" i="4"/>
  <c r="D208" i="4"/>
  <c r="F208" i="4"/>
  <c r="A209" i="4"/>
  <c r="D209" i="4" s="1"/>
  <c r="C209" i="4" s="1"/>
  <c r="F176" i="4"/>
  <c r="A176" i="4"/>
  <c r="E176" i="4" s="1"/>
  <c r="E195" i="4" l="1"/>
  <c r="B209" i="4"/>
  <c r="B196" i="4"/>
  <c r="B195" i="4"/>
  <c r="E197" i="4"/>
  <c r="E198" i="4"/>
  <c r="E209" i="4"/>
  <c r="E177" i="4"/>
  <c r="E196" i="4"/>
  <c r="D176" i="4"/>
  <c r="C176" i="4" s="1"/>
  <c r="L103" i="5"/>
  <c r="L102" i="5"/>
  <c r="L101" i="5"/>
  <c r="L100" i="5"/>
  <c r="L99" i="5"/>
  <c r="L98" i="5"/>
  <c r="L97" i="5"/>
  <c r="L96" i="5"/>
  <c r="L95" i="5"/>
  <c r="L94" i="5"/>
  <c r="L93" i="5"/>
  <c r="L92" i="5"/>
  <c r="L91" i="5"/>
  <c r="L90" i="5"/>
  <c r="L89" i="5"/>
  <c r="L88" i="5"/>
  <c r="L87" i="5"/>
  <c r="L86" i="5"/>
  <c r="L85" i="5"/>
  <c r="L84" i="5"/>
  <c r="L83" i="5"/>
  <c r="L82" i="5"/>
  <c r="L81" i="5"/>
  <c r="L80" i="5"/>
  <c r="L79" i="5"/>
  <c r="L78" i="5"/>
  <c r="L77" i="5"/>
  <c r="L76" i="5"/>
  <c r="L75" i="5"/>
  <c r="L74" i="5"/>
  <c r="L73" i="5"/>
  <c r="L72" i="5"/>
  <c r="L71" i="5"/>
  <c r="L70" i="5"/>
  <c r="L69" i="5"/>
  <c r="L68" i="5"/>
  <c r="L67" i="5"/>
  <c r="L66" i="5"/>
  <c r="L65" i="5"/>
  <c r="L64" i="5"/>
  <c r="L63" i="5"/>
  <c r="L62" i="5"/>
  <c r="L61" i="5"/>
  <c r="L60" i="5"/>
  <c r="L59" i="5"/>
  <c r="L58" i="5"/>
  <c r="L57" i="5"/>
  <c r="L56" i="5"/>
  <c r="L55" i="5"/>
  <c r="L54" i="5"/>
  <c r="L53" i="5"/>
  <c r="L52" i="5"/>
  <c r="L51" i="5"/>
  <c r="L50" i="5"/>
  <c r="L49" i="5"/>
  <c r="L48" i="5"/>
  <c r="L47" i="5"/>
  <c r="L46" i="5"/>
  <c r="L45" i="5"/>
  <c r="L44" i="5"/>
  <c r="L43" i="5"/>
  <c r="L42" i="5"/>
  <c r="L41" i="5"/>
  <c r="L40" i="5"/>
  <c r="L39" i="5"/>
  <c r="L38" i="5"/>
  <c r="L37" i="5"/>
  <c r="L36" i="5"/>
  <c r="L35" i="5"/>
  <c r="L34" i="5"/>
  <c r="L33" i="5"/>
  <c r="L32" i="5"/>
  <c r="L31" i="5"/>
  <c r="L30" i="5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8" i="5"/>
  <c r="L7" i="5"/>
  <c r="L6" i="5"/>
  <c r="L5" i="5"/>
  <c r="L4" i="5"/>
  <c r="L3" i="5"/>
  <c r="C177" i="4" l="1"/>
  <c r="E178" i="4"/>
  <c r="C198" i="4"/>
  <c r="E199" i="4"/>
  <c r="B198" i="4"/>
  <c r="E179" i="4" l="1"/>
  <c r="C178" i="4"/>
  <c r="E200" i="4"/>
  <c r="C199" i="4"/>
  <c r="U75" i="3"/>
  <c r="B199" i="4"/>
  <c r="E201" i="4" l="1"/>
  <c r="C200" i="4"/>
  <c r="C179" i="4"/>
  <c r="E180" i="4"/>
  <c r="M75" i="3"/>
  <c r="AF11" i="3"/>
  <c r="M19" i="3"/>
  <c r="B200" i="4"/>
  <c r="B179" i="4"/>
  <c r="E202" i="4" l="1"/>
  <c r="C201" i="4"/>
  <c r="E181" i="4"/>
  <c r="C180" i="4"/>
  <c r="M36" i="3"/>
  <c r="B201" i="4"/>
  <c r="B180" i="4"/>
  <c r="C181" i="4" l="1"/>
  <c r="E182" i="4"/>
  <c r="E203" i="4"/>
  <c r="C202" i="4"/>
  <c r="M74" i="3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AJ47" i="4"/>
  <c r="AK47" i="4"/>
  <c r="AL47" i="4"/>
  <c r="AM47" i="4"/>
  <c r="B202" i="4"/>
  <c r="B181" i="4"/>
  <c r="E204" i="4" l="1"/>
  <c r="C203" i="4"/>
  <c r="E183" i="4"/>
  <c r="C182" i="4"/>
  <c r="B203" i="4"/>
  <c r="B182" i="4"/>
  <c r="E184" i="4" l="1"/>
  <c r="C183" i="4"/>
  <c r="C204" i="4"/>
  <c r="E205" i="4"/>
  <c r="A4" i="4"/>
  <c r="A5" i="4"/>
  <c r="A6" i="4"/>
  <c r="A7" i="4"/>
  <c r="A8" i="4"/>
  <c r="A9" i="4"/>
  <c r="A10" i="4"/>
  <c r="A11" i="4"/>
  <c r="A12" i="4"/>
  <c r="A13" i="4"/>
  <c r="A14" i="4"/>
  <c r="A17" i="4"/>
  <c r="A18" i="4"/>
  <c r="A19" i="4"/>
  <c r="A20" i="4"/>
  <c r="A21" i="4"/>
  <c r="A22" i="4"/>
  <c r="A23" i="4"/>
  <c r="A29" i="4"/>
  <c r="A30" i="4"/>
  <c r="A32" i="4"/>
  <c r="A33" i="4"/>
  <c r="A34" i="4"/>
  <c r="A35" i="4"/>
  <c r="B183" i="4"/>
  <c r="B204" i="4"/>
  <c r="E185" i="4" l="1"/>
  <c r="C184" i="4"/>
  <c r="C205" i="4"/>
  <c r="E206" i="4"/>
  <c r="J5" i="3"/>
  <c r="F5" i="3"/>
  <c r="V155" i="4"/>
  <c r="W155" i="4"/>
  <c r="X155" i="4"/>
  <c r="Y155" i="4"/>
  <c r="Z155" i="4"/>
  <c r="AA155" i="4"/>
  <c r="AB155" i="4"/>
  <c r="AC155" i="4"/>
  <c r="AD155" i="4"/>
  <c r="AE155" i="4"/>
  <c r="AF155" i="4"/>
  <c r="AG155" i="4"/>
  <c r="AH155" i="4"/>
  <c r="AI155" i="4"/>
  <c r="AJ155" i="4"/>
  <c r="AK155" i="4"/>
  <c r="AL155" i="4"/>
  <c r="AM155" i="4"/>
  <c r="K155" i="4"/>
  <c r="L155" i="4"/>
  <c r="M155" i="4"/>
  <c r="N155" i="4"/>
  <c r="O155" i="4"/>
  <c r="P155" i="4"/>
  <c r="Q155" i="4"/>
  <c r="R155" i="4"/>
  <c r="S155" i="4"/>
  <c r="T155" i="4"/>
  <c r="U155" i="4"/>
  <c r="J155" i="4"/>
  <c r="B205" i="4"/>
  <c r="B184" i="4"/>
  <c r="E186" i="4" l="1"/>
  <c r="C185" i="4"/>
  <c r="E207" i="4"/>
  <c r="C206" i="4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3" i="5"/>
  <c r="B82" i="4"/>
  <c r="B83" i="4"/>
  <c r="B206" i="4"/>
  <c r="B185" i="4"/>
  <c r="E187" i="4" l="1"/>
  <c r="C186" i="4"/>
  <c r="E208" i="4"/>
  <c r="C208" i="4" s="1"/>
  <c r="C207" i="4"/>
  <c r="AG11" i="3"/>
  <c r="AE11" i="3"/>
  <c r="K47" i="4"/>
  <c r="L47" i="4"/>
  <c r="M47" i="4"/>
  <c r="N47" i="4"/>
  <c r="O47" i="4"/>
  <c r="P47" i="4"/>
  <c r="Q47" i="4"/>
  <c r="R47" i="4"/>
  <c r="J47" i="4"/>
  <c r="D46" i="4"/>
  <c r="F46" i="4"/>
  <c r="D40" i="4"/>
  <c r="F40" i="4"/>
  <c r="D41" i="4"/>
  <c r="F41" i="4"/>
  <c r="D42" i="4"/>
  <c r="F42" i="4"/>
  <c r="D43" i="4"/>
  <c r="F43" i="4"/>
  <c r="D44" i="4"/>
  <c r="F44" i="4"/>
  <c r="D45" i="4"/>
  <c r="F45" i="4"/>
  <c r="F39" i="4"/>
  <c r="A39" i="4"/>
  <c r="B186" i="4"/>
  <c r="B207" i="4"/>
  <c r="B208" i="4"/>
  <c r="E188" i="4" l="1"/>
  <c r="C187" i="4"/>
  <c r="D39" i="4"/>
  <c r="C39" i="4" s="1"/>
  <c r="E39" i="4"/>
  <c r="E40" i="4" s="1"/>
  <c r="J104" i="5"/>
  <c r="J105" i="5"/>
  <c r="B22" i="4"/>
  <c r="F22" i="4"/>
  <c r="D23" i="4"/>
  <c r="C23" i="4" s="1"/>
  <c r="F23" i="4"/>
  <c r="F24" i="4"/>
  <c r="F21" i="4"/>
  <c r="E21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B178" i="4"/>
  <c r="B187" i="4"/>
  <c r="B177" i="4"/>
  <c r="E189" i="4" l="1"/>
  <c r="C188" i="4"/>
  <c r="E41" i="4"/>
  <c r="C40" i="4"/>
  <c r="E22" i="4"/>
  <c r="D22" i="4"/>
  <c r="C22" i="4" s="1"/>
  <c r="D24" i="4"/>
  <c r="E23" i="4"/>
  <c r="E24" i="4" s="1"/>
  <c r="E25" i="4" s="1"/>
  <c r="E26" i="4" s="1"/>
  <c r="E27" i="4" s="1"/>
  <c r="E28" i="4" s="1"/>
  <c r="B21" i="4"/>
  <c r="D21" i="4"/>
  <c r="C21" i="4" s="1"/>
  <c r="C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A84" i="4"/>
  <c r="E84" i="4" s="1"/>
  <c r="E85" i="4" s="1"/>
  <c r="E86" i="4" s="1"/>
  <c r="E82" i="4"/>
  <c r="D82" i="4"/>
  <c r="C82" i="4" s="1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A49" i="4"/>
  <c r="D49" i="4" s="1"/>
  <c r="C49" i="4" s="1"/>
  <c r="A48" i="4"/>
  <c r="B48" i="4" s="1"/>
  <c r="AK157" i="4"/>
  <c r="AK162" i="4" s="1"/>
  <c r="AI157" i="4"/>
  <c r="AD157" i="4"/>
  <c r="AD162" i="4" s="1"/>
  <c r="AB157" i="4"/>
  <c r="Z157" i="4"/>
  <c r="Z162" i="4" s="1"/>
  <c r="Z167" i="4" s="1"/>
  <c r="Z172" i="4" s="1"/>
  <c r="V157" i="4"/>
  <c r="V162" i="4" s="1"/>
  <c r="U157" i="4"/>
  <c r="S157" i="4"/>
  <c r="S162" i="4" s="1"/>
  <c r="S167" i="4" s="1"/>
  <c r="S172" i="4" s="1"/>
  <c r="O157" i="4"/>
  <c r="O162" i="4" s="1"/>
  <c r="M157" i="4"/>
  <c r="K157" i="4"/>
  <c r="K162" i="4" s="1"/>
  <c r="K167" i="4" s="1"/>
  <c r="K172" i="4" s="1"/>
  <c r="D47" i="4"/>
  <c r="AM157" i="4"/>
  <c r="AL157" i="4"/>
  <c r="AH157" i="4"/>
  <c r="AG157" i="4"/>
  <c r="AF157" i="4"/>
  <c r="AE157" i="4"/>
  <c r="AA157" i="4"/>
  <c r="Y157" i="4"/>
  <c r="X157" i="4"/>
  <c r="W157" i="4"/>
  <c r="T157" i="4"/>
  <c r="R157" i="4"/>
  <c r="Q157" i="4"/>
  <c r="P157" i="4"/>
  <c r="L157" i="4"/>
  <c r="J157" i="4"/>
  <c r="A37" i="4"/>
  <c r="D37" i="4" s="1"/>
  <c r="C37" i="4" s="1"/>
  <c r="AM36" i="4"/>
  <c r="AL36" i="4"/>
  <c r="AK36" i="4"/>
  <c r="AJ36" i="4"/>
  <c r="AI36" i="4"/>
  <c r="AH36" i="4"/>
  <c r="AG36" i="4"/>
  <c r="AF36" i="4"/>
  <c r="AE36" i="4"/>
  <c r="AD36" i="4"/>
  <c r="AC36" i="4"/>
  <c r="AB36" i="4"/>
  <c r="AA36" i="4"/>
  <c r="Z36" i="4"/>
  <c r="Y36" i="4"/>
  <c r="X36" i="4"/>
  <c r="W36" i="4"/>
  <c r="V36" i="4"/>
  <c r="U36" i="4"/>
  <c r="T36" i="4"/>
  <c r="S36" i="4"/>
  <c r="R36" i="4"/>
  <c r="Q36" i="4"/>
  <c r="P36" i="4"/>
  <c r="O36" i="4"/>
  <c r="N36" i="4"/>
  <c r="M36" i="4"/>
  <c r="L36" i="4"/>
  <c r="K36" i="4"/>
  <c r="J36" i="4"/>
  <c r="A36" i="4"/>
  <c r="B36" i="4" s="1"/>
  <c r="AM35" i="4"/>
  <c r="AL35" i="4"/>
  <c r="AK35" i="4"/>
  <c r="AJ35" i="4"/>
  <c r="AI35" i="4"/>
  <c r="AH35" i="4"/>
  <c r="AG35" i="4"/>
  <c r="AF35" i="4"/>
  <c r="AE35" i="4"/>
  <c r="AD35" i="4"/>
  <c r="AC35" i="4"/>
  <c r="AB35" i="4"/>
  <c r="AA35" i="4"/>
  <c r="Z35" i="4"/>
  <c r="Y35" i="4"/>
  <c r="X35" i="4"/>
  <c r="W35" i="4"/>
  <c r="V35" i="4"/>
  <c r="U35" i="4"/>
  <c r="T35" i="4"/>
  <c r="S35" i="4"/>
  <c r="R35" i="4"/>
  <c r="Q35" i="4"/>
  <c r="P35" i="4"/>
  <c r="O35" i="4"/>
  <c r="N35" i="4"/>
  <c r="M35" i="4"/>
  <c r="L35" i="4"/>
  <c r="K35" i="4"/>
  <c r="J35" i="4"/>
  <c r="AM34" i="4"/>
  <c r="AL34" i="4"/>
  <c r="AK34" i="4"/>
  <c r="AJ34" i="4"/>
  <c r="AI34" i="4"/>
  <c r="AH34" i="4"/>
  <c r="AG34" i="4"/>
  <c r="AF34" i="4"/>
  <c r="AE34" i="4"/>
  <c r="AD34" i="4"/>
  <c r="AC34" i="4"/>
  <c r="AB34" i="4"/>
  <c r="AA34" i="4"/>
  <c r="Z34" i="4"/>
  <c r="Y34" i="4"/>
  <c r="X34" i="4"/>
  <c r="W34" i="4"/>
  <c r="V34" i="4"/>
  <c r="U34" i="4"/>
  <c r="T34" i="4"/>
  <c r="S34" i="4"/>
  <c r="R34" i="4"/>
  <c r="Q34" i="4"/>
  <c r="P34" i="4"/>
  <c r="O34" i="4"/>
  <c r="N34" i="4"/>
  <c r="M34" i="4"/>
  <c r="L34" i="4"/>
  <c r="K34" i="4"/>
  <c r="J34" i="4"/>
  <c r="E34" i="4"/>
  <c r="AM33" i="4"/>
  <c r="AL33" i="4"/>
  <c r="AK33" i="4"/>
  <c r="AJ33" i="4"/>
  <c r="AI33" i="4"/>
  <c r="AH33" i="4"/>
  <c r="AG33" i="4"/>
  <c r="AF33" i="4"/>
  <c r="AE33" i="4"/>
  <c r="AD33" i="4"/>
  <c r="AC33" i="4"/>
  <c r="AB33" i="4"/>
  <c r="AA33" i="4"/>
  <c r="Z33" i="4"/>
  <c r="Y33" i="4"/>
  <c r="X33" i="4"/>
  <c r="W33" i="4"/>
  <c r="V33" i="4"/>
  <c r="U33" i="4"/>
  <c r="T33" i="4"/>
  <c r="S33" i="4"/>
  <c r="R33" i="4"/>
  <c r="Q33" i="4"/>
  <c r="P33" i="4"/>
  <c r="O33" i="4"/>
  <c r="N33" i="4"/>
  <c r="M33" i="4"/>
  <c r="L33" i="4"/>
  <c r="K33" i="4"/>
  <c r="J33" i="4"/>
  <c r="D33" i="4"/>
  <c r="C33" i="4" s="1"/>
  <c r="AM32" i="4"/>
  <c r="AL32" i="4"/>
  <c r="AK32" i="4"/>
  <c r="AJ32" i="4"/>
  <c r="AI32" i="4"/>
  <c r="AH32" i="4"/>
  <c r="AG32" i="4"/>
  <c r="AF32" i="4"/>
  <c r="AE32" i="4"/>
  <c r="AD32" i="4"/>
  <c r="AC32" i="4"/>
  <c r="AB32" i="4"/>
  <c r="AA32" i="4"/>
  <c r="Z32" i="4"/>
  <c r="Y32" i="4"/>
  <c r="X32" i="4"/>
  <c r="W32" i="4"/>
  <c r="V32" i="4"/>
  <c r="U32" i="4"/>
  <c r="T32" i="4"/>
  <c r="S32" i="4"/>
  <c r="R32" i="4"/>
  <c r="Q32" i="4"/>
  <c r="P32" i="4"/>
  <c r="O32" i="4"/>
  <c r="N32" i="4"/>
  <c r="M32" i="4"/>
  <c r="L32" i="4"/>
  <c r="K32" i="4"/>
  <c r="J32" i="4"/>
  <c r="B32" i="4"/>
  <c r="AM31" i="4"/>
  <c r="AL31" i="4"/>
  <c r="AK31" i="4"/>
  <c r="AJ31" i="4"/>
  <c r="AI31" i="4"/>
  <c r="AH31" i="4"/>
  <c r="AG31" i="4"/>
  <c r="AF31" i="4"/>
  <c r="AE31" i="4"/>
  <c r="AD31" i="4"/>
  <c r="AC31" i="4"/>
  <c r="AB31" i="4"/>
  <c r="AA31" i="4"/>
  <c r="Z31" i="4"/>
  <c r="Y31" i="4"/>
  <c r="X31" i="4"/>
  <c r="W31" i="4"/>
  <c r="V31" i="4"/>
  <c r="U31" i="4"/>
  <c r="T31" i="4"/>
  <c r="S31" i="4"/>
  <c r="R31" i="4"/>
  <c r="Q31" i="4"/>
  <c r="P31" i="4"/>
  <c r="O31" i="4"/>
  <c r="N31" i="4"/>
  <c r="M31" i="4"/>
  <c r="L31" i="4"/>
  <c r="K31" i="4"/>
  <c r="J31" i="4"/>
  <c r="AM29" i="4"/>
  <c r="AM21" i="4" s="1"/>
  <c r="AL29" i="4"/>
  <c r="AL21" i="4" s="1"/>
  <c r="AK29" i="4"/>
  <c r="AK21" i="4" s="1"/>
  <c r="AJ29" i="4"/>
  <c r="AI29" i="4"/>
  <c r="AH29" i="4"/>
  <c r="AG29" i="4"/>
  <c r="AG21" i="4" s="1"/>
  <c r="AF29" i="4"/>
  <c r="AF21" i="4" s="1"/>
  <c r="AE29" i="4"/>
  <c r="AE21" i="4" s="1"/>
  <c r="AD29" i="4"/>
  <c r="AD21" i="4" s="1"/>
  <c r="AC29" i="4"/>
  <c r="AC21" i="4" s="1"/>
  <c r="AB29" i="4"/>
  <c r="AA29" i="4"/>
  <c r="Z29" i="4"/>
  <c r="Z21" i="4" s="1"/>
  <c r="Y29" i="4"/>
  <c r="Y21" i="4" s="1"/>
  <c r="X29" i="4"/>
  <c r="W29" i="4"/>
  <c r="W21" i="4" s="1"/>
  <c r="V29" i="4"/>
  <c r="V21" i="4" s="1"/>
  <c r="U29" i="4"/>
  <c r="T29" i="4"/>
  <c r="S29" i="4"/>
  <c r="R29" i="4"/>
  <c r="Q29" i="4"/>
  <c r="P29" i="4"/>
  <c r="O29" i="4"/>
  <c r="N29" i="4"/>
  <c r="N21" i="4" s="1"/>
  <c r="M29" i="4"/>
  <c r="M21" i="4" s="1"/>
  <c r="L29" i="4"/>
  <c r="K29" i="4"/>
  <c r="J29" i="4"/>
  <c r="E29" i="4"/>
  <c r="D28" i="4"/>
  <c r="D27" i="4"/>
  <c r="D26" i="4"/>
  <c r="D25" i="4"/>
  <c r="AJ21" i="4"/>
  <c r="AI21" i="4"/>
  <c r="AB21" i="4"/>
  <c r="U21" i="4"/>
  <c r="Q21" i="4"/>
  <c r="AM20" i="4"/>
  <c r="AL20" i="4"/>
  <c r="AK20" i="4"/>
  <c r="AJ20" i="4"/>
  <c r="AI20" i="4"/>
  <c r="AH20" i="4"/>
  <c r="AG20" i="4"/>
  <c r="AF20" i="4"/>
  <c r="AE20" i="4"/>
  <c r="AD20" i="4"/>
  <c r="AC20" i="4"/>
  <c r="AB20" i="4"/>
  <c r="AA20" i="4"/>
  <c r="Z20" i="4"/>
  <c r="Y20" i="4"/>
  <c r="X20" i="4"/>
  <c r="W20" i="4"/>
  <c r="V20" i="4"/>
  <c r="U20" i="4"/>
  <c r="T20" i="4"/>
  <c r="S20" i="4"/>
  <c r="R20" i="4"/>
  <c r="Q20" i="4"/>
  <c r="P20" i="4"/>
  <c r="O20" i="4"/>
  <c r="N20" i="4"/>
  <c r="M20" i="4"/>
  <c r="L20" i="4"/>
  <c r="K20" i="4"/>
  <c r="J20" i="4"/>
  <c r="D20" i="4"/>
  <c r="C20" i="4" s="1"/>
  <c r="AM19" i="4"/>
  <c r="AL19" i="4"/>
  <c r="AK19" i="4"/>
  <c r="AJ19" i="4"/>
  <c r="AI19" i="4"/>
  <c r="AH19" i="4"/>
  <c r="AG19" i="4"/>
  <c r="AF19" i="4"/>
  <c r="AE19" i="4"/>
  <c r="AD19" i="4"/>
  <c r="AC19" i="4"/>
  <c r="AB19" i="4"/>
  <c r="AA19" i="4"/>
  <c r="Z19" i="4"/>
  <c r="Y19" i="4"/>
  <c r="X19" i="4"/>
  <c r="W19" i="4"/>
  <c r="V19" i="4"/>
  <c r="U19" i="4"/>
  <c r="T19" i="4"/>
  <c r="S19" i="4"/>
  <c r="R19" i="4"/>
  <c r="Q19" i="4"/>
  <c r="P19" i="4"/>
  <c r="O19" i="4"/>
  <c r="N19" i="4"/>
  <c r="M19" i="4"/>
  <c r="L19" i="4"/>
  <c r="K19" i="4"/>
  <c r="J19" i="4"/>
  <c r="B19" i="4"/>
  <c r="AM18" i="4"/>
  <c r="AL18" i="4"/>
  <c r="AK18" i="4"/>
  <c r="AJ18" i="4"/>
  <c r="AI18" i="4"/>
  <c r="AH18" i="4"/>
  <c r="AG18" i="4"/>
  <c r="AF18" i="4"/>
  <c r="AE18" i="4"/>
  <c r="AD18" i="4"/>
  <c r="AC18" i="4"/>
  <c r="AB18" i="4"/>
  <c r="AA18" i="4"/>
  <c r="Z18" i="4"/>
  <c r="Y18" i="4"/>
  <c r="X18" i="4"/>
  <c r="W18" i="4"/>
  <c r="V18" i="4"/>
  <c r="U18" i="4"/>
  <c r="T18" i="4"/>
  <c r="S18" i="4"/>
  <c r="R18" i="4"/>
  <c r="Q18" i="4"/>
  <c r="P18" i="4"/>
  <c r="O18" i="4"/>
  <c r="N18" i="4"/>
  <c r="M18" i="4"/>
  <c r="L18" i="4"/>
  <c r="K18" i="4"/>
  <c r="J18" i="4"/>
  <c r="AM17" i="4"/>
  <c r="AL17" i="4"/>
  <c r="AK17" i="4"/>
  <c r="AJ17" i="4"/>
  <c r="AI17" i="4"/>
  <c r="AH17" i="4"/>
  <c r="AG17" i="4"/>
  <c r="AF17" i="4"/>
  <c r="AE17" i="4"/>
  <c r="AD17" i="4"/>
  <c r="AC17" i="4"/>
  <c r="AB17" i="4"/>
  <c r="AA17" i="4"/>
  <c r="Z17" i="4"/>
  <c r="Y17" i="4"/>
  <c r="X17" i="4"/>
  <c r="W17" i="4"/>
  <c r="V17" i="4"/>
  <c r="U17" i="4"/>
  <c r="T17" i="4"/>
  <c r="S17" i="4"/>
  <c r="R17" i="4"/>
  <c r="Q17" i="4"/>
  <c r="P17" i="4"/>
  <c r="O17" i="4"/>
  <c r="N17" i="4"/>
  <c r="M17" i="4"/>
  <c r="L17" i="4"/>
  <c r="K17" i="4"/>
  <c r="J17" i="4"/>
  <c r="E17" i="4"/>
  <c r="AM16" i="4"/>
  <c r="AL16" i="4"/>
  <c r="AK16" i="4"/>
  <c r="AJ16" i="4"/>
  <c r="AI16" i="4"/>
  <c r="AH16" i="4"/>
  <c r="AG16" i="4"/>
  <c r="AF16" i="4"/>
  <c r="AE16" i="4"/>
  <c r="AD16" i="4"/>
  <c r="AC16" i="4"/>
  <c r="AB16" i="4"/>
  <c r="AA16" i="4"/>
  <c r="Z16" i="4"/>
  <c r="Y16" i="4"/>
  <c r="X16" i="4"/>
  <c r="W16" i="4"/>
  <c r="V16" i="4"/>
  <c r="U16" i="4"/>
  <c r="T16" i="4"/>
  <c r="S16" i="4"/>
  <c r="R16" i="4"/>
  <c r="Q16" i="4"/>
  <c r="P16" i="4"/>
  <c r="O16" i="4"/>
  <c r="N16" i="4"/>
  <c r="M16" i="4"/>
  <c r="L16" i="4"/>
  <c r="K16" i="4"/>
  <c r="J16" i="4"/>
  <c r="E14" i="4"/>
  <c r="AM13" i="4"/>
  <c r="AL13" i="4"/>
  <c r="AK13" i="4"/>
  <c r="AJ13" i="4"/>
  <c r="AJ14" i="4" s="1"/>
  <c r="AI13" i="4"/>
  <c r="AH13" i="4"/>
  <c r="AG13" i="4"/>
  <c r="AF13" i="4"/>
  <c r="AE13" i="4"/>
  <c r="AD13" i="4"/>
  <c r="AC13" i="4"/>
  <c r="AB13" i="4"/>
  <c r="AA13" i="4"/>
  <c r="Z13" i="4"/>
  <c r="Y13" i="4"/>
  <c r="X13" i="4"/>
  <c r="W13" i="4"/>
  <c r="V13" i="4"/>
  <c r="U13" i="4"/>
  <c r="T13" i="4"/>
  <c r="S13" i="4"/>
  <c r="R13" i="4"/>
  <c r="Q13" i="4"/>
  <c r="P13" i="4"/>
  <c r="O13" i="4"/>
  <c r="N13" i="4"/>
  <c r="M13" i="4"/>
  <c r="L13" i="4"/>
  <c r="K13" i="4"/>
  <c r="J13" i="4"/>
  <c r="D13" i="4"/>
  <c r="C13" i="4" s="1"/>
  <c r="AM11" i="4"/>
  <c r="AL11" i="4"/>
  <c r="AK11" i="4"/>
  <c r="AJ11" i="4"/>
  <c r="AI11" i="4"/>
  <c r="AH11" i="4"/>
  <c r="AG11" i="4"/>
  <c r="AF11" i="4"/>
  <c r="AE11" i="4"/>
  <c r="AD11" i="4"/>
  <c r="AC11" i="4"/>
  <c r="AB11" i="4"/>
  <c r="AA11" i="4"/>
  <c r="Z11" i="4"/>
  <c r="Y11" i="4"/>
  <c r="X11" i="4"/>
  <c r="W11" i="4"/>
  <c r="V11" i="4"/>
  <c r="U11" i="4"/>
  <c r="T11" i="4"/>
  <c r="S11" i="4"/>
  <c r="R11" i="4"/>
  <c r="Q11" i="4"/>
  <c r="P11" i="4"/>
  <c r="O11" i="4"/>
  <c r="N11" i="4"/>
  <c r="M11" i="4"/>
  <c r="L11" i="4"/>
  <c r="K11" i="4"/>
  <c r="J11" i="4"/>
  <c r="E11" i="4"/>
  <c r="E10" i="4"/>
  <c r="E8" i="4"/>
  <c r="E7" i="4"/>
  <c r="E6" i="4"/>
  <c r="B5" i="4"/>
  <c r="E4" i="4"/>
  <c r="U74" i="3"/>
  <c r="I74" i="3"/>
  <c r="I75" i="3" s="1"/>
  <c r="E74" i="3"/>
  <c r="E75" i="3" s="1"/>
  <c r="U36" i="3"/>
  <c r="I36" i="3"/>
  <c r="E36" i="3"/>
  <c r="U19" i="3"/>
  <c r="I19" i="3"/>
  <c r="E19" i="3"/>
  <c r="B188" i="4"/>
  <c r="B40" i="4"/>
  <c r="Y14" i="4" l="1"/>
  <c r="AG14" i="4"/>
  <c r="AI14" i="4"/>
  <c r="U14" i="4"/>
  <c r="E190" i="4"/>
  <c r="C189" i="4"/>
  <c r="M14" i="4"/>
  <c r="U24" i="3"/>
  <c r="U25" i="9" s="1"/>
  <c r="U21" i="3"/>
  <c r="U22" i="9" s="1"/>
  <c r="U20" i="3"/>
  <c r="U21" i="9" s="1"/>
  <c r="AB14" i="4"/>
  <c r="O21" i="4"/>
  <c r="O14" i="4" s="1"/>
  <c r="AC14" i="4"/>
  <c r="AK14" i="4"/>
  <c r="AL14" i="4"/>
  <c r="E48" i="4"/>
  <c r="E49" i="4"/>
  <c r="E50" i="4" s="1"/>
  <c r="E51" i="4" s="1"/>
  <c r="E52" i="4" s="1"/>
  <c r="E53" i="4" s="1"/>
  <c r="E54" i="4" s="1"/>
  <c r="E55" i="4" s="1"/>
  <c r="E56" i="4" s="1"/>
  <c r="E57" i="4" s="1"/>
  <c r="E58" i="4" s="1"/>
  <c r="E59" i="4" s="1"/>
  <c r="E60" i="4" s="1"/>
  <c r="E61" i="4" s="1"/>
  <c r="E62" i="4" s="1"/>
  <c r="E63" i="4" s="1"/>
  <c r="E64" i="4" s="1"/>
  <c r="E65" i="4" s="1"/>
  <c r="E66" i="4" s="1"/>
  <c r="E67" i="4" s="1"/>
  <c r="E68" i="4" s="1"/>
  <c r="E69" i="4" s="1"/>
  <c r="E70" i="4" s="1"/>
  <c r="E71" i="4" s="1"/>
  <c r="E72" i="4" s="1"/>
  <c r="E73" i="4" s="1"/>
  <c r="E74" i="4" s="1"/>
  <c r="E75" i="4" s="1"/>
  <c r="E76" i="4" s="1"/>
  <c r="E77" i="4" s="1"/>
  <c r="E78" i="4" s="1"/>
  <c r="E79" i="4" s="1"/>
  <c r="E80" i="4" s="1"/>
  <c r="E81" i="4" s="1"/>
  <c r="C81" i="4" s="1"/>
  <c r="N14" i="4"/>
  <c r="V14" i="4"/>
  <c r="AD14" i="4"/>
  <c r="J21" i="4"/>
  <c r="J14" i="4" s="1"/>
  <c r="R21" i="4"/>
  <c r="R14" i="4" s="1"/>
  <c r="Z14" i="4"/>
  <c r="AC157" i="4"/>
  <c r="W14" i="4"/>
  <c r="AE14" i="4"/>
  <c r="K21" i="4"/>
  <c r="K14" i="4" s="1"/>
  <c r="S21" i="4"/>
  <c r="S14" i="4" s="1"/>
  <c r="AA21" i="4"/>
  <c r="AA14" i="4" s="1"/>
  <c r="AH21" i="4"/>
  <c r="AH14" i="4" s="1"/>
  <c r="L21" i="4"/>
  <c r="L14" i="4" s="1"/>
  <c r="T21" i="4"/>
  <c r="T14" i="4" s="1"/>
  <c r="Q14" i="4"/>
  <c r="AJ157" i="4"/>
  <c r="P21" i="4"/>
  <c r="P14" i="4" s="1"/>
  <c r="X21" i="4"/>
  <c r="X14" i="4" s="1"/>
  <c r="N157" i="4"/>
  <c r="E42" i="4"/>
  <c r="C41" i="4"/>
  <c r="E13" i="4"/>
  <c r="B14" i="4"/>
  <c r="E36" i="4"/>
  <c r="D14" i="4"/>
  <c r="C14" i="4" s="1"/>
  <c r="D8" i="4"/>
  <c r="C8" i="4" s="1"/>
  <c r="C24" i="4"/>
  <c r="B4" i="4"/>
  <c r="E19" i="4"/>
  <c r="E20" i="4"/>
  <c r="E33" i="4"/>
  <c r="D7" i="4"/>
  <c r="C7" i="4" s="1"/>
  <c r="D10" i="4"/>
  <c r="C10" i="4" s="1"/>
  <c r="E5" i="4"/>
  <c r="E37" i="4"/>
  <c r="D6" i="4"/>
  <c r="C6" i="4" s="1"/>
  <c r="C28" i="4"/>
  <c r="B13" i="4"/>
  <c r="AM14" i="4"/>
  <c r="E32" i="4"/>
  <c r="AF14" i="4"/>
  <c r="E18" i="4"/>
  <c r="D18" i="4"/>
  <c r="C18" i="4" s="1"/>
  <c r="B18" i="4"/>
  <c r="E12" i="4"/>
  <c r="D12" i="4"/>
  <c r="C12" i="4" s="1"/>
  <c r="B12" i="4"/>
  <c r="P162" i="4"/>
  <c r="W162" i="4"/>
  <c r="AE162" i="4"/>
  <c r="AL162" i="4"/>
  <c r="AB162" i="4"/>
  <c r="C85" i="4"/>
  <c r="E30" i="4"/>
  <c r="D30" i="4"/>
  <c r="C30" i="4" s="1"/>
  <c r="B30" i="4"/>
  <c r="Q162" i="4"/>
  <c r="X162" i="4"/>
  <c r="AF162" i="4"/>
  <c r="AM162" i="4"/>
  <c r="J162" i="4"/>
  <c r="R162" i="4"/>
  <c r="Y162" i="4"/>
  <c r="AG162" i="4"/>
  <c r="M162" i="4"/>
  <c r="E87" i="4"/>
  <c r="E88" i="4" s="1"/>
  <c r="C86" i="4"/>
  <c r="C25" i="4"/>
  <c r="AI162" i="4"/>
  <c r="E35" i="4"/>
  <c r="D35" i="4"/>
  <c r="C35" i="4" s="1"/>
  <c r="B35" i="4"/>
  <c r="L162" i="4"/>
  <c r="T162" i="4"/>
  <c r="AA162" i="4"/>
  <c r="AH162" i="4"/>
  <c r="E9" i="4"/>
  <c r="D9" i="4"/>
  <c r="C9" i="4" s="1"/>
  <c r="B9" i="4"/>
  <c r="C26" i="4"/>
  <c r="C27" i="4"/>
  <c r="U162" i="4"/>
  <c r="D5" i="4"/>
  <c r="C5" i="4" s="1"/>
  <c r="D19" i="4"/>
  <c r="C19" i="4" s="1"/>
  <c r="D32" i="4"/>
  <c r="C32" i="4" s="1"/>
  <c r="D36" i="4"/>
  <c r="C36" i="4" s="1"/>
  <c r="D48" i="4"/>
  <c r="C48" i="4" s="1"/>
  <c r="O167" i="4"/>
  <c r="V167" i="4"/>
  <c r="AD167" i="4"/>
  <c r="AK167" i="4"/>
  <c r="B11" i="4"/>
  <c r="B17" i="4"/>
  <c r="B29" i="4"/>
  <c r="B34" i="4"/>
  <c r="D4" i="4"/>
  <c r="C4" i="4" s="1"/>
  <c r="B6" i="4"/>
  <c r="B7" i="4"/>
  <c r="B8" i="4"/>
  <c r="D11" i="4"/>
  <c r="C11" i="4" s="1"/>
  <c r="D17" i="4"/>
  <c r="C17" i="4" s="1"/>
  <c r="B20" i="4"/>
  <c r="D29" i="4"/>
  <c r="C29" i="4" s="1"/>
  <c r="B33" i="4"/>
  <c r="D34" i="4"/>
  <c r="C34" i="4" s="1"/>
  <c r="B37" i="4"/>
  <c r="D84" i="4"/>
  <c r="C84" i="4" s="1"/>
  <c r="AD11" i="3"/>
  <c r="AC11" i="3"/>
  <c r="B25" i="4"/>
  <c r="B41" i="4"/>
  <c r="B26" i="4"/>
  <c r="B86" i="4"/>
  <c r="B85" i="4"/>
  <c r="B189" i="4"/>
  <c r="B24" i="4"/>
  <c r="Q30" i="3" a="1"/>
  <c r="B28" i="4"/>
  <c r="B81" i="4"/>
  <c r="B10" i="4"/>
  <c r="B27" i="4"/>
  <c r="Q30" i="3" l="1"/>
  <c r="Q31" i="9" s="1"/>
  <c r="E191" i="4"/>
  <c r="C190" i="4"/>
  <c r="C54" i="4"/>
  <c r="C52" i="4"/>
  <c r="C58" i="4"/>
  <c r="C60" i="4"/>
  <c r="C57" i="4"/>
  <c r="C53" i="4"/>
  <c r="C51" i="4"/>
  <c r="C62" i="4"/>
  <c r="C56" i="4"/>
  <c r="C68" i="4"/>
  <c r="C67" i="4"/>
  <c r="C80" i="4"/>
  <c r="C77" i="4"/>
  <c r="C59" i="4"/>
  <c r="C72" i="4"/>
  <c r="C69" i="4"/>
  <c r="C74" i="4"/>
  <c r="C78" i="4"/>
  <c r="C64" i="4"/>
  <c r="C61" i="4"/>
  <c r="C66" i="4"/>
  <c r="C70" i="4"/>
  <c r="C73" i="4"/>
  <c r="C55" i="4"/>
  <c r="C71" i="4"/>
  <c r="C63" i="4"/>
  <c r="C50" i="4"/>
  <c r="C65" i="4"/>
  <c r="C76" i="4"/>
  <c r="C75" i="4"/>
  <c r="C79" i="4"/>
  <c r="AC162" i="4"/>
  <c r="AC167" i="4" s="1"/>
  <c r="N162" i="4"/>
  <c r="N167" i="4" s="1"/>
  <c r="C87" i="4"/>
  <c r="E43" i="4"/>
  <c r="C42" i="4"/>
  <c r="AJ162" i="4"/>
  <c r="AJ167" i="4" s="1"/>
  <c r="O172" i="4"/>
  <c r="AG167" i="4"/>
  <c r="AE167" i="4"/>
  <c r="U167" i="4"/>
  <c r="L167" i="4"/>
  <c r="Y167" i="4"/>
  <c r="Q167" i="4"/>
  <c r="W167" i="4"/>
  <c r="AH167" i="4"/>
  <c r="E89" i="4"/>
  <c r="C88" i="4"/>
  <c r="X167" i="4"/>
  <c r="AD172" i="4"/>
  <c r="R167" i="4"/>
  <c r="AM167" i="4"/>
  <c r="P167" i="4"/>
  <c r="AK172" i="4"/>
  <c r="AA167" i="4"/>
  <c r="M167" i="4"/>
  <c r="AB167" i="4"/>
  <c r="V172" i="4"/>
  <c r="J167" i="4"/>
  <c r="AF167" i="4"/>
  <c r="T167" i="4"/>
  <c r="AI167" i="4"/>
  <c r="AL167" i="4"/>
  <c r="B55" i="4"/>
  <c r="B50" i="4"/>
  <c r="B59" i="4"/>
  <c r="B72" i="4"/>
  <c r="B80" i="4"/>
  <c r="B87" i="4"/>
  <c r="B68" i="4"/>
  <c r="B56" i="4"/>
  <c r="B73" i="4"/>
  <c r="B69" i="4"/>
  <c r="B57" i="4"/>
  <c r="B53" i="4"/>
  <c r="B67" i="4"/>
  <c r="B42" i="4"/>
  <c r="B51" i="4"/>
  <c r="B75" i="4"/>
  <c r="B66" i="4"/>
  <c r="B190" i="4"/>
  <c r="B76" i="4"/>
  <c r="B63" i="4"/>
  <c r="B77" i="4"/>
  <c r="B71" i="4"/>
  <c r="B78" i="4"/>
  <c r="B65" i="4"/>
  <c r="B79" i="4"/>
  <c r="B60" i="4"/>
  <c r="B74" i="4"/>
  <c r="B52" i="4"/>
  <c r="B70" i="4"/>
  <c r="B54" i="4"/>
  <c r="B61" i="4"/>
  <c r="B58" i="4"/>
  <c r="B88" i="4"/>
  <c r="B62" i="4"/>
  <c r="B64" i="4"/>
  <c r="E192" i="4" l="1"/>
  <c r="C191" i="4"/>
  <c r="C43" i="4"/>
  <c r="E44" i="4"/>
  <c r="X172" i="4"/>
  <c r="U172" i="4"/>
  <c r="AL172" i="4"/>
  <c r="J172" i="4"/>
  <c r="AE172" i="4"/>
  <c r="AA172" i="4"/>
  <c r="AB172" i="4"/>
  <c r="AM172" i="4"/>
  <c r="E90" i="4"/>
  <c r="C89" i="4"/>
  <c r="Q172" i="4"/>
  <c r="R172" i="4"/>
  <c r="Y172" i="4"/>
  <c r="AG172" i="4"/>
  <c r="AJ172" i="4"/>
  <c r="AI172" i="4"/>
  <c r="M172" i="4"/>
  <c r="N172" i="4"/>
  <c r="AC172" i="4"/>
  <c r="W172" i="4"/>
  <c r="AF172" i="4"/>
  <c r="T172" i="4"/>
  <c r="P172" i="4"/>
  <c r="AH172" i="4"/>
  <c r="L172" i="4"/>
  <c r="B191" i="4"/>
  <c r="B89" i="4"/>
  <c r="B43" i="4"/>
  <c r="C192" i="4" l="1"/>
  <c r="E193" i="4"/>
  <c r="C44" i="4"/>
  <c r="E45" i="4"/>
  <c r="C90" i="4"/>
  <c r="E91" i="4"/>
  <c r="B192" i="4"/>
  <c r="B44" i="4"/>
  <c r="B90" i="4"/>
  <c r="E194" i="4" l="1"/>
  <c r="C194" i="4" s="1"/>
  <c r="C193" i="4"/>
  <c r="C45" i="4"/>
  <c r="E46" i="4"/>
  <c r="E92" i="4"/>
  <c r="C91" i="4"/>
  <c r="B45" i="4"/>
  <c r="B194" i="4"/>
  <c r="B193" i="4"/>
  <c r="B91" i="4"/>
  <c r="C46" i="4" l="1"/>
  <c r="E47" i="4"/>
  <c r="C92" i="4"/>
  <c r="E93" i="4"/>
  <c r="B46" i="4"/>
  <c r="B92" i="4"/>
  <c r="U63" i="9" a="1"/>
  <c r="U63" i="9" l="1"/>
  <c r="E94" i="4"/>
  <c r="C93" i="4"/>
  <c r="B93" i="4"/>
  <c r="E95" i="4" l="1"/>
  <c r="C94" i="4"/>
  <c r="B94" i="4"/>
  <c r="E96" i="4" l="1"/>
  <c r="C95" i="4"/>
  <c r="B95" i="4"/>
  <c r="E97" i="4" l="1"/>
  <c r="C96" i="4"/>
  <c r="B96" i="4"/>
  <c r="E98" i="4" l="1"/>
  <c r="C97" i="4"/>
  <c r="B97" i="4"/>
  <c r="C98" i="4" l="1"/>
  <c r="E99" i="4"/>
  <c r="B98" i="4"/>
  <c r="E100" i="4" l="1"/>
  <c r="C99" i="4"/>
  <c r="B99" i="4"/>
  <c r="C100" i="4" l="1"/>
  <c r="E101" i="4"/>
  <c r="B100" i="4"/>
  <c r="E102" i="4" l="1"/>
  <c r="C101" i="4"/>
  <c r="B101" i="4"/>
  <c r="E103" i="4" l="1"/>
  <c r="C102" i="4"/>
  <c r="B102" i="4"/>
  <c r="E104" i="4" l="1"/>
  <c r="C103" i="4"/>
  <c r="B103" i="4"/>
  <c r="E105" i="4" l="1"/>
  <c r="C104" i="4"/>
  <c r="B104" i="4"/>
  <c r="E106" i="4" l="1"/>
  <c r="C105" i="4"/>
  <c r="B105" i="4"/>
  <c r="C106" i="4" l="1"/>
  <c r="E107" i="4"/>
  <c r="B106" i="4"/>
  <c r="U64" i="9" a="1"/>
  <c r="U64" i="9" l="1"/>
  <c r="E108" i="4"/>
  <c r="C107" i="4"/>
  <c r="B107" i="4"/>
  <c r="C108" i="4" l="1"/>
  <c r="E109" i="4"/>
  <c r="B108" i="4"/>
  <c r="E110" i="4" l="1"/>
  <c r="C109" i="4"/>
  <c r="B109" i="4"/>
  <c r="E111" i="4" l="1"/>
  <c r="C110" i="4"/>
  <c r="B110" i="4"/>
  <c r="E112" i="4" l="1"/>
  <c r="C111" i="4"/>
  <c r="B111" i="4"/>
  <c r="E113" i="4" l="1"/>
  <c r="C112" i="4"/>
  <c r="B112" i="4"/>
  <c r="E114" i="4" l="1"/>
  <c r="C113" i="4"/>
  <c r="B113" i="4"/>
  <c r="C114" i="4" l="1"/>
  <c r="E115" i="4"/>
  <c r="B114" i="4"/>
  <c r="E116" i="4" l="1"/>
  <c r="C115" i="4"/>
  <c r="B115" i="4"/>
  <c r="C116" i="4" l="1"/>
  <c r="E117" i="4"/>
  <c r="B116" i="4"/>
  <c r="E118" i="4" l="1"/>
  <c r="C117" i="4"/>
  <c r="B117" i="4"/>
  <c r="E119" i="4" l="1"/>
  <c r="C118" i="4"/>
  <c r="B118" i="4"/>
  <c r="E120" i="4" l="1"/>
  <c r="C119" i="4"/>
  <c r="B119" i="4"/>
  <c r="E121" i="4" l="1"/>
  <c r="C120" i="4"/>
  <c r="B120" i="4"/>
  <c r="E122" i="4" l="1"/>
  <c r="C121" i="4"/>
  <c r="B121" i="4"/>
  <c r="C122" i="4" l="1"/>
  <c r="E123" i="4"/>
  <c r="B122" i="4"/>
  <c r="E124" i="4" l="1"/>
  <c r="C123" i="4"/>
  <c r="B123" i="4"/>
  <c r="C124" i="4" l="1"/>
  <c r="E125" i="4"/>
  <c r="B124" i="4"/>
  <c r="C125" i="4" l="1"/>
  <c r="E126" i="4"/>
  <c r="B125" i="4"/>
  <c r="E127" i="4" l="1"/>
  <c r="C126" i="4"/>
  <c r="B126" i="4"/>
  <c r="C127" i="4" l="1"/>
  <c r="E128" i="4"/>
  <c r="B127" i="4"/>
  <c r="E129" i="4" l="1"/>
  <c r="C128" i="4"/>
  <c r="B128" i="4"/>
  <c r="C129" i="4" l="1"/>
  <c r="E130" i="4"/>
  <c r="B129" i="4"/>
  <c r="C130" i="4" l="1"/>
  <c r="E131" i="4"/>
  <c r="B130" i="4"/>
  <c r="E132" i="4" l="1"/>
  <c r="C131" i="4"/>
  <c r="B131" i="4"/>
  <c r="C132" i="4" l="1"/>
  <c r="E133" i="4"/>
  <c r="B132" i="4"/>
  <c r="C133" i="4" l="1"/>
  <c r="E134" i="4"/>
  <c r="B133" i="4"/>
  <c r="E135" i="4" l="1"/>
  <c r="C134" i="4"/>
  <c r="B134" i="4"/>
  <c r="C135" i="4" l="1"/>
  <c r="E136" i="4"/>
  <c r="B135" i="4"/>
  <c r="E137" i="4" l="1"/>
  <c r="C136" i="4"/>
  <c r="B136" i="4"/>
  <c r="C137" i="4" l="1"/>
  <c r="E138" i="4"/>
  <c r="B137" i="4"/>
  <c r="C138" i="4" l="1"/>
  <c r="E139" i="4"/>
  <c r="B138" i="4"/>
  <c r="E140" i="4" l="1"/>
  <c r="C139" i="4"/>
  <c r="B139" i="4"/>
  <c r="C140" i="4" l="1"/>
  <c r="E141" i="4"/>
  <c r="B140" i="4"/>
  <c r="C141" i="4" l="1"/>
  <c r="E142" i="4"/>
  <c r="B141" i="4"/>
  <c r="E143" i="4" l="1"/>
  <c r="C142" i="4"/>
  <c r="B142" i="4"/>
  <c r="C143" i="4" l="1"/>
  <c r="E144" i="4"/>
  <c r="B143" i="4"/>
  <c r="U59" i="9" a="1"/>
  <c r="U59" i="9" l="1"/>
  <c r="E145" i="4"/>
  <c r="C144" i="4"/>
  <c r="B144" i="4"/>
  <c r="C145" i="4" l="1"/>
  <c r="E146" i="4"/>
  <c r="B145" i="4"/>
  <c r="C146" i="4" l="1"/>
  <c r="E147" i="4"/>
  <c r="B146" i="4"/>
  <c r="E148" i="4" l="1"/>
  <c r="C147" i="4"/>
  <c r="B147" i="4"/>
  <c r="C148" i="4" l="1"/>
  <c r="E149" i="4"/>
  <c r="B148" i="4"/>
  <c r="C149" i="4" l="1"/>
  <c r="E150" i="4"/>
  <c r="B149" i="4"/>
  <c r="E151" i="4" l="1"/>
  <c r="C150" i="4"/>
  <c r="B150" i="4"/>
  <c r="C151" i="4" l="1"/>
  <c r="E152" i="4"/>
  <c r="B151" i="4"/>
  <c r="E153" i="4" l="1"/>
  <c r="C153" i="4" s="1"/>
  <c r="C152" i="4"/>
  <c r="B153" i="4"/>
  <c r="U30" i="3" a="1"/>
  <c r="I30" i="3" a="1"/>
  <c r="B152" i="4"/>
  <c r="Q49" i="3" a="1"/>
  <c r="E53" i="3" a="1"/>
  <c r="M48" i="3" a="1"/>
  <c r="M38" i="3" a="1"/>
  <c r="Q26" i="3" a="1"/>
  <c r="E28" i="3" a="1"/>
  <c r="Q23" i="3" a="1"/>
  <c r="M58" i="3" a="1"/>
  <c r="M61" i="3" a="1"/>
  <c r="E80" i="9" a="1"/>
  <c r="I10" i="3" a="1"/>
  <c r="I80" i="3" a="1"/>
  <c r="E37" i="3" a="1"/>
  <c r="E81" i="9" a="1"/>
  <c r="U59" i="3" a="1"/>
  <c r="M45" i="3" a="1"/>
  <c r="E22" i="3" a="1"/>
  <c r="I53" i="3" a="1"/>
  <c r="E30" i="3" a="1"/>
  <c r="I59" i="3" a="1"/>
  <c r="I22" i="3" a="1"/>
  <c r="Q50" i="3" a="1"/>
  <c r="Q62" i="3" a="1"/>
  <c r="M26" i="3" a="1"/>
  <c r="U31" i="3" a="1"/>
  <c r="M49" i="3" a="1"/>
  <c r="U61" i="9" a="1"/>
  <c r="Q63" i="3" a="1"/>
  <c r="M59" i="3" a="1"/>
  <c r="E81" i="3" a="1"/>
  <c r="Q58" i="3" a="1"/>
  <c r="Q45" i="3" a="1"/>
  <c r="M27" i="3" a="1"/>
  <c r="I52" i="3" a="1"/>
  <c r="I44" i="3" a="1"/>
  <c r="Q82" i="9" a="1"/>
  <c r="I45" i="3" a="1"/>
  <c r="Q10" i="3" a="1"/>
  <c r="E39" i="3" a="1"/>
  <c r="M44" i="3" a="1"/>
  <c r="I60" i="3" a="1"/>
  <c r="I42" i="3" a="1"/>
  <c r="I58" i="3" a="1"/>
  <c r="I31" i="3" a="1"/>
  <c r="E57" i="3" a="1"/>
  <c r="U60" i="9" a="1"/>
  <c r="I50" i="3" a="1"/>
  <c r="U62" i="3" a="1"/>
  <c r="I51" i="3" a="1"/>
  <c r="Q27" i="3" a="1"/>
  <c r="E12" i="3" a="1"/>
  <c r="M52" i="3" a="1"/>
  <c r="I82" i="9" a="1"/>
  <c r="M37" i="3" a="1"/>
  <c r="U60" i="3" a="1"/>
  <c r="I79" i="3" a="1"/>
  <c r="Q20" i="3" a="1"/>
  <c r="E44" i="3" a="1"/>
  <c r="Q53" i="3" a="1"/>
  <c r="U62" i="9" a="1"/>
  <c r="E61" i="3" a="1"/>
  <c r="Q42" i="3" a="1"/>
  <c r="E79" i="3" a="1"/>
  <c r="Q43" i="3" a="1"/>
  <c r="I27" i="3" a="1"/>
  <c r="I81" i="3" a="1"/>
  <c r="M60" i="3" a="1"/>
  <c r="M30" i="3" a="1"/>
  <c r="Q51" i="3" a="1"/>
  <c r="I49" i="3" a="1"/>
  <c r="I47" i="3" a="1"/>
  <c r="Q60" i="3" a="1"/>
  <c r="E26" i="3" a="1"/>
  <c r="E31" i="3" a="1"/>
  <c r="M42" i="3" a="1"/>
  <c r="E80" i="3" a="1"/>
  <c r="M13" i="3" a="1"/>
  <c r="Q55" i="3" a="1"/>
  <c r="M47" i="3" a="1"/>
  <c r="E51" i="3" a="1"/>
  <c r="M53" i="3" a="1"/>
  <c r="M28" i="3" a="1"/>
  <c r="M41" i="3" a="1"/>
  <c r="E82" i="9" a="1"/>
  <c r="I12" i="3" a="1"/>
  <c r="Q40" i="3" a="1"/>
  <c r="M63" i="3" a="1"/>
  <c r="U61" i="3" a="1"/>
  <c r="Q21" i="3" a="1"/>
  <c r="Q48" i="3" a="1"/>
  <c r="E13" i="3" a="1"/>
  <c r="M62" i="3" a="1"/>
  <c r="I46" i="3" a="1"/>
  <c r="Q47" i="3" a="1"/>
  <c r="U58" i="3" a="1"/>
  <c r="M21" i="3" a="1"/>
  <c r="E48" i="3" a="1"/>
  <c r="E9" i="3" a="1"/>
  <c r="I81" i="9" a="1"/>
  <c r="Q31" i="3" a="1"/>
  <c r="E45" i="3" a="1"/>
  <c r="Q9" i="3" a="1"/>
  <c r="I62" i="3" a="1"/>
  <c r="M31" i="3" a="1"/>
  <c r="I43" i="3" a="1"/>
  <c r="I63" i="3" a="1"/>
  <c r="M10" i="3" a="1"/>
  <c r="Q46" i="3" a="1"/>
  <c r="Q39" i="3" a="1"/>
  <c r="I55" i="3" a="1"/>
  <c r="I39" i="3" a="1"/>
  <c r="Q44" i="3" a="1"/>
  <c r="I20" i="3" a="1"/>
  <c r="M82" i="9" a="1"/>
  <c r="E41" i="3" a="1"/>
  <c r="E54" i="3" a="1"/>
  <c r="I9" i="3" a="1"/>
  <c r="M50" i="3" a="1"/>
  <c r="I80" i="9" a="1"/>
  <c r="M43" i="3" a="1"/>
  <c r="E55" i="3" a="1"/>
  <c r="M9" i="3" a="1"/>
  <c r="I48" i="3" a="1"/>
  <c r="U63" i="3" a="1"/>
  <c r="Q28" i="3" a="1"/>
  <c r="E27" i="3" a="1"/>
  <c r="E47" i="3" a="1"/>
  <c r="I41" i="3" a="1"/>
  <c r="Q11" i="3" a="1"/>
  <c r="Q81" i="9" a="1"/>
  <c r="Q79" i="3" a="1"/>
  <c r="E59" i="3" a="1"/>
  <c r="E24" i="3" a="1"/>
  <c r="M12" i="3" a="1"/>
  <c r="Q24" i="3" a="1"/>
  <c r="U58" i="9" a="1"/>
  <c r="I24" i="3" a="1"/>
  <c r="M22" i="3" a="1"/>
  <c r="M81" i="9" a="1"/>
  <c r="I37" i="3" a="1"/>
  <c r="M79" i="3" a="1"/>
  <c r="M51" i="3" a="1"/>
  <c r="Q41" i="3" a="1"/>
  <c r="I54" i="3" a="1"/>
  <c r="E38" i="3" a="1"/>
  <c r="E21" i="3" a="1"/>
  <c r="E43" i="3" a="1"/>
  <c r="Q81" i="3" a="1"/>
  <c r="Q13" i="3" a="1"/>
  <c r="I57" i="3" a="1"/>
  <c r="E10" i="3" a="1"/>
  <c r="Q80" i="3" a="1"/>
  <c r="M54" i="3" a="1"/>
  <c r="I26" i="3" a="1"/>
  <c r="M46" i="3" a="1"/>
  <c r="I11" i="3" a="1"/>
  <c r="E52" i="3" a="1"/>
  <c r="I13" i="3" a="1"/>
  <c r="E42" i="3" a="1"/>
  <c r="M11" i="3" a="1"/>
  <c r="E60" i="3" a="1"/>
  <c r="Q54" i="3" a="1"/>
  <c r="M55" i="3" a="1"/>
  <c r="Q38" i="3" a="1"/>
  <c r="M80" i="9" a="1"/>
  <c r="E40" i="3" a="1"/>
  <c r="Q52" i="3" a="1"/>
  <c r="E11" i="3" a="1"/>
  <c r="M40" i="3" a="1"/>
  <c r="Q22" i="3" a="1"/>
  <c r="I61" i="3" a="1"/>
  <c r="I40" i="3" a="1"/>
  <c r="E63" i="3" a="1"/>
  <c r="U57" i="3" a="1"/>
  <c r="M81" i="3" a="1"/>
  <c r="M80" i="3" a="1"/>
  <c r="M24" i="3" a="1"/>
  <c r="I38" i="3" a="1"/>
  <c r="E62" i="3" a="1"/>
  <c r="Q80" i="9" a="1"/>
  <c r="E20" i="3" a="1"/>
  <c r="E23" i="3" a="1"/>
  <c r="Q57" i="3" a="1"/>
  <c r="E50" i="3" a="1"/>
  <c r="M23" i="3" a="1"/>
  <c r="E58" i="3" a="1"/>
  <c r="M20" i="3" a="1"/>
  <c r="M39" i="3" a="1"/>
  <c r="Q12" i="3" a="1"/>
  <c r="E46" i="3" a="1"/>
  <c r="I28" i="3" a="1"/>
  <c r="I21" i="3" a="1"/>
  <c r="Q61" i="3" a="1"/>
  <c r="Q59" i="3" a="1"/>
  <c r="I23" i="3" a="1"/>
  <c r="E49" i="3" a="1"/>
  <c r="Q46" i="3" l="1"/>
  <c r="Q43" i="3"/>
  <c r="Q47" i="3"/>
  <c r="Q39" i="3"/>
  <c r="Q51" i="3"/>
  <c r="Q40" i="3"/>
  <c r="Q44" i="3"/>
  <c r="Q52" i="3"/>
  <c r="Q48" i="3"/>
  <c r="Q45" i="3"/>
  <c r="Q49" i="3"/>
  <c r="Q41" i="3"/>
  <c r="Q53" i="3"/>
  <c r="Q38" i="3"/>
  <c r="Q42" i="3"/>
  <c r="Q50" i="3"/>
  <c r="Q54" i="3"/>
  <c r="Q55" i="3"/>
  <c r="Q28" i="3"/>
  <c r="Q27" i="3"/>
  <c r="Q28" i="9" s="1"/>
  <c r="Q26" i="3"/>
  <c r="Q27" i="9" s="1"/>
  <c r="Q21" i="3"/>
  <c r="Q22" i="9" s="1"/>
  <c r="Q24" i="3"/>
  <c r="Q25" i="9" s="1"/>
  <c r="Q22" i="3"/>
  <c r="Q23" i="9" s="1"/>
  <c r="Q23" i="3"/>
  <c r="Q24" i="9" s="1"/>
  <c r="Q20" i="3"/>
  <c r="Q10" i="3"/>
  <c r="Q13" i="3"/>
  <c r="Q11" i="3"/>
  <c r="Q12" i="3"/>
  <c r="Q9" i="3"/>
  <c r="Q79" i="3"/>
  <c r="Q62" i="3"/>
  <c r="Q60" i="3"/>
  <c r="Q58" i="3"/>
  <c r="Q82" i="9"/>
  <c r="Q81" i="9"/>
  <c r="Q81" i="3"/>
  <c r="Q31" i="3"/>
  <c r="Q63" i="3"/>
  <c r="Q61" i="3"/>
  <c r="Q59" i="3"/>
  <c r="Q57" i="3"/>
  <c r="Q80" i="9"/>
  <c r="Q80" i="3"/>
  <c r="M80" i="9"/>
  <c r="U60" i="9"/>
  <c r="M81" i="9"/>
  <c r="E82" i="9"/>
  <c r="E81" i="9"/>
  <c r="E80" i="9"/>
  <c r="U62" i="9"/>
  <c r="M82" i="9"/>
  <c r="U61" i="9"/>
  <c r="I82" i="9"/>
  <c r="U58" i="9"/>
  <c r="I81" i="9"/>
  <c r="I80" i="9"/>
  <c r="M81" i="3"/>
  <c r="M80" i="3"/>
  <c r="M79" i="3"/>
  <c r="I80" i="3"/>
  <c r="I81" i="3"/>
  <c r="I79" i="3"/>
  <c r="E81" i="3"/>
  <c r="E80" i="3"/>
  <c r="E79" i="3"/>
  <c r="I63" i="3"/>
  <c r="U63" i="3"/>
  <c r="M63" i="3"/>
  <c r="E63" i="3"/>
  <c r="I62" i="3"/>
  <c r="U62" i="3"/>
  <c r="M62" i="3"/>
  <c r="E62" i="3"/>
  <c r="M60" i="3"/>
  <c r="M61" i="3"/>
  <c r="M59" i="3"/>
  <c r="M58" i="3"/>
  <c r="M38" i="3"/>
  <c r="U38" i="3" s="1"/>
  <c r="M41" i="3"/>
  <c r="U41" i="3" s="1"/>
  <c r="M52" i="3"/>
  <c r="U52" i="3" s="1"/>
  <c r="M42" i="3"/>
  <c r="U42" i="3" s="1"/>
  <c r="M46" i="3"/>
  <c r="U46" i="3" s="1"/>
  <c r="M53" i="3"/>
  <c r="U53" i="3" s="1"/>
  <c r="M45" i="3"/>
  <c r="U45" i="3" s="1"/>
  <c r="M43" i="3"/>
  <c r="M47" i="3"/>
  <c r="R5" i="5" s="1"/>
  <c r="M54" i="3"/>
  <c r="M39" i="3"/>
  <c r="M50" i="3"/>
  <c r="U50" i="3" s="1"/>
  <c r="M40" i="3"/>
  <c r="M48" i="3"/>
  <c r="R6" i="5" s="1"/>
  <c r="M55" i="3"/>
  <c r="M44" i="3"/>
  <c r="M51" i="3"/>
  <c r="U51" i="3" s="1"/>
  <c r="M49" i="3"/>
  <c r="M37" i="3"/>
  <c r="M27" i="3"/>
  <c r="M28" i="9" s="1"/>
  <c r="M26" i="3"/>
  <c r="M21" i="3"/>
  <c r="M22" i="9" s="1"/>
  <c r="M24" i="3"/>
  <c r="M25" i="9" s="1"/>
  <c r="M22" i="3"/>
  <c r="M23" i="9" s="1"/>
  <c r="M23" i="3"/>
  <c r="M24" i="9" s="1"/>
  <c r="M20" i="3"/>
  <c r="M21" i="9" s="1"/>
  <c r="M13" i="3"/>
  <c r="M13" i="9" s="1"/>
  <c r="M11" i="3"/>
  <c r="M11" i="9" s="1"/>
  <c r="M12" i="3"/>
  <c r="M12" i="9" s="1"/>
  <c r="M10" i="3"/>
  <c r="M10" i="9" s="1"/>
  <c r="M9" i="3"/>
  <c r="M9" i="9" s="1"/>
  <c r="M28" i="3"/>
  <c r="M29" i="9" s="1"/>
  <c r="M30" i="3"/>
  <c r="M31" i="9" s="1"/>
  <c r="M31" i="3"/>
  <c r="M32" i="9" s="1"/>
  <c r="I45" i="3"/>
  <c r="I47" i="3"/>
  <c r="Q5" i="5" s="1"/>
  <c r="I22" i="3"/>
  <c r="I23" i="9" s="1"/>
  <c r="E37" i="3"/>
  <c r="E49" i="3"/>
  <c r="T7" i="5" s="1"/>
  <c r="I61" i="3"/>
  <c r="E59" i="3"/>
  <c r="I42" i="3"/>
  <c r="I48" i="3"/>
  <c r="Q6" i="5" s="1"/>
  <c r="I50" i="3"/>
  <c r="I23" i="3"/>
  <c r="I24" i="9" s="1"/>
  <c r="E38" i="3"/>
  <c r="E42" i="3"/>
  <c r="E52" i="3"/>
  <c r="E10" i="3"/>
  <c r="E10" i="9" s="1"/>
  <c r="E21" i="3"/>
  <c r="E22" i="9" s="1"/>
  <c r="I49" i="3"/>
  <c r="I46" i="3"/>
  <c r="I55" i="3"/>
  <c r="I28" i="3"/>
  <c r="I29" i="9" s="1"/>
  <c r="I10" i="3"/>
  <c r="I10" i="9" s="1"/>
  <c r="E43" i="3"/>
  <c r="E51" i="3"/>
  <c r="E39" i="3"/>
  <c r="E26" i="3"/>
  <c r="E27" i="9" s="1"/>
  <c r="E23" i="3"/>
  <c r="E24" i="9" s="1"/>
  <c r="E13" i="3"/>
  <c r="E13" i="9" s="1"/>
  <c r="E24" i="3"/>
  <c r="E25" i="9" s="1"/>
  <c r="E11" i="3"/>
  <c r="E11" i="9" s="1"/>
  <c r="E55" i="3"/>
  <c r="E46" i="3"/>
  <c r="I24" i="3"/>
  <c r="I25" i="9" s="1"/>
  <c r="I38" i="3"/>
  <c r="I39" i="3"/>
  <c r="E20" i="3"/>
  <c r="E21" i="9" s="1"/>
  <c r="E9" i="3"/>
  <c r="E9" i="9" s="1"/>
  <c r="E48" i="3"/>
  <c r="P6" i="5" s="1"/>
  <c r="E40" i="3"/>
  <c r="I12" i="3"/>
  <c r="I12" i="9" s="1"/>
  <c r="I20" i="3"/>
  <c r="I21" i="9" s="1"/>
  <c r="I52" i="3"/>
  <c r="I40" i="3"/>
  <c r="I37" i="3"/>
  <c r="I53" i="3"/>
  <c r="E58" i="3"/>
  <c r="I43" i="3"/>
  <c r="E28" i="3"/>
  <c r="E29" i="9" s="1"/>
  <c r="E45" i="3"/>
  <c r="E44" i="3"/>
  <c r="E50" i="3"/>
  <c r="I13" i="3"/>
  <c r="I13" i="9" s="1"/>
  <c r="I27" i="3"/>
  <c r="I28" i="9" s="1"/>
  <c r="I51" i="3"/>
  <c r="I54" i="3"/>
  <c r="I58" i="3"/>
  <c r="E61" i="3"/>
  <c r="E60" i="3"/>
  <c r="E53" i="3"/>
  <c r="E27" i="3"/>
  <c r="E28" i="9" s="1"/>
  <c r="E41" i="3"/>
  <c r="E54" i="3"/>
  <c r="E47" i="3"/>
  <c r="P5" i="5" s="1"/>
  <c r="I11" i="3"/>
  <c r="I11" i="9" s="1"/>
  <c r="I26" i="3"/>
  <c r="I27" i="9" s="1"/>
  <c r="I44" i="3"/>
  <c r="I60" i="3"/>
  <c r="I59" i="3"/>
  <c r="I9" i="3"/>
  <c r="I9" i="9" s="1"/>
  <c r="I41" i="3"/>
  <c r="E12" i="3"/>
  <c r="E12" i="9" s="1"/>
  <c r="E22" i="3"/>
  <c r="E23" i="9" s="1"/>
  <c r="I21" i="3"/>
  <c r="I22" i="9" s="1"/>
  <c r="I31" i="3"/>
  <c r="I32" i="9" s="1"/>
  <c r="U60" i="3"/>
  <c r="U31" i="3"/>
  <c r="U32" i="9" s="1"/>
  <c r="I30" i="3"/>
  <c r="I31" i="9" s="1"/>
  <c r="I57" i="3"/>
  <c r="U58" i="3"/>
  <c r="E31" i="3"/>
  <c r="E32" i="9" s="1"/>
  <c r="E30" i="3"/>
  <c r="E31" i="9" s="1"/>
  <c r="U30" i="3"/>
  <c r="U31" i="9" s="1"/>
  <c r="U59" i="3"/>
  <c r="U61" i="3"/>
  <c r="U57" i="3"/>
  <c r="E57" i="3"/>
  <c r="M57" i="3" a="1"/>
  <c r="Q37" i="3" a="1"/>
  <c r="A32" i="5" l="1"/>
  <c r="U26" i="3" s="1"/>
  <c r="Q37" i="3"/>
  <c r="Q64" i="3" s="1"/>
  <c r="Q25" i="3"/>
  <c r="Q21" i="9"/>
  <c r="Q12" i="9"/>
  <c r="R24" i="9" s="1"/>
  <c r="R12" i="9" s="1"/>
  <c r="R23" i="3"/>
  <c r="R12" i="3" s="1"/>
  <c r="Q11" i="9"/>
  <c r="R23" i="9" s="1"/>
  <c r="R11" i="9" s="1"/>
  <c r="R22" i="3"/>
  <c r="R11" i="3" s="1"/>
  <c r="Q13" i="9"/>
  <c r="R25" i="9" s="1"/>
  <c r="R13" i="9" s="1"/>
  <c r="R24" i="3"/>
  <c r="R13" i="3" s="1"/>
  <c r="Q10" i="9"/>
  <c r="R22" i="9" s="1"/>
  <c r="R10" i="9" s="1"/>
  <c r="R21" i="3"/>
  <c r="R10" i="3" s="1"/>
  <c r="R20" i="3"/>
  <c r="R9" i="3" s="1"/>
  <c r="Q14" i="3"/>
  <c r="Q9" i="9"/>
  <c r="Q29" i="9"/>
  <c r="Q32" i="9"/>
  <c r="T5" i="5"/>
  <c r="T6" i="5"/>
  <c r="M27" i="9"/>
  <c r="N23" i="9"/>
  <c r="N11" i="9" s="1"/>
  <c r="J25" i="9"/>
  <c r="J13" i="9" s="1"/>
  <c r="F24" i="9"/>
  <c r="F12" i="9" s="1"/>
  <c r="N25" i="9"/>
  <c r="N13" i="9" s="1"/>
  <c r="F22" i="9"/>
  <c r="F10" i="9" s="1"/>
  <c r="N22" i="9"/>
  <c r="N10" i="9" s="1"/>
  <c r="N21" i="9"/>
  <c r="N9" i="9" s="1"/>
  <c r="N24" i="9"/>
  <c r="N12" i="9" s="1"/>
  <c r="F21" i="9"/>
  <c r="F9" i="9" s="1"/>
  <c r="F25" i="9"/>
  <c r="F13" i="9" s="1"/>
  <c r="J21" i="9"/>
  <c r="J9" i="9" s="1"/>
  <c r="J23" i="9"/>
  <c r="J11" i="9" s="1"/>
  <c r="F23" i="9"/>
  <c r="F11" i="9" s="1"/>
  <c r="J22" i="9"/>
  <c r="J10" i="9" s="1"/>
  <c r="J24" i="9"/>
  <c r="J12" i="9" s="1"/>
  <c r="E64" i="3"/>
  <c r="M57" i="3"/>
  <c r="M64" i="3" s="1"/>
  <c r="U22" i="3"/>
  <c r="U23" i="9" s="1"/>
  <c r="U23" i="3"/>
  <c r="U24" i="9" s="1"/>
  <c r="N22" i="3"/>
  <c r="N11" i="3" s="1"/>
  <c r="N24" i="3"/>
  <c r="N13" i="3" s="1"/>
  <c r="M25" i="3"/>
  <c r="M26" i="9" s="1"/>
  <c r="N20" i="3"/>
  <c r="N9" i="3" s="1"/>
  <c r="N21" i="3"/>
  <c r="N10" i="3" s="1"/>
  <c r="N23" i="3"/>
  <c r="N12" i="3" s="1"/>
  <c r="M14" i="3"/>
  <c r="M14" i="9" s="1"/>
  <c r="F22" i="3"/>
  <c r="F11" i="3" s="1"/>
  <c r="F21" i="3"/>
  <c r="F10" i="3" s="1"/>
  <c r="F24" i="3"/>
  <c r="F13" i="3" s="1"/>
  <c r="F23" i="3"/>
  <c r="F12" i="3" s="1"/>
  <c r="I14" i="3"/>
  <c r="J21" i="3"/>
  <c r="J10" i="3" s="1"/>
  <c r="J20" i="3"/>
  <c r="J9" i="3" s="1"/>
  <c r="J23" i="3"/>
  <c r="J12" i="3" s="1"/>
  <c r="J24" i="3"/>
  <c r="J13" i="3" s="1"/>
  <c r="J22" i="3"/>
  <c r="J11" i="3" s="1"/>
  <c r="F20" i="3"/>
  <c r="F9" i="3" s="1"/>
  <c r="I64" i="3"/>
  <c r="I25" i="3"/>
  <c r="I26" i="9" s="1"/>
  <c r="Q32" i="3" l="1"/>
  <c r="Q70" i="3" s="1"/>
  <c r="Q26" i="9"/>
  <c r="Q34" i="3"/>
  <c r="S25" i="3" s="1"/>
  <c r="R21" i="9"/>
  <c r="R9" i="9" s="1"/>
  <c r="Q14" i="9"/>
  <c r="Q15" i="3"/>
  <c r="S14" i="3" s="1"/>
  <c r="R25" i="3"/>
  <c r="I15" i="3"/>
  <c r="J62" i="3" s="1"/>
  <c r="I14" i="9"/>
  <c r="J26" i="9" s="1"/>
  <c r="N26" i="9"/>
  <c r="V10" i="3"/>
  <c r="V10" i="9" s="1"/>
  <c r="U14" i="3"/>
  <c r="M34" i="3"/>
  <c r="M35" i="9" s="1"/>
  <c r="O26" i="9" s="1"/>
  <c r="M32" i="3"/>
  <c r="M33" i="9" s="1"/>
  <c r="O65" i="9" s="1"/>
  <c r="N25" i="3"/>
  <c r="M15" i="3"/>
  <c r="I34" i="3"/>
  <c r="I32" i="3"/>
  <c r="I33" i="9" s="1"/>
  <c r="E14" i="3"/>
  <c r="E25" i="3"/>
  <c r="E26" i="9" s="1"/>
  <c r="J25" i="3"/>
  <c r="S64" i="3" l="1"/>
  <c r="Q35" i="9"/>
  <c r="Q66" i="3"/>
  <c r="S34" i="3"/>
  <c r="S21" i="3"/>
  <c r="S26" i="3"/>
  <c r="S22" i="3"/>
  <c r="S23" i="3"/>
  <c r="S24" i="3"/>
  <c r="S27" i="3"/>
  <c r="S47" i="3"/>
  <c r="S54" i="3"/>
  <c r="S44" i="3"/>
  <c r="S20" i="3"/>
  <c r="S53" i="3"/>
  <c r="S55" i="3"/>
  <c r="S61" i="3"/>
  <c r="S37" i="3"/>
  <c r="S40" i="3"/>
  <c r="S43" i="3"/>
  <c r="S48" i="3"/>
  <c r="S49" i="3"/>
  <c r="S42" i="3"/>
  <c r="S60" i="3"/>
  <c r="S28" i="3"/>
  <c r="S50" i="3"/>
  <c r="S52" i="3"/>
  <c r="S59" i="3"/>
  <c r="S46" i="3"/>
  <c r="S51" i="3"/>
  <c r="S41" i="3"/>
  <c r="S63" i="3"/>
  <c r="S38" i="3"/>
  <c r="S58" i="3"/>
  <c r="S45" i="3"/>
  <c r="S39" i="3"/>
  <c r="S62" i="3"/>
  <c r="S32" i="3"/>
  <c r="S30" i="3"/>
  <c r="Q33" i="9"/>
  <c r="S57" i="3"/>
  <c r="S31" i="3"/>
  <c r="R64" i="3"/>
  <c r="R26" i="9"/>
  <c r="R15" i="3"/>
  <c r="R14" i="3"/>
  <c r="R26" i="3"/>
  <c r="Q17" i="3"/>
  <c r="Q17" i="9" s="1"/>
  <c r="S13" i="3"/>
  <c r="S15" i="3"/>
  <c r="S12" i="3"/>
  <c r="Q15" i="9"/>
  <c r="S11" i="3"/>
  <c r="Q16" i="3"/>
  <c r="Q16" i="9" s="1"/>
  <c r="S10" i="3"/>
  <c r="R34" i="3"/>
  <c r="R30" i="3"/>
  <c r="R32" i="3"/>
  <c r="R66" i="3"/>
  <c r="R27" i="3"/>
  <c r="R42" i="3"/>
  <c r="R38" i="3"/>
  <c r="R40" i="3"/>
  <c r="R58" i="3"/>
  <c r="R43" i="3"/>
  <c r="R45" i="3"/>
  <c r="R50" i="3"/>
  <c r="R52" i="3"/>
  <c r="R53" i="3"/>
  <c r="R59" i="3"/>
  <c r="R44" i="3"/>
  <c r="R46" i="3"/>
  <c r="R47" i="3"/>
  <c r="R48" i="3"/>
  <c r="R54" i="3"/>
  <c r="R62" i="3"/>
  <c r="R37" i="3"/>
  <c r="R49" i="3"/>
  <c r="R57" i="3"/>
  <c r="R60" i="3"/>
  <c r="R31" i="3"/>
  <c r="R51" i="3"/>
  <c r="R55" i="3"/>
  <c r="R41" i="3"/>
  <c r="R61" i="3"/>
  <c r="R63" i="3"/>
  <c r="R39" i="3"/>
  <c r="R28" i="3"/>
  <c r="S9" i="3"/>
  <c r="S70" i="3"/>
  <c r="R70" i="3"/>
  <c r="Q82" i="3"/>
  <c r="U15" i="3"/>
  <c r="U14" i="9"/>
  <c r="J61" i="3"/>
  <c r="K15" i="3"/>
  <c r="J28" i="3"/>
  <c r="J43" i="3"/>
  <c r="J53" i="3"/>
  <c r="J39" i="3"/>
  <c r="K9" i="3"/>
  <c r="J40" i="3"/>
  <c r="J63" i="3"/>
  <c r="I17" i="3"/>
  <c r="I17" i="9" s="1"/>
  <c r="J60" i="3"/>
  <c r="J44" i="3"/>
  <c r="J55" i="3"/>
  <c r="K11" i="3"/>
  <c r="J42" i="3"/>
  <c r="K13" i="3"/>
  <c r="K10" i="3"/>
  <c r="J47" i="3"/>
  <c r="J46" i="3"/>
  <c r="J26" i="3"/>
  <c r="J38" i="3"/>
  <c r="J41" i="3"/>
  <c r="J54" i="3"/>
  <c r="J58" i="3"/>
  <c r="J48" i="3"/>
  <c r="J37" i="3"/>
  <c r="N63" i="3"/>
  <c r="M15" i="9"/>
  <c r="K63" i="3"/>
  <c r="I35" i="9"/>
  <c r="K26" i="9" s="1"/>
  <c r="J59" i="3"/>
  <c r="J51" i="3"/>
  <c r="J52" i="3"/>
  <c r="J49" i="3"/>
  <c r="I16" i="3"/>
  <c r="I16" i="9" s="1"/>
  <c r="J27" i="3"/>
  <c r="J50" i="3"/>
  <c r="J45" i="3"/>
  <c r="K14" i="3"/>
  <c r="K12" i="3"/>
  <c r="I15" i="9"/>
  <c r="E15" i="3"/>
  <c r="E16" i="3" s="1"/>
  <c r="E16" i="9" s="1"/>
  <c r="E14" i="9"/>
  <c r="N15" i="9"/>
  <c r="N14" i="9"/>
  <c r="J15" i="9"/>
  <c r="J14" i="9"/>
  <c r="O35" i="9"/>
  <c r="O27" i="9"/>
  <c r="O64" i="9"/>
  <c r="O29" i="9"/>
  <c r="O62" i="9"/>
  <c r="O25" i="9"/>
  <c r="O53" i="9"/>
  <c r="O21" i="9"/>
  <c r="O50" i="9"/>
  <c r="O59" i="9"/>
  <c r="O63" i="9"/>
  <c r="O51" i="9"/>
  <c r="O61" i="9"/>
  <c r="O52" i="9"/>
  <c r="O46" i="9"/>
  <c r="O48" i="9"/>
  <c r="O38" i="9"/>
  <c r="O54" i="9"/>
  <c r="O49" i="9"/>
  <c r="O55" i="9"/>
  <c r="O22" i="9"/>
  <c r="O42" i="9"/>
  <c r="O41" i="9"/>
  <c r="O23" i="9"/>
  <c r="O43" i="9"/>
  <c r="O24" i="9"/>
  <c r="O60" i="9"/>
  <c r="O47" i="9"/>
  <c r="O56" i="9"/>
  <c r="O28" i="9"/>
  <c r="O39" i="9"/>
  <c r="O33" i="9"/>
  <c r="M71" i="9"/>
  <c r="O31" i="9"/>
  <c r="O32" i="9"/>
  <c r="O58" i="9"/>
  <c r="K31" i="9"/>
  <c r="I71" i="9"/>
  <c r="K33" i="9"/>
  <c r="K58" i="9"/>
  <c r="K32" i="9"/>
  <c r="K65" i="9"/>
  <c r="O62" i="3"/>
  <c r="O63" i="3"/>
  <c r="N57" i="3"/>
  <c r="N62" i="3"/>
  <c r="K62" i="3"/>
  <c r="V11" i="3"/>
  <c r="V11" i="9" s="1"/>
  <c r="V12" i="3"/>
  <c r="V12" i="9" s="1"/>
  <c r="V13" i="3"/>
  <c r="V13" i="9" s="1"/>
  <c r="U16" i="3"/>
  <c r="U16" i="9" s="1"/>
  <c r="V9" i="3"/>
  <c r="V9" i="9" s="1"/>
  <c r="U25" i="3"/>
  <c r="U26" i="9" s="1"/>
  <c r="M70" i="3"/>
  <c r="O57" i="3"/>
  <c r="O48" i="3"/>
  <c r="M66" i="3"/>
  <c r="N66" i="3" s="1"/>
  <c r="O21" i="3"/>
  <c r="O23" i="3"/>
  <c r="O46" i="3"/>
  <c r="O53" i="3"/>
  <c r="O27" i="3"/>
  <c r="O28" i="3"/>
  <c r="O34" i="3"/>
  <c r="O41" i="3"/>
  <c r="O43" i="3"/>
  <c r="O54" i="3"/>
  <c r="O45" i="3"/>
  <c r="O25" i="3"/>
  <c r="O39" i="3"/>
  <c r="O20" i="3"/>
  <c r="O58" i="3"/>
  <c r="O49" i="3"/>
  <c r="O60" i="3"/>
  <c r="O61" i="3"/>
  <c r="O22" i="3"/>
  <c r="O42" i="3"/>
  <c r="O64" i="3"/>
  <c r="O55" i="3"/>
  <c r="O38" i="3"/>
  <c r="O37" i="3"/>
  <c r="O26" i="3"/>
  <c r="O52" i="3"/>
  <c r="O47" i="3"/>
  <c r="O40" i="3"/>
  <c r="O50" i="3"/>
  <c r="O24" i="3"/>
  <c r="O44" i="3"/>
  <c r="O59" i="3"/>
  <c r="O51" i="3"/>
  <c r="O32" i="3"/>
  <c r="O31" i="3"/>
  <c r="O30" i="3"/>
  <c r="N64" i="3"/>
  <c r="N34" i="3"/>
  <c r="N58" i="3"/>
  <c r="N40" i="3"/>
  <c r="N45" i="3"/>
  <c r="N43" i="3"/>
  <c r="N49" i="3"/>
  <c r="N60" i="3"/>
  <c r="N51" i="3"/>
  <c r="N47" i="3"/>
  <c r="N42" i="3"/>
  <c r="N46" i="3"/>
  <c r="N54" i="3"/>
  <c r="N44" i="3"/>
  <c r="N53" i="3"/>
  <c r="N41" i="3"/>
  <c r="N37" i="3"/>
  <c r="N39" i="3"/>
  <c r="V39" i="3" s="1"/>
  <c r="U39" i="3" s="1"/>
  <c r="N38" i="3"/>
  <c r="N48" i="3"/>
  <c r="N61" i="3"/>
  <c r="N52" i="3"/>
  <c r="N50" i="3"/>
  <c r="N59" i="3"/>
  <c r="N55" i="3"/>
  <c r="N26" i="3"/>
  <c r="N27" i="3"/>
  <c r="O14" i="3"/>
  <c r="N14" i="3"/>
  <c r="N15" i="3"/>
  <c r="M17" i="3"/>
  <c r="M17" i="9" s="1"/>
  <c r="O15" i="3"/>
  <c r="M16" i="3"/>
  <c r="M16" i="9" s="1"/>
  <c r="N32" i="3"/>
  <c r="O12" i="3"/>
  <c r="O11" i="3"/>
  <c r="O9" i="3"/>
  <c r="N30" i="3"/>
  <c r="O13" i="3"/>
  <c r="O10" i="3"/>
  <c r="N28" i="3"/>
  <c r="N31" i="3"/>
  <c r="K61" i="3"/>
  <c r="K59" i="3"/>
  <c r="K58" i="3"/>
  <c r="K60" i="3"/>
  <c r="K64" i="3"/>
  <c r="K37" i="3"/>
  <c r="K51" i="3"/>
  <c r="K55" i="3"/>
  <c r="K48" i="3"/>
  <c r="K43" i="3"/>
  <c r="K54" i="3"/>
  <c r="K46" i="3"/>
  <c r="K42" i="3"/>
  <c r="K45" i="3"/>
  <c r="K38" i="3"/>
  <c r="K44" i="3"/>
  <c r="K52" i="3"/>
  <c r="K40" i="3"/>
  <c r="K41" i="3"/>
  <c r="K53" i="3"/>
  <c r="K50" i="3"/>
  <c r="K47" i="3"/>
  <c r="K49" i="3"/>
  <c r="K39" i="3"/>
  <c r="K27" i="3"/>
  <c r="K28" i="3"/>
  <c r="K23" i="3"/>
  <c r="K20" i="3"/>
  <c r="K26" i="3"/>
  <c r="K21" i="3"/>
  <c r="K22" i="3"/>
  <c r="K24" i="3"/>
  <c r="J14" i="3"/>
  <c r="J15" i="3"/>
  <c r="E32" i="3"/>
  <c r="E34" i="3"/>
  <c r="F25" i="3"/>
  <c r="F14" i="3" s="1"/>
  <c r="W14" i="3"/>
  <c r="K25" i="3"/>
  <c r="K34" i="3"/>
  <c r="J34" i="3"/>
  <c r="I66" i="3"/>
  <c r="J32" i="3"/>
  <c r="I70" i="3"/>
  <c r="I82" i="3" s="1"/>
  <c r="K32" i="3"/>
  <c r="K57" i="3"/>
  <c r="K31" i="3"/>
  <c r="K30" i="3"/>
  <c r="J64" i="3"/>
  <c r="J31" i="3"/>
  <c r="J30" i="3"/>
  <c r="J57" i="3"/>
  <c r="W15" i="3"/>
  <c r="W11" i="3"/>
  <c r="V58" i="3"/>
  <c r="V61" i="3"/>
  <c r="W9" i="3"/>
  <c r="V31" i="3"/>
  <c r="V32" i="9" s="1"/>
  <c r="V59" i="3"/>
  <c r="W12" i="3"/>
  <c r="W13" i="3"/>
  <c r="W10" i="3"/>
  <c r="V57" i="3"/>
  <c r="V60" i="3"/>
  <c r="V30" i="3"/>
  <c r="V31" i="9" s="1"/>
  <c r="U37" i="3" l="1"/>
  <c r="V26" i="3"/>
  <c r="R12" i="5"/>
  <c r="Q12" i="5"/>
  <c r="Q67" i="3"/>
  <c r="S66" i="3"/>
  <c r="S27" i="9"/>
  <c r="S23" i="9"/>
  <c r="S44" i="9"/>
  <c r="S64" i="9"/>
  <c r="S54" i="9"/>
  <c r="S41" i="9"/>
  <c r="S67" i="9"/>
  <c r="S39" i="9"/>
  <c r="S60" i="9"/>
  <c r="S50" i="9"/>
  <c r="S62" i="9"/>
  <c r="S61" i="9"/>
  <c r="S55" i="9"/>
  <c r="S46" i="9"/>
  <c r="S56" i="9"/>
  <c r="S59" i="9"/>
  <c r="S53" i="9"/>
  <c r="S51" i="9"/>
  <c r="S49" i="9"/>
  <c r="S52" i="9"/>
  <c r="S47" i="9"/>
  <c r="S35" i="9"/>
  <c r="S43" i="9"/>
  <c r="S45" i="9"/>
  <c r="S48" i="9"/>
  <c r="S42" i="9"/>
  <c r="S68" i="9"/>
  <c r="S38" i="9"/>
  <c r="S40" i="9"/>
  <c r="S63" i="9"/>
  <c r="Q73" i="9"/>
  <c r="S73" i="9" s="1"/>
  <c r="S22" i="9"/>
  <c r="S24" i="9"/>
  <c r="S25" i="9"/>
  <c r="S28" i="9"/>
  <c r="S21" i="9"/>
  <c r="S29" i="9"/>
  <c r="S58" i="9"/>
  <c r="S65" i="9"/>
  <c r="S33" i="9"/>
  <c r="Q71" i="9"/>
  <c r="R71" i="9" s="1"/>
  <c r="S31" i="9"/>
  <c r="S32" i="9"/>
  <c r="S26" i="9"/>
  <c r="R33" i="9"/>
  <c r="R41" i="9"/>
  <c r="R65" i="9"/>
  <c r="R60" i="9"/>
  <c r="R52" i="9"/>
  <c r="R67" i="9"/>
  <c r="R61" i="9"/>
  <c r="R55" i="9"/>
  <c r="S10" i="9"/>
  <c r="R63" i="9"/>
  <c r="R47" i="9"/>
  <c r="R62" i="9"/>
  <c r="R56" i="9"/>
  <c r="R51" i="9"/>
  <c r="S12" i="9"/>
  <c r="R58" i="9"/>
  <c r="S11" i="9"/>
  <c r="R59" i="9"/>
  <c r="R53" i="9"/>
  <c r="R48" i="9"/>
  <c r="R42" i="9"/>
  <c r="R46" i="9"/>
  <c r="R64" i="9"/>
  <c r="R27" i="9"/>
  <c r="R54" i="9"/>
  <c r="R49" i="9"/>
  <c r="R43" i="9"/>
  <c r="R68" i="9"/>
  <c r="R50" i="9"/>
  <c r="R39" i="9"/>
  <c r="R38" i="9"/>
  <c r="R31" i="9"/>
  <c r="R35" i="9"/>
  <c r="S15" i="9"/>
  <c r="S13" i="9"/>
  <c r="R28" i="9"/>
  <c r="S9" i="9"/>
  <c r="R29" i="9"/>
  <c r="R32" i="9"/>
  <c r="S14" i="9"/>
  <c r="R15" i="9"/>
  <c r="R14" i="9"/>
  <c r="V62" i="3"/>
  <c r="U44" i="3"/>
  <c r="U43" i="3"/>
  <c r="V40" i="3"/>
  <c r="U40" i="3" s="1"/>
  <c r="V63" i="3"/>
  <c r="U17" i="3"/>
  <c r="U17" i="9" s="1"/>
  <c r="O44" i="9"/>
  <c r="O45" i="9"/>
  <c r="N65" i="9"/>
  <c r="O40" i="9"/>
  <c r="K44" i="9"/>
  <c r="K45" i="9"/>
  <c r="J65" i="9"/>
  <c r="K40" i="9"/>
  <c r="N47" i="9"/>
  <c r="U15" i="9"/>
  <c r="V63" i="9" s="1"/>
  <c r="F39" i="3"/>
  <c r="O10" i="9"/>
  <c r="F37" i="3"/>
  <c r="N60" i="9"/>
  <c r="N49" i="9"/>
  <c r="K21" i="9"/>
  <c r="O12" i="9"/>
  <c r="K41" i="9"/>
  <c r="K23" i="9"/>
  <c r="K61" i="9"/>
  <c r="K53" i="9"/>
  <c r="K38" i="9"/>
  <c r="K27" i="9"/>
  <c r="K52" i="9"/>
  <c r="K62" i="9"/>
  <c r="K50" i="9"/>
  <c r="K54" i="9"/>
  <c r="F43" i="3"/>
  <c r="F27" i="3"/>
  <c r="N42" i="9"/>
  <c r="O13" i="9"/>
  <c r="K64" i="9"/>
  <c r="K24" i="9"/>
  <c r="K39" i="9"/>
  <c r="F62" i="3"/>
  <c r="N27" i="9"/>
  <c r="K51" i="9"/>
  <c r="K46" i="9"/>
  <c r="G13" i="3"/>
  <c r="O11" i="9"/>
  <c r="N31" i="9"/>
  <c r="K59" i="9"/>
  <c r="K22" i="9"/>
  <c r="K35" i="9"/>
  <c r="N29" i="9"/>
  <c r="N50" i="9"/>
  <c r="K28" i="9"/>
  <c r="K56" i="9"/>
  <c r="G10" i="3"/>
  <c r="F48" i="3"/>
  <c r="F55" i="3"/>
  <c r="F28" i="3"/>
  <c r="F64" i="3"/>
  <c r="G9" i="3"/>
  <c r="F51" i="3"/>
  <c r="V51" i="3" s="1"/>
  <c r="F26" i="3"/>
  <c r="U27" i="9" s="1"/>
  <c r="F49" i="3"/>
  <c r="F47" i="3"/>
  <c r="F60" i="3"/>
  <c r="F31" i="3"/>
  <c r="F50" i="3"/>
  <c r="V50" i="3" s="1"/>
  <c r="F45" i="3"/>
  <c r="F61" i="3"/>
  <c r="F30" i="3"/>
  <c r="E17" i="3"/>
  <c r="E17" i="9" s="1"/>
  <c r="F53" i="3"/>
  <c r="F54" i="3"/>
  <c r="V54" i="3" s="1"/>
  <c r="F41" i="3"/>
  <c r="V41" i="3" s="1"/>
  <c r="F59" i="3"/>
  <c r="G14" i="3"/>
  <c r="F57" i="3"/>
  <c r="G12" i="3"/>
  <c r="F44" i="3"/>
  <c r="F42" i="3"/>
  <c r="V42" i="3" s="1"/>
  <c r="F46" i="3"/>
  <c r="V46" i="3" s="1"/>
  <c r="F58" i="3"/>
  <c r="J47" i="9"/>
  <c r="G15" i="3"/>
  <c r="G11" i="3"/>
  <c r="F38" i="3"/>
  <c r="V38" i="3" s="1"/>
  <c r="F40" i="3"/>
  <c r="F52" i="3"/>
  <c r="V52" i="3" s="1"/>
  <c r="K25" i="9"/>
  <c r="K63" i="9"/>
  <c r="K12" i="9"/>
  <c r="N28" i="9"/>
  <c r="N61" i="9"/>
  <c r="N48" i="9"/>
  <c r="N59" i="9"/>
  <c r="J39" i="9"/>
  <c r="N55" i="9"/>
  <c r="N51" i="9"/>
  <c r="O9" i="9"/>
  <c r="N64" i="9"/>
  <c r="O14" i="9"/>
  <c r="K14" i="9"/>
  <c r="N39" i="9"/>
  <c r="V39" i="9" s="1"/>
  <c r="N58" i="9"/>
  <c r="N53" i="9"/>
  <c r="N56" i="9"/>
  <c r="N43" i="9"/>
  <c r="N54" i="9"/>
  <c r="N63" i="9"/>
  <c r="N52" i="9"/>
  <c r="N32" i="9"/>
  <c r="N41" i="9"/>
  <c r="N46" i="9"/>
  <c r="N38" i="9"/>
  <c r="N62" i="9"/>
  <c r="O15" i="9"/>
  <c r="J52" i="9"/>
  <c r="J32" i="9"/>
  <c r="J61" i="9"/>
  <c r="J55" i="9"/>
  <c r="J49" i="9"/>
  <c r="J54" i="9"/>
  <c r="J46" i="9"/>
  <c r="J62" i="9"/>
  <c r="K9" i="9"/>
  <c r="J56" i="9"/>
  <c r="J59" i="9"/>
  <c r="J29" i="9"/>
  <c r="J28" i="9"/>
  <c r="J42" i="9"/>
  <c r="N33" i="9"/>
  <c r="N35" i="9"/>
  <c r="K13" i="9"/>
  <c r="J60" i="9"/>
  <c r="K11" i="9"/>
  <c r="J31" i="9"/>
  <c r="J43" i="9"/>
  <c r="J27" i="9"/>
  <c r="K15" i="9"/>
  <c r="K10" i="9"/>
  <c r="J38" i="9"/>
  <c r="Q13" i="5" s="1"/>
  <c r="J33" i="9"/>
  <c r="K42" i="9"/>
  <c r="K55" i="9"/>
  <c r="K43" i="9"/>
  <c r="K47" i="9"/>
  <c r="J35" i="9"/>
  <c r="J48" i="9"/>
  <c r="J51" i="9"/>
  <c r="J58" i="9"/>
  <c r="J53" i="9"/>
  <c r="K48" i="9"/>
  <c r="K60" i="9"/>
  <c r="K29" i="9"/>
  <c r="K49" i="9"/>
  <c r="J41" i="9"/>
  <c r="J50" i="9"/>
  <c r="J63" i="9"/>
  <c r="J64" i="9"/>
  <c r="G63" i="3"/>
  <c r="E35" i="9"/>
  <c r="F32" i="3"/>
  <c r="E33" i="9"/>
  <c r="F26" i="9"/>
  <c r="F63" i="3"/>
  <c r="E15" i="9"/>
  <c r="K71" i="9"/>
  <c r="J71" i="9"/>
  <c r="I83" i="9"/>
  <c r="I68" i="9"/>
  <c r="J67" i="9"/>
  <c r="K67" i="9"/>
  <c r="O67" i="9"/>
  <c r="N67" i="9"/>
  <c r="M68" i="9"/>
  <c r="N71" i="9"/>
  <c r="O71" i="9"/>
  <c r="M83" i="9"/>
  <c r="O70" i="3"/>
  <c r="M82" i="3"/>
  <c r="G62" i="3"/>
  <c r="V45" i="3"/>
  <c r="V27" i="3"/>
  <c r="V28" i="9" s="1"/>
  <c r="V25" i="3"/>
  <c r="V26" i="9" s="1"/>
  <c r="N70" i="3"/>
  <c r="O66" i="3"/>
  <c r="M67" i="3"/>
  <c r="N67" i="3" s="1"/>
  <c r="G61" i="3"/>
  <c r="G60" i="3"/>
  <c r="G59" i="3"/>
  <c r="F34" i="3"/>
  <c r="G58" i="3"/>
  <c r="G31" i="3"/>
  <c r="G57" i="3"/>
  <c r="E70" i="3"/>
  <c r="E82" i="3" s="1"/>
  <c r="G30" i="3"/>
  <c r="G20" i="3"/>
  <c r="G32" i="3"/>
  <c r="E66" i="3"/>
  <c r="G66" i="3" s="1"/>
  <c r="G64" i="3"/>
  <c r="G37" i="3"/>
  <c r="G42" i="3"/>
  <c r="G46" i="3"/>
  <c r="G44" i="3"/>
  <c r="G47" i="3"/>
  <c r="G38" i="3"/>
  <c r="G49" i="3"/>
  <c r="G48" i="3"/>
  <c r="G50" i="3"/>
  <c r="G39" i="3"/>
  <c r="G40" i="3"/>
  <c r="G51" i="3"/>
  <c r="G53" i="3"/>
  <c r="G54" i="3"/>
  <c r="G43" i="3"/>
  <c r="G45" i="3"/>
  <c r="G52" i="3"/>
  <c r="G41" i="3"/>
  <c r="G55" i="3"/>
  <c r="F15" i="3"/>
  <c r="G27" i="3"/>
  <c r="G28" i="3"/>
  <c r="G26" i="3"/>
  <c r="G34" i="3"/>
  <c r="G25" i="3"/>
  <c r="G24" i="3"/>
  <c r="G22" i="3"/>
  <c r="G21" i="3"/>
  <c r="G23" i="3"/>
  <c r="K70" i="3"/>
  <c r="J70" i="3"/>
  <c r="I67" i="3"/>
  <c r="J66" i="3"/>
  <c r="K66" i="3"/>
  <c r="Q14" i="5" l="1"/>
  <c r="R13" i="5"/>
  <c r="R14" i="5" s="1"/>
  <c r="P12" i="5"/>
  <c r="R73" i="9"/>
  <c r="S71" i="9"/>
  <c r="Q83" i="9"/>
  <c r="S67" i="3"/>
  <c r="Q72" i="3"/>
  <c r="R67" i="3"/>
  <c r="U28" i="3"/>
  <c r="U29" i="9" s="1"/>
  <c r="W11" i="9"/>
  <c r="U44" i="9"/>
  <c r="U45" i="9"/>
  <c r="V64" i="9"/>
  <c r="V41" i="9"/>
  <c r="U41" i="9" s="1"/>
  <c r="V55" i="9"/>
  <c r="W14" i="9"/>
  <c r="G40" i="9"/>
  <c r="G44" i="9"/>
  <c r="V58" i="9"/>
  <c r="V59" i="9"/>
  <c r="W12" i="9"/>
  <c r="W15" i="9"/>
  <c r="V61" i="9"/>
  <c r="W10" i="9"/>
  <c r="V60" i="9"/>
  <c r="W13" i="9"/>
  <c r="V62" i="9"/>
  <c r="W9" i="9"/>
  <c r="V46" i="9"/>
  <c r="V27" i="9"/>
  <c r="G65" i="9"/>
  <c r="G31" i="9"/>
  <c r="E71" i="9"/>
  <c r="G33" i="9"/>
  <c r="G58" i="9"/>
  <c r="G32" i="9"/>
  <c r="G26" i="9"/>
  <c r="G35" i="9"/>
  <c r="G43" i="9"/>
  <c r="G29" i="9"/>
  <c r="G62" i="9"/>
  <c r="G38" i="9"/>
  <c r="G25" i="9"/>
  <c r="G48" i="9"/>
  <c r="G54" i="9"/>
  <c r="G59" i="9"/>
  <c r="G56" i="9"/>
  <c r="G46" i="9"/>
  <c r="G42" i="9"/>
  <c r="G21" i="9"/>
  <c r="G52" i="9"/>
  <c r="G55" i="9"/>
  <c r="G64" i="9"/>
  <c r="G45" i="9"/>
  <c r="G49" i="9"/>
  <c r="G63" i="9"/>
  <c r="G53" i="9"/>
  <c r="G28" i="9"/>
  <c r="G47" i="9"/>
  <c r="G24" i="9"/>
  <c r="G23" i="9"/>
  <c r="G51" i="9"/>
  <c r="G50" i="9"/>
  <c r="G22" i="9"/>
  <c r="G27" i="9"/>
  <c r="G61" i="9"/>
  <c r="G60" i="9"/>
  <c r="G41" i="9"/>
  <c r="G39" i="9"/>
  <c r="F64" i="9"/>
  <c r="G9" i="9"/>
  <c r="F32" i="9"/>
  <c r="F29" i="9"/>
  <c r="F33" i="9"/>
  <c r="F61" i="9"/>
  <c r="G13" i="9"/>
  <c r="F54" i="9"/>
  <c r="U54" i="9" s="1"/>
  <c r="V54" i="9" s="1"/>
  <c r="F46" i="9"/>
  <c r="F63" i="9"/>
  <c r="F38" i="9"/>
  <c r="P13" i="5" s="1"/>
  <c r="F28" i="9"/>
  <c r="F42" i="9"/>
  <c r="V42" i="9" s="1"/>
  <c r="G11" i="9"/>
  <c r="F53" i="9"/>
  <c r="V53" i="9" s="1"/>
  <c r="F56" i="9"/>
  <c r="F43" i="9"/>
  <c r="V43" i="9" s="1"/>
  <c r="F47" i="9"/>
  <c r="V47" i="9" s="1"/>
  <c r="F50" i="9"/>
  <c r="U50" i="9" s="1"/>
  <c r="V50" i="9" s="1"/>
  <c r="G10" i="9"/>
  <c r="F65" i="9"/>
  <c r="F58" i="9"/>
  <c r="F55" i="9"/>
  <c r="F51" i="9"/>
  <c r="U51" i="9" s="1"/>
  <c r="V51" i="9" s="1"/>
  <c r="F49" i="9"/>
  <c r="U49" i="9" s="1"/>
  <c r="V49" i="9" s="1"/>
  <c r="F41" i="9"/>
  <c r="F39" i="9"/>
  <c r="F62" i="9"/>
  <c r="F35" i="9"/>
  <c r="G15" i="9"/>
  <c r="F48" i="9"/>
  <c r="U48" i="9" s="1"/>
  <c r="V48" i="9" s="1"/>
  <c r="F60" i="9"/>
  <c r="F27" i="9"/>
  <c r="F59" i="9"/>
  <c r="F31" i="9"/>
  <c r="G12" i="9"/>
  <c r="F52" i="9"/>
  <c r="U52" i="9" s="1"/>
  <c r="V52" i="9" s="1"/>
  <c r="F14" i="9"/>
  <c r="F15" i="9"/>
  <c r="G14" i="9"/>
  <c r="O68" i="9"/>
  <c r="N68" i="9"/>
  <c r="M73" i="9"/>
  <c r="K68" i="9"/>
  <c r="J68" i="9"/>
  <c r="I73" i="9"/>
  <c r="F70" i="3"/>
  <c r="V15" i="3"/>
  <c r="V15" i="9" s="1"/>
  <c r="V14" i="3"/>
  <c r="V14" i="9" s="1"/>
  <c r="M72" i="3"/>
  <c r="O72" i="3" s="1"/>
  <c r="O67" i="3"/>
  <c r="G70" i="3"/>
  <c r="E67" i="3"/>
  <c r="G67" i="3" s="1"/>
  <c r="F66" i="3"/>
  <c r="J67" i="3"/>
  <c r="K67" i="3"/>
  <c r="I72" i="3"/>
  <c r="P14" i="5" l="1"/>
  <c r="U34" i="3"/>
  <c r="U35" i="9" s="1"/>
  <c r="W52" i="9" s="1"/>
  <c r="U32" i="3"/>
  <c r="U33" i="9" s="1"/>
  <c r="V28" i="3"/>
  <c r="V29" i="9" s="1"/>
  <c r="S72" i="3"/>
  <c r="R72" i="3"/>
  <c r="F67" i="9"/>
  <c r="E68" i="9"/>
  <c r="G67" i="9"/>
  <c r="G71" i="9"/>
  <c r="F71" i="9"/>
  <c r="E83" i="9"/>
  <c r="J73" i="9"/>
  <c r="K73" i="9"/>
  <c r="O73" i="9"/>
  <c r="N73" i="9"/>
  <c r="V53" i="3"/>
  <c r="N72" i="3"/>
  <c r="E72" i="3"/>
  <c r="F67" i="3"/>
  <c r="K72" i="3"/>
  <c r="J72" i="3"/>
  <c r="W61" i="3" l="1"/>
  <c r="W59" i="3"/>
  <c r="U55" i="3"/>
  <c r="V55" i="3" s="1"/>
  <c r="W30" i="3"/>
  <c r="W60" i="3"/>
  <c r="W63" i="3"/>
  <c r="V32" i="3"/>
  <c r="V33" i="9" s="1"/>
  <c r="W32" i="3"/>
  <c r="W31" i="3"/>
  <c r="W62" i="3"/>
  <c r="W58" i="3"/>
  <c r="W57" i="3"/>
  <c r="W41" i="9"/>
  <c r="W39" i="9"/>
  <c r="E73" i="9"/>
  <c r="G68" i="9"/>
  <c r="F68" i="9"/>
  <c r="W50" i="9"/>
  <c r="W28" i="9"/>
  <c r="W27" i="9"/>
  <c r="W53" i="9"/>
  <c r="W40" i="9"/>
  <c r="W26" i="9"/>
  <c r="W49" i="9"/>
  <c r="W42" i="9"/>
  <c r="W55" i="9"/>
  <c r="W54" i="9"/>
  <c r="W25" i="9"/>
  <c r="W35" i="9"/>
  <c r="W24" i="9"/>
  <c r="W21" i="9"/>
  <c r="W51" i="9"/>
  <c r="W43" i="9"/>
  <c r="W47" i="9"/>
  <c r="W29" i="9"/>
  <c r="W22" i="9"/>
  <c r="W23" i="9"/>
  <c r="W45" i="9"/>
  <c r="W48" i="9"/>
  <c r="W46" i="9"/>
  <c r="W44" i="9"/>
  <c r="W61" i="9"/>
  <c r="W33" i="9"/>
  <c r="W62" i="9"/>
  <c r="W60" i="9"/>
  <c r="W32" i="9"/>
  <c r="W31" i="9"/>
  <c r="W63" i="9"/>
  <c r="W64" i="9"/>
  <c r="W59" i="9"/>
  <c r="W58" i="9"/>
  <c r="F72" i="3"/>
  <c r="G72" i="3"/>
  <c r="F73" i="9" l="1"/>
  <c r="G73" i="9"/>
  <c r="V67" i="9"/>
  <c r="W67" i="9"/>
  <c r="V56" i="9"/>
  <c r="W56" i="9"/>
  <c r="W51" i="3" l="1"/>
  <c r="W37" i="3"/>
  <c r="W27" i="3"/>
  <c r="W25" i="3"/>
  <c r="W45" i="3"/>
  <c r="W53" i="3"/>
  <c r="W54" i="3"/>
  <c r="W22" i="3"/>
  <c r="W28" i="3"/>
  <c r="W24" i="3"/>
  <c r="W26" i="3"/>
  <c r="W20" i="3"/>
  <c r="W41" i="3"/>
  <c r="W34" i="3"/>
  <c r="W43" i="3"/>
  <c r="W39" i="3"/>
  <c r="V34" i="3"/>
  <c r="V35" i="9" s="1"/>
  <c r="W21" i="3"/>
  <c r="W23" i="3"/>
  <c r="W40" i="3"/>
  <c r="W50" i="3"/>
  <c r="W52" i="3"/>
  <c r="W42" i="3"/>
  <c r="W38" i="3"/>
  <c r="W55" i="3"/>
  <c r="W46" i="3"/>
  <c r="U66" i="3"/>
  <c r="V66" i="3" s="1"/>
  <c r="W66" i="3" l="1"/>
  <c r="W44" i="3"/>
  <c r="V38" i="9"/>
  <c r="U38" i="9" s="1"/>
  <c r="U65" i="9" l="1"/>
  <c r="U68" i="9"/>
  <c r="W38" i="9"/>
  <c r="W68" i="9" l="1"/>
  <c r="U49" i="3"/>
  <c r="U73" i="9"/>
  <c r="S3" i="5"/>
  <c r="V68" i="9"/>
  <c r="V65" i="9"/>
  <c r="W65" i="9"/>
  <c r="U71" i="9"/>
  <c r="W49" i="3" l="1"/>
  <c r="V49" i="3"/>
  <c r="V71" i="9"/>
  <c r="W71" i="9"/>
  <c r="V73" i="9"/>
  <c r="W73" i="9"/>
  <c r="S6" i="5"/>
  <c r="U48" i="3" s="1"/>
  <c r="S5" i="5"/>
  <c r="U47" i="3" s="1"/>
  <c r="W47" i="3" l="1"/>
  <c r="U67" i="3"/>
  <c r="U64" i="3"/>
  <c r="V47" i="3"/>
  <c r="V48" i="3"/>
  <c r="W48" i="3"/>
  <c r="U72" i="3" l="1"/>
  <c r="V67" i="3"/>
  <c r="W67" i="3"/>
  <c r="U70" i="3"/>
  <c r="V64" i="3"/>
  <c r="W64" i="3"/>
  <c r="V72" i="3" l="1"/>
  <c r="V80" i="3"/>
  <c r="W72" i="3"/>
  <c r="V70" i="3"/>
  <c r="W70" i="3"/>
</calcChain>
</file>

<file path=xl/sharedStrings.xml><?xml version="1.0" encoding="utf-8"?>
<sst xmlns="http://schemas.openxmlformats.org/spreadsheetml/2006/main" count="1003" uniqueCount="611">
  <si>
    <t>MULTIPLIER (annualization factor):</t>
  </si>
  <si>
    <t>DAYS:</t>
  </si>
  <si>
    <t>EBITDAR</t>
  </si>
  <si>
    <t>TOTAL OPERATING EXPENSES</t>
  </si>
  <si>
    <t>TOTAL EXPENSES (w/ Excluded)</t>
  </si>
  <si>
    <t>Bad Debt</t>
  </si>
  <si>
    <t>Utilities</t>
  </si>
  <si>
    <t>Property, Plant, &amp; Maintenance</t>
  </si>
  <si>
    <t>Real Estate Taxes</t>
  </si>
  <si>
    <t>Employee Benefits</t>
  </si>
  <si>
    <t>Payroll Taxes</t>
  </si>
  <si>
    <t>Insurance</t>
  </si>
  <si>
    <t>General Administrative</t>
  </si>
  <si>
    <t>Marketing</t>
  </si>
  <si>
    <t>Social Services</t>
  </si>
  <si>
    <t>Activities</t>
  </si>
  <si>
    <t>Laundry &amp; Linen</t>
  </si>
  <si>
    <t>Housekeeping</t>
  </si>
  <si>
    <t>Dietary</t>
  </si>
  <si>
    <t>%-REV</t>
  </si>
  <si>
    <t>PPD</t>
  </si>
  <si>
    <t>OPERATING EXPENSES</t>
  </si>
  <si>
    <t>TOTAL REVENUE</t>
  </si>
  <si>
    <t>TOTAL REVENUE (w/ Excluded)</t>
  </si>
  <si>
    <t>Miscellaneous</t>
  </si>
  <si>
    <t>Other Resident Revenues</t>
  </si>
  <si>
    <t>Ancillary Services</t>
  </si>
  <si>
    <t>Hospice</t>
  </si>
  <si>
    <t>Medicaid</t>
  </si>
  <si>
    <t>Medicare</t>
  </si>
  <si>
    <t>Private Pay</t>
  </si>
  <si>
    <t>REVENUE</t>
  </si>
  <si>
    <t>OCCUPANCY</t>
  </si>
  <si>
    <t>TOTAL</t>
  </si>
  <si>
    <t>%-CENSUS</t>
  </si>
  <si>
    <t>ADC</t>
  </si>
  <si>
    <t>OCCUPANCY METRICS</t>
  </si>
  <si>
    <t>CODE RANGE</t>
  </si>
  <si>
    <t>PROPERTY NAME</t>
  </si>
  <si>
    <t>2015</t>
  </si>
  <si>
    <t>T6A</t>
  </si>
  <si>
    <t>(1/1/2014 - 12/31/2014)</t>
  </si>
  <si>
    <t>(1/1/2015 - 12/31/2015)</t>
  </si>
  <si>
    <t>SKILLED NURSING UNITS</t>
  </si>
  <si>
    <t>SKILLED NURSING BED LICENSES</t>
  </si>
  <si>
    <t>LICENSED SKILLED NURSING BEDS</t>
  </si>
  <si>
    <t>AVAILABLE SKILLED NURSING BEDS</t>
  </si>
  <si>
    <t>CODE FORMULA</t>
  </si>
  <si>
    <t>HMO/Insurance</t>
  </si>
  <si>
    <t>TOTAL SKILLED NURSING</t>
  </si>
  <si>
    <t>Therapies &amp; Ancillary Services</t>
  </si>
  <si>
    <t>UN-CODED REVENUES</t>
  </si>
  <si>
    <t>EXCLUDED Revenues</t>
  </si>
  <si>
    <t>Nursing Care</t>
  </si>
  <si>
    <t>Nursing Administrative</t>
  </si>
  <si>
    <t>Real Estate &amp; Other Taxes</t>
  </si>
  <si>
    <t>UN-CODED EXPENSES</t>
  </si>
  <si>
    <t>EXCLUDED Expenses</t>
  </si>
  <si>
    <t>EXCLUDED Management Fees</t>
  </si>
  <si>
    <t>EXCLUDED Rent</t>
  </si>
  <si>
    <t>EXCLUDED Expense Adjustments</t>
  </si>
  <si>
    <t>EBITDAR (w/ Excluded)</t>
  </si>
  <si>
    <t>FOOTNOTES</t>
  </si>
  <si>
    <t>%,ATF,FDESCR</t>
  </si>
  <si>
    <t>%,AFT,FACCOUNT</t>
  </si>
  <si>
    <t>%,Y2014001</t>
  </si>
  <si>
    <t>%,Y2014002</t>
  </si>
  <si>
    <t>%,Y2014003</t>
  </si>
  <si>
    <t>%,Y2014004</t>
  </si>
  <si>
    <t>%,Y2014005</t>
  </si>
  <si>
    <t>%,Y2014006</t>
  </si>
  <si>
    <t>%,Y2014007</t>
  </si>
  <si>
    <t>%,Y2014008</t>
  </si>
  <si>
    <t>%,Y2014009</t>
  </si>
  <si>
    <t>%,Y2014010</t>
  </si>
  <si>
    <t>%,Y2014011</t>
  </si>
  <si>
    <t>%,Y2014012</t>
  </si>
  <si>
    <t>%,Y2015001</t>
  </si>
  <si>
    <t>%,Y2015002</t>
  </si>
  <si>
    <t>%,Y2015003</t>
  </si>
  <si>
    <t>%,Y2015004</t>
  </si>
  <si>
    <t>%,Y2015005</t>
  </si>
  <si>
    <t>%,Y2015006</t>
  </si>
  <si>
    <t>%,Y2015007</t>
  </si>
  <si>
    <t>%,Y2015008</t>
  </si>
  <si>
    <t>%,Y2015009</t>
  </si>
  <si>
    <t>%,Y2015010</t>
  </si>
  <si>
    <t>%,Y2015011</t>
  </si>
  <si>
    <t>%,Y2015012</t>
  </si>
  <si>
    <t>%,Y2016001</t>
  </si>
  <si>
    <t>%,Y2016002</t>
  </si>
  <si>
    <t>%,Y2016003</t>
  </si>
  <si>
    <t>%,Y2016004</t>
  </si>
  <si>
    <t>%,Y2016005</t>
  </si>
  <si>
    <t>%,Y2016006</t>
  </si>
  <si>
    <t>TABLE</t>
  </si>
  <si>
    <t>CODE</t>
  </si>
  <si>
    <t>ITEM</t>
  </si>
  <si>
    <t>CATEGORY</t>
  </si>
  <si>
    <t>FORMATTED FIELD 1</t>
  </si>
  <si>
    <t>Census P&amp;L Cash Rent</t>
  </si>
  <si>
    <t>90560</t>
  </si>
  <si>
    <t>Willow Springs Health &amp; Rehab</t>
  </si>
  <si>
    <t>2016-06-30</t>
  </si>
  <si>
    <t>2014-1</t>
  </si>
  <si>
    <t>2014-2</t>
  </si>
  <si>
    <t>2014-3</t>
  </si>
  <si>
    <t>2014-4</t>
  </si>
  <si>
    <t>2014-5</t>
  </si>
  <si>
    <t>2014-6</t>
  </si>
  <si>
    <t>2014-7</t>
  </si>
  <si>
    <t>2014-8</t>
  </si>
  <si>
    <t>2014-9</t>
  </si>
  <si>
    <t>2014-10</t>
  </si>
  <si>
    <t>2014-11</t>
  </si>
  <si>
    <t>2014-12</t>
  </si>
  <si>
    <t>2015-1</t>
  </si>
  <si>
    <t>2015-2</t>
  </si>
  <si>
    <t>2015-3</t>
  </si>
  <si>
    <t>2015-4</t>
  </si>
  <si>
    <t>2015-5</t>
  </si>
  <si>
    <t>2015-6</t>
  </si>
  <si>
    <t>2015-7</t>
  </si>
  <si>
    <t>2015-8</t>
  </si>
  <si>
    <t>2015-9</t>
  </si>
  <si>
    <t>2015-10</t>
  </si>
  <si>
    <t>2015-11</t>
  </si>
  <si>
    <t>2015-12</t>
  </si>
  <si>
    <t>2016-1</t>
  </si>
  <si>
    <t>2016-2</t>
  </si>
  <si>
    <t>2016-3</t>
  </si>
  <si>
    <t>2016-4</t>
  </si>
  <si>
    <t>2016-5</t>
  </si>
  <si>
    <t>2016-6</t>
  </si>
  <si>
    <t>Licensed beds</t>
  </si>
  <si>
    <t>900000</t>
  </si>
  <si>
    <t>Available beds</t>
  </si>
  <si>
    <t>900011</t>
  </si>
  <si>
    <t>Occupancy %</t>
  </si>
  <si>
    <t>Private</t>
  </si>
  <si>
    <t>Census PPD</t>
  </si>
  <si>
    <t>CENSUS</t>
  </si>
  <si>
    <t xml:space="preserve">Total Census </t>
  </si>
  <si>
    <t>Medicare A</t>
  </si>
  <si>
    <t>Medicare B</t>
  </si>
  <si>
    <t>REV</t>
  </si>
  <si>
    <t>Apartment</t>
  </si>
  <si>
    <t xml:space="preserve">Total Revenue </t>
  </si>
  <si>
    <t>Costs and expenses:</t>
  </si>
  <si>
    <t>EXP</t>
  </si>
  <si>
    <t>Wages</t>
  </si>
  <si>
    <t>500010</t>
  </si>
  <si>
    <t>Director of Nursing</t>
  </si>
  <si>
    <t>500012</t>
  </si>
  <si>
    <t>Asst Director of Nursing RN</t>
  </si>
  <si>
    <t>500013</t>
  </si>
  <si>
    <t>Asst. Director of Nursing LPN</t>
  </si>
  <si>
    <t>500014</t>
  </si>
  <si>
    <t>Unit Manager-RN</t>
  </si>
  <si>
    <t>500016</t>
  </si>
  <si>
    <t>Aides wages</t>
  </si>
  <si>
    <t>500040</t>
  </si>
  <si>
    <t>RN Wages</t>
  </si>
  <si>
    <t>500050</t>
  </si>
  <si>
    <t>RN Wound Care Wages</t>
  </si>
  <si>
    <t>500055</t>
  </si>
  <si>
    <t>LPN Wages</t>
  </si>
  <si>
    <t>500070</t>
  </si>
  <si>
    <t>LPN Wound Care Wages</t>
  </si>
  <si>
    <t>500075</t>
  </si>
  <si>
    <t>Restorative Aides Wages</t>
  </si>
  <si>
    <t>500090</t>
  </si>
  <si>
    <t>Allocated Wages</t>
  </si>
  <si>
    <t>500095</t>
  </si>
  <si>
    <t>Overtime</t>
  </si>
  <si>
    <t>500110</t>
  </si>
  <si>
    <t>ADON RN Overtime</t>
  </si>
  <si>
    <t>500113</t>
  </si>
  <si>
    <t>ADON-LPN Overtime</t>
  </si>
  <si>
    <t>500114</t>
  </si>
  <si>
    <t>Aides Overtime</t>
  </si>
  <si>
    <t>500140</t>
  </si>
  <si>
    <t>RN Overtime</t>
  </si>
  <si>
    <t>500150</t>
  </si>
  <si>
    <t>RN Wound Care OT Wages</t>
  </si>
  <si>
    <t>500155</t>
  </si>
  <si>
    <t>LPN Overtime</t>
  </si>
  <si>
    <t>500170</t>
  </si>
  <si>
    <t>LPN Wound Care OT Wages</t>
  </si>
  <si>
    <t>500175</t>
  </si>
  <si>
    <t>Restorative Aides Overtime</t>
  </si>
  <si>
    <t>500190</t>
  </si>
  <si>
    <t>RNAC/MDS Coordinator Wages</t>
  </si>
  <si>
    <t>501030</t>
  </si>
  <si>
    <t>LPNAC MDS Coordinator Wages</t>
  </si>
  <si>
    <t>501036</t>
  </si>
  <si>
    <t>Certified Medication Aide Wage</t>
  </si>
  <si>
    <t>501080</t>
  </si>
  <si>
    <t>RNAC/MDS Coord Overtime</t>
  </si>
  <si>
    <t>501130</t>
  </si>
  <si>
    <t>LPNAC MDS Coord Overtime</t>
  </si>
  <si>
    <t>501136</t>
  </si>
  <si>
    <t>Certified Medication Aide OT</t>
  </si>
  <si>
    <t>501180</t>
  </si>
  <si>
    <t>Bonus</t>
  </si>
  <si>
    <t>502000</t>
  </si>
  <si>
    <t>Holiday wages</t>
  </si>
  <si>
    <t>502060</t>
  </si>
  <si>
    <t>Sick wages</t>
  </si>
  <si>
    <t>502070</t>
  </si>
  <si>
    <t>Vacation wages</t>
  </si>
  <si>
    <t>502080</t>
  </si>
  <si>
    <t>Non-Work Wages</t>
  </si>
  <si>
    <t>502090</t>
  </si>
  <si>
    <t xml:space="preserve">   Salary and Wage Expense</t>
  </si>
  <si>
    <t>Operating Expenses</t>
  </si>
  <si>
    <t>Other Employee Benefits</t>
  </si>
  <si>
    <t>503050</t>
  </si>
  <si>
    <t>Uniform Expense</t>
  </si>
  <si>
    <t>503060</t>
  </si>
  <si>
    <t>Allocated Benefits</t>
  </si>
  <si>
    <t>503070</t>
  </si>
  <si>
    <t>Payroll Taxes/FICA</t>
  </si>
  <si>
    <t>503110</t>
  </si>
  <si>
    <t>Futa</t>
  </si>
  <si>
    <t>503120</t>
  </si>
  <si>
    <t>Suta</t>
  </si>
  <si>
    <t>503130</t>
  </si>
  <si>
    <t>Health Insurance Deductions</t>
  </si>
  <si>
    <t>503140</t>
  </si>
  <si>
    <t>Health Insurance Gross Cost</t>
  </si>
  <si>
    <t>503145</t>
  </si>
  <si>
    <t>Workers Compensation</t>
  </si>
  <si>
    <t>503160</t>
  </si>
  <si>
    <t>Oxygen Costs</t>
  </si>
  <si>
    <t>601110</t>
  </si>
  <si>
    <t>Medical Director Fees</t>
  </si>
  <si>
    <t>601130</t>
  </si>
  <si>
    <t>Registry RN</t>
  </si>
  <si>
    <t>601210</t>
  </si>
  <si>
    <t>Registry LPN</t>
  </si>
  <si>
    <t>601220</t>
  </si>
  <si>
    <t>Registry Aides</t>
  </si>
  <si>
    <t>601230</t>
  </si>
  <si>
    <t>Billable Medical Supplies</t>
  </si>
  <si>
    <t>601410</t>
  </si>
  <si>
    <t>Non-Billable Supplies</t>
  </si>
  <si>
    <t>601415</t>
  </si>
  <si>
    <t>Formula</t>
  </si>
  <si>
    <t>601440</t>
  </si>
  <si>
    <t>Supplements</t>
  </si>
  <si>
    <t>601442</t>
  </si>
  <si>
    <t>Supplies</t>
  </si>
  <si>
    <t>601450</t>
  </si>
  <si>
    <t>Prescription drugs</t>
  </si>
  <si>
    <t>601530</t>
  </si>
  <si>
    <t>Non-Prescription drugs</t>
  </si>
  <si>
    <t>601535</t>
  </si>
  <si>
    <t>Contract Prof. Services</t>
  </si>
  <si>
    <t>610040</t>
  </si>
  <si>
    <t>Raw Food</t>
  </si>
  <si>
    <t>610140</t>
  </si>
  <si>
    <t>Dietary Utensils</t>
  </si>
  <si>
    <t>610145</t>
  </si>
  <si>
    <t>Linen costs</t>
  </si>
  <si>
    <t>610165</t>
  </si>
  <si>
    <t>Cable/Internet Expense</t>
  </si>
  <si>
    <t>610290</t>
  </si>
  <si>
    <t>Non-Allowable Expense</t>
  </si>
  <si>
    <t>610520</t>
  </si>
  <si>
    <t>Transportation Costs</t>
  </si>
  <si>
    <t>610550</t>
  </si>
  <si>
    <t>Travel- Lodging</t>
  </si>
  <si>
    <t>630105</t>
  </si>
  <si>
    <t>Airline Travel</t>
  </si>
  <si>
    <t>630110</t>
  </si>
  <si>
    <t>Auto- Repairs and Maintenance</t>
  </si>
  <si>
    <t>630122</t>
  </si>
  <si>
    <t>Car Rental</t>
  </si>
  <si>
    <t>630124</t>
  </si>
  <si>
    <t>Mileage</t>
  </si>
  <si>
    <t>630125</t>
  </si>
  <si>
    <t>Meals/Entertainment</t>
  </si>
  <si>
    <t>630130</t>
  </si>
  <si>
    <t>Meetings/Conferences</t>
  </si>
  <si>
    <t>630140</t>
  </si>
  <si>
    <t>Training/Education</t>
  </si>
  <si>
    <t>630150</t>
  </si>
  <si>
    <t>Travel Meals</t>
  </si>
  <si>
    <t>630160</t>
  </si>
  <si>
    <t>Tips</t>
  </si>
  <si>
    <t>630165</t>
  </si>
  <si>
    <t>Advertising and P.R.</t>
  </si>
  <si>
    <t>630220</t>
  </si>
  <si>
    <t>Forms and Printing</t>
  </si>
  <si>
    <t>630320</t>
  </si>
  <si>
    <t>Postage</t>
  </si>
  <si>
    <t>630330</t>
  </si>
  <si>
    <t>Overnight Service</t>
  </si>
  <si>
    <t>630334</t>
  </si>
  <si>
    <t>Telephone</t>
  </si>
  <si>
    <t>630340</t>
  </si>
  <si>
    <t>Wireless Telephone</t>
  </si>
  <si>
    <t>630341</t>
  </si>
  <si>
    <t>Minor Furniture &amp; Fixtures</t>
  </si>
  <si>
    <t>630410</t>
  </si>
  <si>
    <t>Heat, Power and Light</t>
  </si>
  <si>
    <t>630440</t>
  </si>
  <si>
    <t>Infectious Waste Removal</t>
  </si>
  <si>
    <t>630442</t>
  </si>
  <si>
    <t>Trash and Refuse Disposal</t>
  </si>
  <si>
    <t>630444</t>
  </si>
  <si>
    <t>Water &amp; Sewer</t>
  </si>
  <si>
    <t>630446</t>
  </si>
  <si>
    <t>Repairs and Maintenance</t>
  </si>
  <si>
    <t>630460</t>
  </si>
  <si>
    <t>Licenses</t>
  </si>
  <si>
    <t>630520</t>
  </si>
  <si>
    <t>630530</t>
  </si>
  <si>
    <t>Personal Property Taxes</t>
  </si>
  <si>
    <t>630535</t>
  </si>
  <si>
    <t>Sales &amp; Use Tax</t>
  </si>
  <si>
    <t>630552</t>
  </si>
  <si>
    <t>Insurance - Property/Other</t>
  </si>
  <si>
    <t>630610</t>
  </si>
  <si>
    <t>Insurance-Automobile</t>
  </si>
  <si>
    <t>630615</t>
  </si>
  <si>
    <t>Insurance-Other</t>
  </si>
  <si>
    <t>630630</t>
  </si>
  <si>
    <t>Employee Hiring/Moving</t>
  </si>
  <si>
    <t>630700</t>
  </si>
  <si>
    <t>Bank Charges</t>
  </si>
  <si>
    <t>630720</t>
  </si>
  <si>
    <t>Dues/Subscriptions</t>
  </si>
  <si>
    <t>630730</t>
  </si>
  <si>
    <t>Employee Patient Loss Fund</t>
  </si>
  <si>
    <t>630740</t>
  </si>
  <si>
    <t>Penalties</t>
  </si>
  <si>
    <t>630755</t>
  </si>
  <si>
    <t>Provision for Bad Debt</t>
  </si>
  <si>
    <t>630760</t>
  </si>
  <si>
    <t>Bad Debt Part B Co-Ins</t>
  </si>
  <si>
    <t>630762</t>
  </si>
  <si>
    <t>Referral &amp; Physician Gifts</t>
  </si>
  <si>
    <t>630767</t>
  </si>
  <si>
    <t>Survey Fines</t>
  </si>
  <si>
    <t>630775</t>
  </si>
  <si>
    <t>Background Checks</t>
  </si>
  <si>
    <t>630780</t>
  </si>
  <si>
    <t>Allocated Non-Wages</t>
  </si>
  <si>
    <t>630785</t>
  </si>
  <si>
    <t>Equipment Rent</t>
  </si>
  <si>
    <t>632210</t>
  </si>
  <si>
    <t xml:space="preserve">   Other Operating Expense</t>
  </si>
  <si>
    <t xml:space="preserve"> Operating Expense</t>
  </si>
  <si>
    <t>EBITDARMI</t>
  </si>
  <si>
    <t>GLPL</t>
  </si>
  <si>
    <t>630620</t>
  </si>
  <si>
    <t>EBITDARM</t>
  </si>
  <si>
    <t>EBITDARM %</t>
  </si>
  <si>
    <t>FAS/FCOS</t>
  </si>
  <si>
    <t>EBITDAR %</t>
  </si>
  <si>
    <t>Cash Rent</t>
  </si>
  <si>
    <t>909000</t>
  </si>
  <si>
    <t>EBITDA</t>
  </si>
  <si>
    <t>EBITDA %</t>
  </si>
  <si>
    <t>USE WAGE CODING</t>
  </si>
  <si>
    <t>EXPENSE</t>
  </si>
  <si>
    <t>Data Name</t>
  </si>
  <si>
    <t>Code</t>
  </si>
  <si>
    <t>Standard Code</t>
  </si>
  <si>
    <t>Wage Code</t>
  </si>
  <si>
    <t>MANAGEMENT FEE</t>
  </si>
  <si>
    <t>Willow Springs</t>
  </si>
  <si>
    <t>NUMERIC ID</t>
  </si>
  <si>
    <t>CENSUS PRIVATE</t>
  </si>
  <si>
    <t>CENSUS MEDICARE</t>
  </si>
  <si>
    <t>CENSUS MEDICAID</t>
  </si>
  <si>
    <t>CENSUS HOSPICE</t>
  </si>
  <si>
    <t>CENSUS INSURANCE</t>
  </si>
  <si>
    <t>COSTS AND EXPENSES: WAGES</t>
  </si>
  <si>
    <t>COSTS AND EXPENSES: DIRECTOR OF NURSING</t>
  </si>
  <si>
    <t>COSTS AND EXPENSES: ASST DIRECTOR OF NURSING RN</t>
  </si>
  <si>
    <t>COSTS AND EXPENSES: ASST. DIRECTOR OF NURSING LPN</t>
  </si>
  <si>
    <t>COSTS AND EXPENSES: UNIT MANAGER-RN</t>
  </si>
  <si>
    <t>COSTS AND EXPENSES: AIDES WAGES</t>
  </si>
  <si>
    <t>COSTS AND EXPENSES: RN WAGES</t>
  </si>
  <si>
    <t>COSTS AND EXPENSES: RN WOUND CARE WAGES</t>
  </si>
  <si>
    <t>COSTS AND EXPENSES: LPN WAGES</t>
  </si>
  <si>
    <t>COSTS AND EXPENSES: LPN WOUND CARE WAGES</t>
  </si>
  <si>
    <t>COSTS AND EXPENSES: RESTORATIVE AIDES WAGES</t>
  </si>
  <si>
    <t>COSTS AND EXPENSES: ALLOCATED WAGES</t>
  </si>
  <si>
    <t>COSTS AND EXPENSES: OVERTIME</t>
  </si>
  <si>
    <t>COSTS AND EXPENSES: ADON RN OVERTIME</t>
  </si>
  <si>
    <t>COSTS AND EXPENSES: ADON-LPN OVERTIME</t>
  </si>
  <si>
    <t>COSTS AND EXPENSES: AIDES OVERTIME</t>
  </si>
  <si>
    <t>COSTS AND EXPENSES: RN OVERTIME</t>
  </si>
  <si>
    <t>COSTS AND EXPENSES: RN WOUND CARE OT WAGES</t>
  </si>
  <si>
    <t>COSTS AND EXPENSES: LPN OVERTIME</t>
  </si>
  <si>
    <t>COSTS AND EXPENSES: LPN WOUND CARE OT WAGES</t>
  </si>
  <si>
    <t>COSTS AND EXPENSES: RESTORATIVE AIDES OVERTIME</t>
  </si>
  <si>
    <t>COSTS AND EXPENSES: RNAC/MDS COORDINATOR WAGES</t>
  </si>
  <si>
    <t>COSTS AND EXPENSES: LPNAC MDS COORDINATOR WAGES</t>
  </si>
  <si>
    <t>COSTS AND EXPENSES: CERTIFIED MEDICATION AIDE WAGE</t>
  </si>
  <si>
    <t>COSTS AND EXPENSES: RNAC/MDS COORD OVERTIME</t>
  </si>
  <si>
    <t>COSTS AND EXPENSES: LPNAC MDS COORD OVERTIME</t>
  </si>
  <si>
    <t>COSTS AND EXPENSES: CERTIFIED MEDICATION AIDE OT</t>
  </si>
  <si>
    <t>COSTS AND EXPENSES: BONUS</t>
  </si>
  <si>
    <t>COSTS AND EXPENSES: HOLIDAY WAGES</t>
  </si>
  <si>
    <t>COSTS AND EXPENSES: SICK WAGES</t>
  </si>
  <si>
    <t>COSTS AND EXPENSES: VACATION WAGES</t>
  </si>
  <si>
    <t>COSTS AND EXPENSES: NON-WORK WAGES</t>
  </si>
  <si>
    <t>OPERATING EXPENSES OTHER EMPLOYEE BENEFITS</t>
  </si>
  <si>
    <t>OPERATING EXPENSES UNIFORM EXPENSE</t>
  </si>
  <si>
    <t>OPERATING EXPENSES ALLOCATED BENEFITS</t>
  </si>
  <si>
    <t>OPERATING EXPENSES PAYROLL TAXES/FICA</t>
  </si>
  <si>
    <t>OPERATING EXPENSES FUTA</t>
  </si>
  <si>
    <t>OPERATING EXPENSES SUTA</t>
  </si>
  <si>
    <t>OPERATING EXPENSES HEALTH INSURANCE DEDUCTIONS</t>
  </si>
  <si>
    <t>OPERATING EXPENSES HEALTH INSURANCE GROSS COST</t>
  </si>
  <si>
    <t>OPERATING EXPENSES WORKERS COMPENSATION</t>
  </si>
  <si>
    <t>OPERATING EXPENSES OXYGEN COSTS</t>
  </si>
  <si>
    <t>OPERATING EXPENSES MEDICAL DIRECTOR FEES</t>
  </si>
  <si>
    <t>OPERATING EXPENSES REGISTRY RN</t>
  </si>
  <si>
    <t>OPERATING EXPENSES REGISTRY LPN</t>
  </si>
  <si>
    <t>OPERATING EXPENSES REGISTRY AIDES</t>
  </si>
  <si>
    <t>OPERATING EXPENSES BILLABLE MEDICAL SUPPLIES</t>
  </si>
  <si>
    <t>OPERATING EXPENSES NON-BILLABLE SUPPLIES</t>
  </si>
  <si>
    <t>OPERATING EXPENSES FORMULA</t>
  </si>
  <si>
    <t>OPERATING EXPENSES SUPPLEMENTS</t>
  </si>
  <si>
    <t>OPERATING EXPENSES SUPPLIES</t>
  </si>
  <si>
    <t>OPERATING EXPENSES PRESCRIPTION DRUGS</t>
  </si>
  <si>
    <t>OPERATING EXPENSES NON-PRESCRIPTION DRUGS</t>
  </si>
  <si>
    <t>OPERATING EXPENSES CONTRACT PROF. SERVICES</t>
  </si>
  <si>
    <t>OPERATING EXPENSES RAW FOOD</t>
  </si>
  <si>
    <t>OPERATING EXPENSES DIETARY UTENSILS</t>
  </si>
  <si>
    <t>OPERATING EXPENSES LINEN COSTS</t>
  </si>
  <si>
    <t>OPERATING EXPENSES CABLE/INTERNET EXPENSE</t>
  </si>
  <si>
    <t>OPERATING EXPENSES NON-ALLOWABLE EXPENSE</t>
  </si>
  <si>
    <t>OPERATING EXPENSES TRANSPORTATION COSTS</t>
  </si>
  <si>
    <t>OPERATING EXPENSES TRAVEL- LODGING</t>
  </si>
  <si>
    <t>OPERATING EXPENSES AIRLINE TRAVEL</t>
  </si>
  <si>
    <t>OPERATING EXPENSES AUTO- REPAIRS AND MAINTENANCE</t>
  </si>
  <si>
    <t>OPERATING EXPENSES CAR RENTAL</t>
  </si>
  <si>
    <t>OPERATING EXPENSES MILEAGE</t>
  </si>
  <si>
    <t>OPERATING EXPENSES MEALS/ENTERTAINMENT</t>
  </si>
  <si>
    <t>OPERATING EXPENSES MEETINGS/CONFERENCES</t>
  </si>
  <si>
    <t>OPERATING EXPENSES TRAINING/EDUCATION</t>
  </si>
  <si>
    <t>OPERATING EXPENSES TRAVEL MEALS</t>
  </si>
  <si>
    <t>OPERATING EXPENSES TIPS</t>
  </si>
  <si>
    <t>OPERATING EXPENSES ADVERTISING AND P.R.</t>
  </si>
  <si>
    <t>OPERATING EXPENSES FORMS AND PRINTING</t>
  </si>
  <si>
    <t>OPERATING EXPENSES POSTAGE</t>
  </si>
  <si>
    <t>OPERATING EXPENSES OVERNIGHT SERVICE</t>
  </si>
  <si>
    <t>OPERATING EXPENSES TELEPHONE</t>
  </si>
  <si>
    <t>OPERATING EXPENSES WIRELESS TELEPHONE</t>
  </si>
  <si>
    <t>OPERATING EXPENSES MINOR FURNITURE &amp; FIXTURES</t>
  </si>
  <si>
    <t>OPERATING EXPENSES HEAT, POWER AND LIGHT</t>
  </si>
  <si>
    <t>OPERATING EXPENSES INFECTIOUS WASTE REMOVAL</t>
  </si>
  <si>
    <t>OPERATING EXPENSES TRASH AND REFUSE DISPOSAL</t>
  </si>
  <si>
    <t>OPERATING EXPENSES WATER &amp; SEWER</t>
  </si>
  <si>
    <t>OPERATING EXPENSES REPAIRS AND MAINTENANCE</t>
  </si>
  <si>
    <t>OPERATING EXPENSES LICENSES</t>
  </si>
  <si>
    <t>OPERATING EXPENSES REAL ESTATE TAXES</t>
  </si>
  <si>
    <t>OPERATING EXPENSES PERSONAL PROPERTY TAXES</t>
  </si>
  <si>
    <t>OPERATING EXPENSES SALES &amp; USE TAX</t>
  </si>
  <si>
    <t>OPERATING EXPENSES INSURANCE - PROPERTY/OTHER</t>
  </si>
  <si>
    <t>OPERATING EXPENSES INSURANCE-AUTOMOBILE</t>
  </si>
  <si>
    <t>OPERATING EXPENSES INSURANCE-OTHER</t>
  </si>
  <si>
    <t>OPERATING EXPENSES EMPLOYEE HIRING/MOVING</t>
  </si>
  <si>
    <t>OPERATING EXPENSES BANK CHARGES</t>
  </si>
  <si>
    <t>OPERATING EXPENSES DUES/SUBSCRIPTIONS</t>
  </si>
  <si>
    <t>OPERATING EXPENSES EMPLOYEE PATIENT LOSS FUND</t>
  </si>
  <si>
    <t>OPERATING EXPENSES PENALTIES</t>
  </si>
  <si>
    <t>OPERATING EXPENSES PROVISION FOR BAD DEBT</t>
  </si>
  <si>
    <t>OPERATING EXPENSES BAD DEBT PART B CO-INS</t>
  </si>
  <si>
    <t>OPERATING EXPENSES REFERRAL &amp; PHYSICIAN GIFTS</t>
  </si>
  <si>
    <t>OPERATING EXPENSES SURVEY FINES</t>
  </si>
  <si>
    <t>OPERATING EXPENSES BACKGROUND CHECKS</t>
  </si>
  <si>
    <t>OPERATING EXPENSES ALLOCATED NON-WAGES</t>
  </si>
  <si>
    <t>OPERATING EXPENSES EQUIPMENT RENT</t>
  </si>
  <si>
    <t>REVENUE PRIVATE</t>
  </si>
  <si>
    <t>REVENUE MEDICARE A</t>
  </si>
  <si>
    <t>REVENUE MEDICARE B</t>
  </si>
  <si>
    <t>REVENUE MEDICAID</t>
  </si>
  <si>
    <t>REVENUE HOSPICE</t>
  </si>
  <si>
    <t>REVENUE INSURANCE</t>
  </si>
  <si>
    <t>REVENUE APARTMENT</t>
  </si>
  <si>
    <t>2014 DATA</t>
  </si>
  <si>
    <t>2014 DATA RANGE</t>
  </si>
  <si>
    <t>2015 DATA RANGE</t>
  </si>
  <si>
    <t>2015 DATA</t>
  </si>
  <si>
    <t>T6A DATA</t>
  </si>
  <si>
    <t>1. T6A defined as operating performance for the trailing six-month period between 1/1/2016 and 6/30/2016, annualized</t>
  </si>
  <si>
    <t>Worker's Compensation</t>
  </si>
  <si>
    <t>NURSING SERVICES REVENUE</t>
  </si>
  <si>
    <t>Nursing Services Revenue</t>
  </si>
  <si>
    <t>TTM</t>
  </si>
  <si>
    <t>T6A DATA RANGE</t>
  </si>
  <si>
    <t>TTM DATA RANGE</t>
  </si>
  <si>
    <t>(7/1/2015 - 6/30/2016)</t>
  </si>
  <si>
    <t>Pro Forma</t>
  </si>
  <si>
    <t>BAD DEBT</t>
  </si>
  <si>
    <t>Bad debt normalized to industry standard of 1%</t>
  </si>
  <si>
    <t>EXCLUDED Wages</t>
  </si>
  <si>
    <t>EXCLUDED Prof. Contracted Services</t>
  </si>
  <si>
    <t>Nursing Administration</t>
  </si>
  <si>
    <t>Speech Therapy</t>
  </si>
  <si>
    <t>Physical Therapy</t>
  </si>
  <si>
    <t>Occupational Therapy</t>
  </si>
  <si>
    <t>Respiratory Therapy</t>
  </si>
  <si>
    <t>Wound Care</t>
  </si>
  <si>
    <t>Pharmacy</t>
  </si>
  <si>
    <t>Radiology</t>
  </si>
  <si>
    <t>Lab</t>
  </si>
  <si>
    <t>Physician visits</t>
  </si>
  <si>
    <t>Maintenance/Plant oper.</t>
  </si>
  <si>
    <t>Laundry</t>
  </si>
  <si>
    <t>Medical Records</t>
  </si>
  <si>
    <t>Community Relations</t>
  </si>
  <si>
    <t>Administration</t>
  </si>
  <si>
    <t>CPS</t>
  </si>
  <si>
    <t>Admissions</t>
  </si>
  <si>
    <t>Classroom Orientation</t>
  </si>
  <si>
    <t>Transportation</t>
  </si>
  <si>
    <t>Contracted Prof. Services</t>
  </si>
  <si>
    <t>CONTRACTED PROF. SERVICES NURSING ADMINISTRATION</t>
  </si>
  <si>
    <t>CONTRACTED PROF. SERVICES SPEECH THERAPY</t>
  </si>
  <si>
    <t>CONTRACTED PROF. SERVICES PHYSICAL THERAPY</t>
  </si>
  <si>
    <t>CONTRACTED PROF. SERVICES OCCUPATIONAL THERAPY</t>
  </si>
  <si>
    <t>CONTRACTED PROF. SERVICES RESPIRATORY THERAPY</t>
  </si>
  <si>
    <t>CONTRACTED PROF. SERVICES WOUND CARE</t>
  </si>
  <si>
    <t>CONTRACTED PROF. SERVICES PHARMACY</t>
  </si>
  <si>
    <t>CONTRACTED PROF. SERVICES RADIOLOGY</t>
  </si>
  <si>
    <t>CONTRACTED PROF. SERVICES LAB</t>
  </si>
  <si>
    <t>CONTRACTED PROF. SERVICES PHYSICIAN VISITS</t>
  </si>
  <si>
    <t>CONTRACTED PROF. SERVICES ACTIVITIES</t>
  </si>
  <si>
    <t>CONTRACTED PROF. SERVICES DIETARY</t>
  </si>
  <si>
    <t>CONTRACTED PROF. SERVICES HOUSEKEEPING</t>
  </si>
  <si>
    <t>CONTRACTED PROF. SERVICES MAINTENANCE/PLANT OPER.</t>
  </si>
  <si>
    <t>CONTRACTED PROF. SERVICES LAUNDRY</t>
  </si>
  <si>
    <t>CONTRACTED PROF. SERVICES MEDICAL RECORDS</t>
  </si>
  <si>
    <t>CONTRACTED PROF. SERVICES COMMUNITY RELATIONS</t>
  </si>
  <si>
    <t>CONTRACTED PROF. SERVICES ADMINISTRATION</t>
  </si>
  <si>
    <t>WAGES NURSING ADMINISTRATION</t>
  </si>
  <si>
    <t>WAGES ADMISSIONS</t>
  </si>
  <si>
    <t>WAGES CLASSROOM ORIENTATION</t>
  </si>
  <si>
    <t>WAGES ACTIVITIES</t>
  </si>
  <si>
    <t>WAGES SOCIAL SERVICES</t>
  </si>
  <si>
    <t>WAGES DIETARY</t>
  </si>
  <si>
    <t>WAGES MAINTENANCE/PLANT OPER.</t>
  </si>
  <si>
    <t>WAGES MEDICAL RECORDS</t>
  </si>
  <si>
    <t>WAGES COMMUNITY RELATIONS</t>
  </si>
  <si>
    <t>WAGES ADMINISTRATION</t>
  </si>
  <si>
    <t>WAGES TRANSPORTATION</t>
  </si>
  <si>
    <t>$B$2:$B$250</t>
  </si>
  <si>
    <t>$J$2:$U$250</t>
  </si>
  <si>
    <t>$V$2:$AG$250</t>
  </si>
  <si>
    <t>$AB$2:$AM$250</t>
  </si>
  <si>
    <t>$AH$2:$AM$250</t>
  </si>
  <si>
    <t>Diff</t>
  </si>
  <si>
    <t>(1/1/2017 - 12/31/2017)</t>
  </si>
  <si>
    <r>
      <t>TTM</t>
    </r>
    <r>
      <rPr>
        <b/>
        <vertAlign val="superscript"/>
        <sz val="14"/>
        <color theme="0"/>
        <rFont val="Open Sans"/>
      </rPr>
      <t>1</t>
    </r>
  </si>
  <si>
    <t>1. TTM defined as operating performance for the trailing twelve-month period between 7/1/2015 and 6/30/2016, annualized</t>
  </si>
  <si>
    <t>3. ADC defined as Average Daily Census (beds)</t>
  </si>
  <si>
    <r>
      <t>ADC</t>
    </r>
    <r>
      <rPr>
        <b/>
        <vertAlign val="superscript"/>
        <sz val="14"/>
        <color theme="1"/>
        <rFont val="Open Sans"/>
      </rPr>
      <t>3</t>
    </r>
  </si>
  <si>
    <r>
      <t>PPD</t>
    </r>
    <r>
      <rPr>
        <b/>
        <vertAlign val="superscript"/>
        <sz val="14"/>
        <color theme="1"/>
        <rFont val="Open Sans"/>
        <family val="2"/>
      </rPr>
      <t>4</t>
    </r>
  </si>
  <si>
    <t>4. PPD defined as effective revenues and expenses realized Per Patient Day</t>
  </si>
  <si>
    <r>
      <t>Q-MIX</t>
    </r>
    <r>
      <rPr>
        <b/>
        <vertAlign val="superscript"/>
        <sz val="14"/>
        <rFont val="Open Sans"/>
      </rPr>
      <t>5</t>
    </r>
  </si>
  <si>
    <t>5. Q-Mix calculated as non-Medicaid patients as a percentage of Total Census</t>
  </si>
  <si>
    <r>
      <t>Management Fee</t>
    </r>
    <r>
      <rPr>
        <vertAlign val="superscript"/>
        <sz val="14"/>
        <rFont val="Open Sans"/>
      </rPr>
      <t>6</t>
    </r>
  </si>
  <si>
    <t>6. An industry standard Management Fee (5.0% of Total Revenue) is included in each period</t>
  </si>
  <si>
    <t>* Pro Forma scenario reflects census, revenue and operating expenses in-line with previously achieved stabilized operating performance at the community</t>
  </si>
  <si>
    <r>
      <t>Pro Forma</t>
    </r>
    <r>
      <rPr>
        <b/>
        <vertAlign val="superscript"/>
        <sz val="14"/>
        <color theme="0"/>
        <rFont val="Open Sans"/>
      </rPr>
      <t>*</t>
    </r>
  </si>
  <si>
    <t>HISTORICAL %-AGE OF LABOR DRIVEN</t>
  </si>
  <si>
    <t>0</t>
  </si>
  <si>
    <t>INDUSTRY STANDARD</t>
  </si>
  <si>
    <t>PPD DRIVEN; SEE VIG</t>
  </si>
  <si>
    <t>PPD DRIVEN - 2014 Historical</t>
  </si>
  <si>
    <t>TOTAL EXPENSE DRIVEN ( Average of 2014, 15 and TTM)</t>
  </si>
  <si>
    <t>HISTORICAL % OF LABOR ANALYSIS</t>
  </si>
  <si>
    <t>Labor Costs</t>
  </si>
  <si>
    <t>% of Labor</t>
  </si>
  <si>
    <t>Therapy &amp; Ancillary Services</t>
  </si>
  <si>
    <t>TTM PPD</t>
  </si>
  <si>
    <t>PPD DRIVEN - TTM Benchmark</t>
  </si>
  <si>
    <t>TOTAL EXPENSE DRIVEN (TTM Benchmark)</t>
  </si>
  <si>
    <t>INFLATION MULTIPLIER</t>
  </si>
  <si>
    <t>WC MULTIPLIER</t>
  </si>
  <si>
    <t>Median</t>
  </si>
  <si>
    <t>1% of Labor - Benchmarked from Project Harley</t>
  </si>
  <si>
    <t>TTM Hist. w/ Inflation</t>
  </si>
  <si>
    <t>VIG Nursing PPD</t>
  </si>
  <si>
    <t>VIG PPD DRIVEN - Median Value</t>
  </si>
  <si>
    <t>VIG  Housekeeping PPD</t>
  </si>
  <si>
    <t>VIG Laundry/Linen PPD</t>
  </si>
  <si>
    <t>Pro Forma Nursing Labor PPD</t>
  </si>
  <si>
    <t>Total Nursing Care</t>
  </si>
  <si>
    <t>Nursing Care Labor</t>
  </si>
  <si>
    <t>% of Total</t>
  </si>
  <si>
    <t>Pro Forma Nursing Labor PPD Multiple</t>
  </si>
  <si>
    <t>OPERATING EXPENSE</t>
  </si>
  <si>
    <t>LICENSED BEDS</t>
  </si>
  <si>
    <t>AVAILABLE BEDS</t>
  </si>
  <si>
    <t>THERE ARE 7.8 medicare residents in T6A operating window</t>
  </si>
  <si>
    <t>PPD DRIVEN;  Taken from Historical Ratio of labor to total Nursing Labor</t>
  </si>
  <si>
    <t>Therapies PPD</t>
  </si>
  <si>
    <r>
      <t>ADC</t>
    </r>
    <r>
      <rPr>
        <b/>
        <vertAlign val="superscript"/>
        <sz val="14"/>
        <color theme="1"/>
        <rFont val="Open Sans"/>
      </rPr>
      <t>2</t>
    </r>
  </si>
  <si>
    <r>
      <t>PPD</t>
    </r>
    <r>
      <rPr>
        <b/>
        <vertAlign val="superscript"/>
        <sz val="14"/>
        <color theme="1"/>
        <rFont val="Open Sans"/>
      </rPr>
      <t>3</t>
    </r>
  </si>
  <si>
    <r>
      <t>Q-MIX</t>
    </r>
    <r>
      <rPr>
        <b/>
        <vertAlign val="superscript"/>
        <sz val="14"/>
        <rFont val="Open Sans"/>
      </rPr>
      <t>4</t>
    </r>
  </si>
  <si>
    <r>
      <t>Management Fee</t>
    </r>
    <r>
      <rPr>
        <vertAlign val="superscript"/>
        <sz val="14"/>
        <rFont val="Open Sans"/>
      </rPr>
      <t>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</si>
</sst>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&quot;$&quot;#,##0.00"/>
    <numFmt numFmtId="166" formatCode="0.000"/>
    <numFmt numFmtId="167" formatCode="0.0%"/>
    <numFmt numFmtId="168" formatCode="0.0"/>
    <numFmt numFmtId="169" formatCode="mmm\ yyyy"/>
    <numFmt numFmtId="170" formatCode="0.0000"/>
  </numFmts>
  <fonts count="4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Open Sans"/>
      <family val="2"/>
    </font>
    <font>
      <i/>
      <sz val="14"/>
      <color theme="1"/>
      <name val="Open Sans"/>
      <family val="2"/>
    </font>
    <font>
      <sz val="10"/>
      <name val="Arial"/>
      <family val="2"/>
    </font>
    <font>
      <b/>
      <sz val="14"/>
      <color theme="0"/>
      <name val="Open Sans"/>
      <family val="2"/>
    </font>
    <font>
      <sz val="14"/>
      <name val="Open Sans"/>
      <family val="2"/>
    </font>
    <font>
      <b/>
      <sz val="14"/>
      <color theme="1"/>
      <name val="Open Sans"/>
      <family val="2"/>
    </font>
    <font>
      <b/>
      <i/>
      <sz val="14"/>
      <name val="Open Sans"/>
      <family val="2"/>
    </font>
    <font>
      <sz val="14"/>
      <color theme="0"/>
      <name val="Open Sans"/>
      <family val="2"/>
    </font>
    <font>
      <b/>
      <i/>
      <sz val="14"/>
      <color theme="0"/>
      <name val="Open Sans"/>
      <family val="2"/>
    </font>
    <font>
      <b/>
      <sz val="14"/>
      <name val="Open Sans"/>
      <family val="2"/>
    </font>
    <font>
      <i/>
      <sz val="14"/>
      <name val="Open Sans"/>
      <family val="2"/>
    </font>
    <font>
      <b/>
      <vertAlign val="superscript"/>
      <sz val="14"/>
      <color theme="1"/>
      <name val="Open Sans"/>
      <family val="2"/>
    </font>
    <font>
      <i/>
      <sz val="14"/>
      <color rgb="FFFF0000"/>
      <name val="Open Sans"/>
      <family val="2"/>
    </font>
    <font>
      <b/>
      <u/>
      <sz val="14"/>
      <color theme="1"/>
      <name val="Open Sans"/>
      <family val="2"/>
    </font>
    <font>
      <b/>
      <sz val="10"/>
      <color theme="0"/>
      <name val="Open Sans"/>
      <family val="2"/>
    </font>
    <font>
      <b/>
      <sz val="10"/>
      <color theme="1"/>
      <name val="Open Sans"/>
      <family val="2"/>
    </font>
    <font>
      <sz val="10"/>
      <name val="Open Sans"/>
      <family val="2"/>
    </font>
    <font>
      <b/>
      <sz val="10"/>
      <color rgb="FF000000"/>
      <name val="Open Sans"/>
      <family val="2"/>
    </font>
    <font>
      <sz val="10"/>
      <name val="Open Sans"/>
    </font>
    <font>
      <b/>
      <sz val="11"/>
      <color theme="0"/>
      <name val="Open Sans"/>
    </font>
    <font>
      <b/>
      <sz val="10"/>
      <name val="Open Sans"/>
    </font>
    <font>
      <b/>
      <sz val="14"/>
      <name val="Open Sans"/>
    </font>
    <font>
      <b/>
      <sz val="11"/>
      <color theme="1"/>
      <name val="Open Sans"/>
    </font>
    <font>
      <sz val="6"/>
      <name val="Open Sans"/>
    </font>
    <font>
      <sz val="14"/>
      <name val="Open Sans"/>
    </font>
    <font>
      <sz val="11"/>
      <color theme="1"/>
      <name val="Open Sans"/>
    </font>
    <font>
      <sz val="10"/>
      <color rgb="FFFF0000"/>
      <name val="Open Sans"/>
    </font>
    <font>
      <vertAlign val="superscript"/>
      <sz val="14"/>
      <name val="Open Sans"/>
    </font>
    <font>
      <sz val="14"/>
      <color rgb="FFFF0000"/>
      <name val="Open Sans"/>
      <family val="2"/>
    </font>
    <font>
      <b/>
      <sz val="11"/>
      <color theme="1"/>
      <name val="Calibri"/>
      <family val="2"/>
      <scheme val="minor"/>
    </font>
    <font>
      <sz val="10"/>
      <name val="Arial"/>
    </font>
    <font>
      <b/>
      <vertAlign val="superscript"/>
      <sz val="14"/>
      <color theme="0"/>
      <name val="Open Sans"/>
    </font>
    <font>
      <b/>
      <vertAlign val="superscript"/>
      <sz val="14"/>
      <color theme="1"/>
      <name val="Open Sans"/>
    </font>
    <font>
      <b/>
      <vertAlign val="superscript"/>
      <sz val="14"/>
      <name val="Open Sans"/>
    </font>
    <font>
      <sz val="10"/>
      <color theme="0"/>
      <name val="Arial"/>
      <family val="2"/>
    </font>
    <font>
      <b/>
      <sz val="12"/>
      <color theme="1"/>
      <name val="Open Sans"/>
    </font>
    <font>
      <b/>
      <sz val="10"/>
      <color theme="0"/>
      <name val="Arial"/>
      <family val="2"/>
    </font>
    <font>
      <b/>
      <sz val="10"/>
      <color theme="1"/>
      <name val="Open Sans 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31488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4">
    <xf numFmtId="0" fontId="0" fillId="0" borderId="0"/>
    <xf numFmtId="0" fontId="2" fillId="0" borderId="0"/>
    <xf numFmtId="0" fontId="1" fillId="0" borderId="0"/>
    <xf numFmtId="0" fontId="5" fillId="0" borderId="0"/>
    <xf numFmtId="9" fontId="2" fillId="0" borderId="0" applyFont="0" applyFill="0" applyBorder="0" applyAlignment="0" applyProtection="0"/>
    <xf numFmtId="0" fontId="5" fillId="0" borderId="0"/>
    <xf numFmtId="0" fontId="1" fillId="0" borderId="0"/>
    <xf numFmtId="44" fontId="2" fillId="0" borderId="0" applyFont="0" applyFill="0" applyBorder="0" applyAlignment="0" applyProtection="0"/>
    <xf numFmtId="0" fontId="1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33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1">
    <xf numFmtId="0" fontId="0" fillId="0" borderId="0" xfId="0"/>
    <xf numFmtId="0" fontId="3" fillId="0" borderId="0" xfId="1" applyFont="1"/>
    <xf numFmtId="164" fontId="3" fillId="0" borderId="0" xfId="1" applyNumberFormat="1" applyFont="1"/>
    <xf numFmtId="0" fontId="3" fillId="0" borderId="0" xfId="1" applyFont="1" applyProtection="1">
      <protection locked="0"/>
    </xf>
    <xf numFmtId="0" fontId="3" fillId="0" borderId="0" xfId="1" applyFont="1" applyAlignment="1" applyProtection="1">
      <alignment vertical="center"/>
      <protection locked="0"/>
    </xf>
    <xf numFmtId="0" fontId="6" fillId="3" borderId="1" xfId="3" applyFont="1" applyFill="1" applyBorder="1" applyAlignment="1" applyProtection="1">
      <alignment vertical="center"/>
      <protection locked="0"/>
    </xf>
    <xf numFmtId="166" fontId="6" fillId="3" borderId="1" xfId="3" applyNumberFormat="1" applyFont="1" applyFill="1" applyBorder="1" applyAlignment="1" applyProtection="1">
      <alignment vertical="center"/>
      <protection locked="0"/>
    </xf>
    <xf numFmtId="164" fontId="3" fillId="0" borderId="0" xfId="1" applyNumberFormat="1" applyFont="1" applyAlignment="1" applyProtection="1">
      <alignment vertical="center"/>
      <protection locked="0"/>
    </xf>
    <xf numFmtId="167" fontId="6" fillId="4" borderId="2" xfId="5" applyNumberFormat="1" applyFont="1" applyFill="1" applyBorder="1" applyAlignment="1" applyProtection="1">
      <alignment horizontal="right" vertical="center"/>
      <protection locked="0"/>
    </xf>
    <xf numFmtId="165" fontId="6" fillId="4" borderId="3" xfId="5" applyNumberFormat="1" applyFont="1" applyFill="1" applyBorder="1" applyAlignment="1" applyProtection="1">
      <alignment horizontal="right" vertical="center"/>
      <protection locked="0"/>
    </xf>
    <xf numFmtId="164" fontId="6" fillId="4" borderId="4" xfId="5" applyNumberFormat="1" applyFont="1" applyFill="1" applyBorder="1" applyAlignment="1" applyProtection="1">
      <alignment horizontal="right" vertical="center"/>
      <protection locked="0"/>
    </xf>
    <xf numFmtId="6" fontId="6" fillId="4" borderId="1" xfId="5" applyNumberFormat="1" applyFont="1" applyFill="1" applyBorder="1" applyAlignment="1" applyProtection="1">
      <alignment horizontal="left" vertical="center"/>
      <protection locked="0"/>
    </xf>
    <xf numFmtId="0" fontId="3" fillId="2" borderId="0" xfId="6" applyFont="1" applyFill="1" applyAlignment="1" applyProtection="1">
      <alignment vertical="center"/>
      <protection locked="0"/>
    </xf>
    <xf numFmtId="0" fontId="3" fillId="0" borderId="5" xfId="1" applyFont="1" applyBorder="1" applyProtection="1">
      <protection locked="0"/>
    </xf>
    <xf numFmtId="0" fontId="3" fillId="0" borderId="6" xfId="1" applyFont="1" applyBorder="1" applyProtection="1">
      <protection locked="0"/>
    </xf>
    <xf numFmtId="0" fontId="3" fillId="0" borderId="0" xfId="1" applyFont="1" applyBorder="1" applyProtection="1">
      <protection locked="0"/>
    </xf>
    <xf numFmtId="0" fontId="3" fillId="0" borderId="7" xfId="1" applyFont="1" applyBorder="1" applyProtection="1">
      <protection locked="0"/>
    </xf>
    <xf numFmtId="6" fontId="6" fillId="4" borderId="1" xfId="5" quotePrefix="1" applyNumberFormat="1" applyFont="1" applyFill="1" applyBorder="1" applyAlignment="1" applyProtection="1">
      <alignment horizontal="left"/>
      <protection locked="0"/>
    </xf>
    <xf numFmtId="167" fontId="3" fillId="2" borderId="5" xfId="5" applyNumberFormat="1" applyFont="1" applyFill="1" applyBorder="1" applyAlignment="1" applyProtection="1">
      <alignment horizontal="right" vertical="center"/>
      <protection locked="0"/>
    </xf>
    <xf numFmtId="165" fontId="3" fillId="2" borderId="0" xfId="5" applyNumberFormat="1" applyFont="1" applyFill="1" applyBorder="1" applyAlignment="1" applyProtection="1">
      <alignment horizontal="right" vertical="center"/>
      <protection locked="0"/>
    </xf>
    <xf numFmtId="164" fontId="3" fillId="2" borderId="6" xfId="5" applyNumberFormat="1" applyFont="1" applyFill="1" applyBorder="1" applyAlignment="1" applyProtection="1">
      <alignment horizontal="right" vertical="center"/>
      <protection locked="0"/>
    </xf>
    <xf numFmtId="0" fontId="7" fillId="2" borderId="7" xfId="8" quotePrefix="1" applyFont="1" applyFill="1" applyBorder="1" applyAlignment="1" applyProtection="1">
      <alignment horizontal="left" indent="1"/>
      <protection locked="0"/>
    </xf>
    <xf numFmtId="0" fontId="3" fillId="0" borderId="7" xfId="1" applyFont="1" applyBorder="1" applyAlignment="1" applyProtection="1">
      <alignment horizontal="left" indent="1"/>
      <protection locked="0"/>
    </xf>
    <xf numFmtId="167" fontId="6" fillId="5" borderId="2" xfId="5" applyNumberFormat="1" applyFont="1" applyFill="1" applyBorder="1" applyAlignment="1" applyProtection="1">
      <alignment horizontal="right" vertical="center"/>
      <protection locked="0"/>
    </xf>
    <xf numFmtId="165" fontId="6" fillId="5" borderId="3" xfId="5" applyNumberFormat="1" applyFont="1" applyFill="1" applyBorder="1" applyAlignment="1" applyProtection="1">
      <alignment horizontal="right" vertical="center"/>
      <protection locked="0"/>
    </xf>
    <xf numFmtId="164" fontId="6" fillId="5" borderId="4" xfId="5" applyNumberFormat="1" applyFont="1" applyFill="1" applyBorder="1" applyAlignment="1" applyProtection="1">
      <alignment horizontal="right" vertical="center"/>
      <protection locked="0"/>
    </xf>
    <xf numFmtId="6" fontId="6" fillId="5" borderId="1" xfId="5" applyNumberFormat="1" applyFont="1" applyFill="1" applyBorder="1" applyAlignment="1" applyProtection="1">
      <alignment horizontal="left" indent="1"/>
      <protection locked="0"/>
    </xf>
    <xf numFmtId="167" fontId="3" fillId="6" borderId="5" xfId="5" applyNumberFormat="1" applyFont="1" applyFill="1" applyBorder="1" applyAlignment="1" applyProtection="1">
      <alignment horizontal="right" vertical="center"/>
      <protection locked="0"/>
    </xf>
    <xf numFmtId="165" fontId="3" fillId="6" borderId="0" xfId="5" applyNumberFormat="1" applyFont="1" applyFill="1" applyBorder="1" applyAlignment="1" applyProtection="1">
      <alignment horizontal="right" vertical="center"/>
      <protection locked="0"/>
    </xf>
    <xf numFmtId="164" fontId="3" fillId="6" borderId="6" xfId="5" applyNumberFormat="1" applyFont="1" applyFill="1" applyBorder="1" applyAlignment="1" applyProtection="1">
      <alignment horizontal="right" vertical="center"/>
      <protection locked="0"/>
    </xf>
    <xf numFmtId="0" fontId="9" fillId="6" borderId="7" xfId="8" applyFont="1" applyFill="1" applyBorder="1" applyAlignment="1" applyProtection="1">
      <alignment horizontal="left" indent="1"/>
      <protection locked="0"/>
    </xf>
    <xf numFmtId="0" fontId="7" fillId="0" borderId="0" xfId="1" applyFont="1"/>
    <xf numFmtId="0" fontId="3" fillId="0" borderId="0" xfId="1" applyFont="1" applyAlignment="1">
      <alignment vertical="center"/>
    </xf>
    <xf numFmtId="167" fontId="10" fillId="8" borderId="5" xfId="5" applyNumberFormat="1" applyFont="1" applyFill="1" applyBorder="1" applyAlignment="1" applyProtection="1">
      <alignment horizontal="right" vertical="center"/>
      <protection locked="0"/>
    </xf>
    <xf numFmtId="165" fontId="10" fillId="8" borderId="0" xfId="5" applyNumberFormat="1" applyFont="1" applyFill="1" applyBorder="1" applyAlignment="1" applyProtection="1">
      <alignment horizontal="right" vertical="center"/>
      <protection locked="0"/>
    </xf>
    <xf numFmtId="164" fontId="10" fillId="8" borderId="6" xfId="5" applyNumberFormat="1" applyFont="1" applyFill="1" applyBorder="1" applyAlignment="1" applyProtection="1">
      <alignment horizontal="right" vertical="center"/>
      <protection locked="0"/>
    </xf>
    <xf numFmtId="0" fontId="11" fillId="8" borderId="7" xfId="8" applyFont="1" applyFill="1" applyBorder="1" applyAlignment="1" applyProtection="1">
      <alignment horizontal="left" indent="1"/>
      <protection locked="0"/>
    </xf>
    <xf numFmtId="0" fontId="7" fillId="2" borderId="7" xfId="3" quotePrefix="1" applyFont="1" applyFill="1" applyBorder="1" applyAlignment="1" applyProtection="1">
      <alignment horizontal="left" indent="1"/>
      <protection locked="0"/>
    </xf>
    <xf numFmtId="0" fontId="8" fillId="2" borderId="2" xfId="5" applyFont="1" applyFill="1" applyBorder="1" applyAlignment="1">
      <alignment horizontal="right"/>
    </xf>
    <xf numFmtId="0" fontId="8" fillId="2" borderId="4" xfId="5" applyFont="1" applyFill="1" applyBorder="1" applyAlignment="1">
      <alignment horizontal="right"/>
    </xf>
    <xf numFmtId="0" fontId="12" fillId="2" borderId="1" xfId="3" applyFont="1" applyFill="1" applyBorder="1" applyAlignment="1" applyProtection="1">
      <alignment vertical="center"/>
      <protection locked="0"/>
    </xf>
    <xf numFmtId="6" fontId="7" fillId="2" borderId="5" xfId="5" applyNumberFormat="1" applyFont="1" applyFill="1" applyBorder="1" applyAlignment="1" applyProtection="1">
      <alignment horizontal="right" vertical="center"/>
      <protection locked="0"/>
    </xf>
    <xf numFmtId="5" fontId="7" fillId="2" borderId="0" xfId="5" applyNumberFormat="1" applyFont="1" applyFill="1" applyBorder="1" applyAlignment="1" applyProtection="1">
      <alignment horizontal="right" vertical="center"/>
      <protection locked="0"/>
    </xf>
    <xf numFmtId="6" fontId="7" fillId="2" borderId="6" xfId="5" applyNumberFormat="1" applyFont="1" applyFill="1" applyBorder="1" applyAlignment="1" applyProtection="1">
      <alignment horizontal="right" vertical="center"/>
      <protection locked="0"/>
    </xf>
    <xf numFmtId="0" fontId="7" fillId="2" borderId="7" xfId="3" applyFont="1" applyFill="1" applyBorder="1" applyAlignment="1" applyProtection="1">
      <alignment vertical="center"/>
      <protection locked="0"/>
    </xf>
    <xf numFmtId="164" fontId="3" fillId="2" borderId="0" xfId="5" applyNumberFormat="1" applyFont="1" applyFill="1" applyBorder="1" applyAlignment="1" applyProtection="1">
      <alignment horizontal="right" vertical="center"/>
      <protection locked="0"/>
    </xf>
    <xf numFmtId="0" fontId="7" fillId="2" borderId="7" xfId="3" applyFont="1" applyFill="1" applyBorder="1" applyAlignment="1" applyProtection="1">
      <alignment horizontal="left" vertical="center" indent="1"/>
      <protection locked="0"/>
    </xf>
    <xf numFmtId="0" fontId="7" fillId="2" borderId="0" xfId="1" applyFont="1" applyFill="1" applyAlignment="1" applyProtection="1">
      <alignment vertical="center"/>
      <protection locked="0"/>
    </xf>
    <xf numFmtId="6" fontId="6" fillId="5" borderId="1" xfId="5" applyNumberFormat="1" applyFont="1" applyFill="1" applyBorder="1" applyAlignment="1" applyProtection="1">
      <alignment horizontal="left" vertical="center"/>
      <protection locked="0"/>
    </xf>
    <xf numFmtId="0" fontId="9" fillId="6" borderId="7" xfId="8" applyFont="1" applyFill="1" applyBorder="1" applyAlignment="1" applyProtection="1">
      <alignment horizontal="left" vertical="center"/>
      <protection locked="0"/>
    </xf>
    <xf numFmtId="0" fontId="11" fillId="8" borderId="7" xfId="8" applyFont="1" applyFill="1" applyBorder="1" applyAlignment="1" applyProtection="1">
      <alignment horizontal="left" vertical="center"/>
      <protection locked="0"/>
    </xf>
    <xf numFmtId="167" fontId="4" fillId="2" borderId="2" xfId="5" applyNumberFormat="1" applyFont="1" applyFill="1" applyBorder="1" applyAlignment="1" applyProtection="1">
      <alignment horizontal="right" vertical="center"/>
      <protection locked="0"/>
    </xf>
    <xf numFmtId="165" fontId="4" fillId="2" borderId="3" xfId="5" applyNumberFormat="1" applyFont="1" applyFill="1" applyBorder="1" applyAlignment="1" applyProtection="1">
      <alignment horizontal="right" vertical="center"/>
      <protection locked="0"/>
    </xf>
    <xf numFmtId="164" fontId="4" fillId="2" borderId="4" xfId="5" applyNumberFormat="1" applyFont="1" applyFill="1" applyBorder="1" applyAlignment="1" applyProtection="1">
      <alignment horizontal="right" vertical="center"/>
      <protection locked="0"/>
    </xf>
    <xf numFmtId="0" fontId="13" fillId="2" borderId="1" xfId="3" applyFont="1" applyFill="1" applyBorder="1" applyAlignment="1" applyProtection="1">
      <alignment horizontal="left" vertical="center"/>
      <protection locked="0"/>
    </xf>
    <xf numFmtId="0" fontId="3" fillId="2" borderId="7" xfId="5" applyFont="1" applyFill="1" applyBorder="1" applyAlignment="1" applyProtection="1">
      <alignment horizontal="left" vertical="center" indent="1"/>
      <protection locked="0"/>
    </xf>
    <xf numFmtId="0" fontId="12" fillId="2" borderId="7" xfId="3" applyFont="1" applyFill="1" applyBorder="1" applyAlignment="1" applyProtection="1">
      <alignment horizontal="left" vertical="center"/>
      <protection locked="0"/>
    </xf>
    <xf numFmtId="0" fontId="8" fillId="2" borderId="3" xfId="5" quotePrefix="1" applyFont="1" applyFill="1" applyBorder="1" applyAlignment="1">
      <alignment horizontal="right"/>
    </xf>
    <xf numFmtId="0" fontId="3" fillId="0" borderId="0" xfId="1" applyFont="1" applyAlignment="1" applyProtection="1">
      <protection locked="0"/>
    </xf>
    <xf numFmtId="0" fontId="7" fillId="2" borderId="5" xfId="5" applyFont="1" applyFill="1" applyBorder="1" applyAlignment="1" applyProtection="1">
      <alignment horizontal="right" vertical="center"/>
      <protection locked="0"/>
    </xf>
    <xf numFmtId="0" fontId="7" fillId="2" borderId="0" xfId="5" applyFont="1" applyFill="1" applyBorder="1" applyAlignment="1" applyProtection="1">
      <alignment horizontal="right" vertical="center"/>
      <protection locked="0"/>
    </xf>
    <xf numFmtId="0" fontId="7" fillId="2" borderId="6" xfId="5" applyFont="1" applyFill="1" applyBorder="1" applyAlignment="1" applyProtection="1">
      <alignment horizontal="right" vertical="center"/>
      <protection locked="0"/>
    </xf>
    <xf numFmtId="0" fontId="7" fillId="2" borderId="7" xfId="5" applyFont="1" applyFill="1" applyBorder="1" applyAlignment="1" applyProtection="1">
      <alignment vertical="center"/>
      <protection locked="0"/>
    </xf>
    <xf numFmtId="167" fontId="8" fillId="2" borderId="5" xfId="5" applyNumberFormat="1" applyFont="1" applyFill="1" applyBorder="1" applyAlignment="1" applyProtection="1">
      <alignment horizontal="right" vertical="center"/>
      <protection locked="0"/>
    </xf>
    <xf numFmtId="0" fontId="3" fillId="0" borderId="0" xfId="8" applyFont="1" applyBorder="1" applyAlignment="1" applyProtection="1">
      <alignment vertical="center"/>
      <protection locked="0"/>
    </xf>
    <xf numFmtId="167" fontId="8" fillId="2" borderId="6" xfId="9" applyNumberFormat="1" applyFont="1" applyFill="1" applyBorder="1" applyAlignment="1" applyProtection="1">
      <alignment horizontal="right" vertical="center"/>
      <protection locked="0"/>
    </xf>
    <xf numFmtId="167" fontId="8" fillId="2" borderId="8" xfId="5" applyNumberFormat="1" applyFont="1" applyFill="1" applyBorder="1" applyAlignment="1" applyProtection="1">
      <alignment horizontal="right" vertical="center"/>
      <protection locked="0"/>
    </xf>
    <xf numFmtId="165" fontId="8" fillId="2" borderId="9" xfId="5" applyNumberFormat="1" applyFont="1" applyFill="1" applyBorder="1" applyAlignment="1" applyProtection="1">
      <alignment horizontal="right" vertical="center"/>
      <protection locked="0"/>
    </xf>
    <xf numFmtId="168" fontId="8" fillId="2" borderId="10" xfId="5" applyNumberFormat="1" applyFont="1" applyFill="1" applyBorder="1" applyAlignment="1" applyProtection="1">
      <alignment horizontal="right" vertical="center"/>
      <protection locked="0"/>
    </xf>
    <xf numFmtId="168" fontId="3" fillId="2" borderId="6" xfId="5" applyNumberFormat="1" applyFont="1" applyFill="1" applyBorder="1" applyAlignment="1" applyProtection="1">
      <alignment horizontal="right" vertical="center"/>
      <protection locked="0"/>
    </xf>
    <xf numFmtId="0" fontId="8" fillId="2" borderId="4" xfId="5" quotePrefix="1" applyFont="1" applyFill="1" applyBorder="1" applyAlignment="1">
      <alignment horizontal="right"/>
    </xf>
    <xf numFmtId="0" fontId="8" fillId="2" borderId="1" xfId="5" applyFont="1" applyFill="1" applyBorder="1" applyAlignment="1" applyProtection="1">
      <alignment vertical="center"/>
      <protection locked="0"/>
    </xf>
    <xf numFmtId="1" fontId="8" fillId="2" borderId="5" xfId="5" applyNumberFormat="1" applyFont="1" applyFill="1" applyBorder="1" applyAlignment="1" applyProtection="1">
      <alignment vertical="center"/>
      <protection locked="0"/>
    </xf>
    <xf numFmtId="1" fontId="8" fillId="2" borderId="0" xfId="5" applyNumberFormat="1" applyFont="1" applyFill="1" applyBorder="1" applyAlignment="1" applyProtection="1">
      <alignment horizontal="center" vertical="center"/>
      <protection locked="0"/>
    </xf>
    <xf numFmtId="1" fontId="8" fillId="2" borderId="6" xfId="5" applyNumberFormat="1" applyFont="1" applyFill="1" applyBorder="1" applyAlignment="1" applyProtection="1">
      <alignment vertical="center"/>
      <protection locked="0"/>
    </xf>
    <xf numFmtId="0" fontId="6" fillId="3" borderId="1" xfId="1" applyFont="1" applyFill="1" applyBorder="1" applyAlignment="1" applyProtection="1">
      <alignment horizontal="center"/>
      <protection locked="0"/>
    </xf>
    <xf numFmtId="0" fontId="8" fillId="9" borderId="1" xfId="1" applyFont="1" applyFill="1" applyBorder="1" applyAlignment="1" applyProtection="1">
      <alignment horizontal="center"/>
      <protection locked="0"/>
    </xf>
    <xf numFmtId="0" fontId="7" fillId="2" borderId="2" xfId="5" applyFont="1" applyFill="1" applyBorder="1" applyAlignment="1" applyProtection="1">
      <alignment vertical="center"/>
      <protection locked="0"/>
    </xf>
    <xf numFmtId="0" fontId="7" fillId="2" borderId="3" xfId="5" applyFont="1" applyFill="1" applyBorder="1" applyAlignment="1" applyProtection="1">
      <alignment vertical="center"/>
      <protection locked="0"/>
    </xf>
    <xf numFmtId="0" fontId="7" fillId="2" borderId="4" xfId="5" applyFont="1" applyFill="1" applyBorder="1" applyAlignment="1" applyProtection="1">
      <alignment vertical="center"/>
      <protection locked="0"/>
    </xf>
    <xf numFmtId="0" fontId="7" fillId="2" borderId="1" xfId="5" applyFont="1" applyFill="1" applyBorder="1" applyAlignment="1" applyProtection="1">
      <alignment vertical="center"/>
      <protection locked="0"/>
    </xf>
    <xf numFmtId="0" fontId="6" fillId="4" borderId="12" xfId="5" quotePrefix="1" applyFont="1" applyFill="1" applyBorder="1" applyAlignment="1" applyProtection="1">
      <alignment vertical="center"/>
      <protection locked="0"/>
    </xf>
    <xf numFmtId="0" fontId="6" fillId="4" borderId="13" xfId="5" quotePrefix="1" applyFont="1" applyFill="1" applyBorder="1" applyAlignment="1" applyProtection="1">
      <alignment horizontal="center" vertical="center"/>
      <protection locked="0"/>
    </xf>
    <xf numFmtId="0" fontId="6" fillId="4" borderId="14" xfId="5" quotePrefix="1" applyFont="1" applyFill="1" applyBorder="1" applyAlignment="1" applyProtection="1">
      <alignment vertical="center"/>
      <protection locked="0"/>
    </xf>
    <xf numFmtId="6" fontId="6" fillId="4" borderId="7" xfId="5" applyNumberFormat="1" applyFont="1" applyFill="1" applyBorder="1" applyAlignment="1" applyProtection="1">
      <alignment horizontal="left" vertical="center"/>
      <protection locked="0"/>
    </xf>
    <xf numFmtId="0" fontId="6" fillId="4" borderId="8" xfId="5" quotePrefix="1" applyFont="1" applyFill="1" applyBorder="1" applyAlignment="1" applyProtection="1">
      <alignment vertical="center"/>
      <protection locked="0"/>
    </xf>
    <xf numFmtId="0" fontId="6" fillId="4" borderId="9" xfId="5" quotePrefix="1" applyFont="1" applyFill="1" applyBorder="1" applyAlignment="1" applyProtection="1">
      <alignment horizontal="center" vertical="center"/>
      <protection locked="0"/>
    </xf>
    <xf numFmtId="0" fontId="6" fillId="4" borderId="10" xfId="5" quotePrefix="1" applyFont="1" applyFill="1" applyBorder="1" applyAlignment="1" applyProtection="1">
      <alignment vertical="center"/>
      <protection locked="0"/>
    </xf>
    <xf numFmtId="6" fontId="6" fillId="4" borderId="11" xfId="5" applyNumberFormat="1" applyFont="1" applyFill="1" applyBorder="1" applyAlignment="1" applyProtection="1">
      <alignment horizontal="left" vertical="center"/>
      <protection locked="0"/>
    </xf>
    <xf numFmtId="0" fontId="7" fillId="6" borderId="0" xfId="5" quotePrefix="1" applyFont="1" applyFill="1" applyBorder="1" applyAlignment="1" applyProtection="1">
      <alignment horizontal="right" vertical="center"/>
      <protection locked="0"/>
    </xf>
    <xf numFmtId="14" fontId="7" fillId="6" borderId="0" xfId="5" quotePrefix="1" applyNumberFormat="1" applyFont="1" applyFill="1" applyBorder="1" applyAlignment="1" applyProtection="1">
      <alignment horizontal="right" vertical="center"/>
      <protection locked="0"/>
    </xf>
    <xf numFmtId="0" fontId="10" fillId="2" borderId="0" xfId="5" applyFont="1" applyFill="1" applyAlignment="1" applyProtection="1">
      <alignment vertical="center"/>
      <protection locked="0"/>
    </xf>
    <xf numFmtId="0" fontId="15" fillId="2" borderId="0" xfId="1" applyFont="1" applyFill="1" applyAlignment="1">
      <alignment horizontal="left"/>
    </xf>
    <xf numFmtId="0" fontId="4" fillId="0" borderId="0" xfId="1" applyNumberFormat="1" applyFont="1" applyAlignment="1" applyProtection="1">
      <alignment horizontal="left"/>
      <protection locked="0"/>
    </xf>
    <xf numFmtId="0" fontId="15" fillId="2" borderId="0" xfId="6" applyFont="1" applyFill="1" applyAlignment="1" applyProtection="1">
      <alignment horizontal="left" vertical="center"/>
      <protection locked="0"/>
    </xf>
    <xf numFmtId="0" fontId="12" fillId="2" borderId="7" xfId="5" applyFont="1" applyFill="1" applyBorder="1" applyAlignment="1" applyProtection="1">
      <alignment vertical="center"/>
      <protection locked="0"/>
    </xf>
    <xf numFmtId="0" fontId="8" fillId="2" borderId="4" xfId="5" applyFont="1" applyFill="1" applyBorder="1" applyAlignment="1" applyProtection="1">
      <alignment vertical="center"/>
      <protection locked="0"/>
    </xf>
    <xf numFmtId="0" fontId="8" fillId="2" borderId="3" xfId="5" applyFont="1" applyFill="1" applyBorder="1" applyAlignment="1" applyProtection="1">
      <alignment vertical="center"/>
      <protection locked="0"/>
    </xf>
    <xf numFmtId="0" fontId="8" fillId="2" borderId="2" xfId="5" applyFont="1" applyFill="1" applyBorder="1" applyAlignment="1" applyProtection="1">
      <alignment vertical="center"/>
      <protection locked="0"/>
    </xf>
    <xf numFmtId="0" fontId="8" fillId="0" borderId="0" xfId="6" applyFont="1" applyFill="1" applyAlignment="1" applyProtection="1">
      <alignment horizontal="center" vertical="center"/>
      <protection locked="0"/>
    </xf>
    <xf numFmtId="0" fontId="3" fillId="0" borderId="0" xfId="1" applyNumberFormat="1" applyFont="1"/>
    <xf numFmtId="0" fontId="3" fillId="0" borderId="0" xfId="1" applyNumberFormat="1" applyFont="1" applyProtection="1">
      <protection locked="0"/>
    </xf>
    <xf numFmtId="168" fontId="4" fillId="2" borderId="4" xfId="5" applyNumberFormat="1" applyFont="1" applyFill="1" applyBorder="1" applyAlignment="1" applyProtection="1">
      <alignment horizontal="right" vertical="center"/>
      <protection locked="0"/>
    </xf>
    <xf numFmtId="0" fontId="12" fillId="2" borderId="11" xfId="3" applyFont="1" applyFill="1" applyBorder="1" applyAlignment="1" applyProtection="1">
      <alignment horizontal="left" vertical="center"/>
      <protection locked="0"/>
    </xf>
    <xf numFmtId="0" fontId="8" fillId="2" borderId="5" xfId="5" applyNumberFormat="1" applyFont="1" applyFill="1" applyBorder="1" applyAlignment="1" applyProtection="1">
      <alignment horizontal="right" vertical="center"/>
      <protection locked="0"/>
    </xf>
    <xf numFmtId="0" fontId="4" fillId="0" borderId="0" xfId="4" applyNumberFormat="1" applyFont="1" applyAlignment="1" applyProtection="1">
      <alignment horizontal="left"/>
      <protection locked="0"/>
    </xf>
    <xf numFmtId="0" fontId="8" fillId="0" borderId="6" xfId="5" applyFont="1" applyFill="1" applyBorder="1" applyAlignment="1" applyProtection="1">
      <alignment horizontal="right" vertical="center"/>
      <protection locked="0"/>
    </xf>
    <xf numFmtId="0" fontId="8" fillId="2" borderId="0" xfId="5" applyFont="1" applyFill="1" applyBorder="1" applyAlignment="1" applyProtection="1">
      <alignment horizontal="right" vertical="center"/>
      <protection locked="0"/>
    </xf>
    <xf numFmtId="0" fontId="8" fillId="2" borderId="5" xfId="5" applyFont="1" applyFill="1" applyBorder="1" applyAlignment="1" applyProtection="1">
      <alignment horizontal="right" vertical="center"/>
      <protection locked="0"/>
    </xf>
    <xf numFmtId="0" fontId="15" fillId="2" borderId="0" xfId="1" applyFont="1" applyFill="1" applyAlignment="1" applyProtection="1">
      <alignment horizontal="left" vertical="center"/>
      <protection locked="0"/>
    </xf>
    <xf numFmtId="0" fontId="7" fillId="0" borderId="0" xfId="1" applyNumberFormat="1" applyFont="1"/>
    <xf numFmtId="9" fontId="7" fillId="2" borderId="5" xfId="4" applyFont="1" applyFill="1" applyBorder="1" applyAlignment="1" applyProtection="1">
      <alignment horizontal="right" vertical="center"/>
      <protection locked="0"/>
    </xf>
    <xf numFmtId="0" fontId="4" fillId="0" borderId="0" xfId="1" applyNumberFormat="1" applyFont="1" applyAlignment="1">
      <alignment horizontal="left"/>
    </xf>
    <xf numFmtId="8" fontId="3" fillId="0" borderId="0" xfId="1" applyNumberFormat="1" applyFont="1" applyAlignment="1" applyProtection="1">
      <alignment vertical="center"/>
      <protection locked="0"/>
    </xf>
    <xf numFmtId="4" fontId="3" fillId="0" borderId="0" xfId="1" applyNumberFormat="1" applyFont="1" applyAlignment="1" applyProtection="1">
      <alignment vertical="center"/>
      <protection locked="0"/>
    </xf>
    <xf numFmtId="0" fontId="16" fillId="0" borderId="0" xfId="1" applyFont="1"/>
    <xf numFmtId="0" fontId="17" fillId="3" borderId="1" xfId="5" applyFont="1" applyFill="1" applyBorder="1" applyAlignment="1">
      <alignment horizontal="center" vertical="center"/>
    </xf>
    <xf numFmtId="0" fontId="5" fillId="0" borderId="0" xfId="5"/>
    <xf numFmtId="0" fontId="18" fillId="0" borderId="1" xfId="5" applyNumberFormat="1" applyFont="1" applyFill="1" applyBorder="1" applyAlignment="1">
      <alignment horizontal="center" vertical="center"/>
    </xf>
    <xf numFmtId="0" fontId="17" fillId="10" borderId="1" xfId="5" applyFont="1" applyFill="1" applyBorder="1" applyAlignment="1">
      <alignment horizontal="center" vertical="center"/>
    </xf>
    <xf numFmtId="0" fontId="19" fillId="0" borderId="0" xfId="5" applyFont="1" applyAlignment="1">
      <alignment vertical="center"/>
    </xf>
    <xf numFmtId="0" fontId="19" fillId="0" borderId="1" xfId="5" applyFont="1" applyFill="1" applyBorder="1" applyAlignment="1">
      <alignment vertical="center"/>
    </xf>
    <xf numFmtId="0" fontId="20" fillId="0" borderId="1" xfId="5" applyFont="1" applyFill="1" applyBorder="1" applyAlignment="1">
      <alignment horizontal="center" vertical="center"/>
    </xf>
    <xf numFmtId="0" fontId="20" fillId="6" borderId="1" xfId="5" applyFont="1" applyFill="1" applyBorder="1" applyAlignment="1">
      <alignment horizontal="center" vertical="center"/>
    </xf>
    <xf numFmtId="0" fontId="20" fillId="0" borderId="1" xfId="5" quotePrefix="1" applyFont="1" applyFill="1" applyBorder="1" applyAlignment="1">
      <alignment horizontal="center" vertical="center"/>
    </xf>
    <xf numFmtId="9" fontId="18" fillId="0" borderId="1" xfId="5" applyNumberFormat="1" applyFont="1" applyFill="1" applyBorder="1" applyAlignment="1">
      <alignment horizontal="center" vertical="center"/>
    </xf>
    <xf numFmtId="0" fontId="5" fillId="0" borderId="0" xfId="5" applyFont="1"/>
    <xf numFmtId="0" fontId="19" fillId="0" borderId="0" xfId="5" applyFont="1" applyFill="1" applyBorder="1" applyAlignment="1">
      <alignment vertical="center"/>
    </xf>
    <xf numFmtId="0" fontId="20" fillId="0" borderId="0" xfId="5" applyFont="1" applyFill="1" applyBorder="1" applyAlignment="1">
      <alignment horizontal="center" vertical="center"/>
    </xf>
    <xf numFmtId="0" fontId="20" fillId="6" borderId="0" xfId="5" applyFont="1" applyFill="1" applyBorder="1" applyAlignment="1">
      <alignment horizontal="center" vertical="center"/>
    </xf>
    <xf numFmtId="0" fontId="17" fillId="3" borderId="1" xfId="5" applyFont="1" applyFill="1" applyBorder="1" applyAlignment="1">
      <alignment horizontal="center" vertical="center"/>
    </xf>
    <xf numFmtId="38" fontId="21" fillId="0" borderId="0" xfId="5" applyNumberFormat="1" applyFont="1"/>
    <xf numFmtId="38" fontId="21" fillId="0" borderId="0" xfId="5" applyNumberFormat="1" applyFont="1" applyFill="1"/>
    <xf numFmtId="38" fontId="21" fillId="7" borderId="0" xfId="5" applyNumberFormat="1" applyFont="1" applyFill="1"/>
    <xf numFmtId="38" fontId="21" fillId="0" borderId="0" xfId="5" applyNumberFormat="1" applyFont="1" applyAlignment="1"/>
    <xf numFmtId="38" fontId="21" fillId="0" borderId="0" xfId="5" applyNumberFormat="1" applyFont="1" applyAlignment="1">
      <alignment horizontal="right"/>
    </xf>
    <xf numFmtId="169" fontId="22" fillId="3" borderId="0" xfId="5" quotePrefix="1" applyNumberFormat="1" applyFont="1" applyFill="1" applyAlignment="1">
      <alignment horizontal="center"/>
    </xf>
    <xf numFmtId="169" fontId="22" fillId="7" borderId="0" xfId="5" quotePrefix="1" applyNumberFormat="1" applyFont="1" applyFill="1" applyAlignment="1">
      <alignment horizontal="center"/>
    </xf>
    <xf numFmtId="38" fontId="23" fillId="0" borderId="0" xfId="5" applyNumberFormat="1" applyFont="1"/>
    <xf numFmtId="0" fontId="24" fillId="11" borderId="0" xfId="0" applyFont="1" applyFill="1" applyAlignment="1">
      <alignment horizontal="center"/>
    </xf>
    <xf numFmtId="168" fontId="25" fillId="0" borderId="0" xfId="5" applyNumberFormat="1" applyFont="1" applyFill="1" applyAlignment="1">
      <alignment horizontal="center"/>
    </xf>
    <xf numFmtId="0" fontId="25" fillId="11" borderId="0" xfId="5" applyFont="1" applyFill="1"/>
    <xf numFmtId="38" fontId="21" fillId="11" borderId="0" xfId="5" applyNumberFormat="1" applyFont="1" applyFill="1"/>
    <xf numFmtId="38" fontId="23" fillId="0" borderId="0" xfId="5" quotePrefix="1" applyNumberFormat="1" applyFont="1"/>
    <xf numFmtId="0" fontId="26" fillId="7" borderId="0" xfId="5" applyNumberFormat="1" applyFont="1" applyFill="1"/>
    <xf numFmtId="0" fontId="26" fillId="0" borderId="0" xfId="5" applyNumberFormat="1" applyFont="1" applyFill="1"/>
    <xf numFmtId="38" fontId="26" fillId="7" borderId="0" xfId="5" applyNumberFormat="1" applyFont="1" applyFill="1"/>
    <xf numFmtId="38" fontId="26" fillId="0" borderId="0" xfId="5" applyNumberFormat="1" applyFont="1"/>
    <xf numFmtId="38" fontId="23" fillId="0" borderId="0" xfId="5" applyNumberFormat="1" applyFont="1" applyFill="1"/>
    <xf numFmtId="38" fontId="21" fillId="7" borderId="0" xfId="5" applyNumberFormat="1" applyFont="1" applyFill="1" applyAlignment="1">
      <alignment horizontal="center"/>
    </xf>
    <xf numFmtId="38" fontId="21" fillId="0" borderId="0" xfId="5" applyNumberFormat="1" applyFont="1" applyFill="1" applyAlignment="1">
      <alignment horizontal="center"/>
    </xf>
    <xf numFmtId="38" fontId="21" fillId="7" borderId="0" xfId="5" applyNumberFormat="1" applyFont="1" applyFill="1" applyAlignment="1">
      <alignment horizontal="left"/>
    </xf>
    <xf numFmtId="38" fontId="21" fillId="0" borderId="0" xfId="5" applyNumberFormat="1" applyFont="1" applyAlignment="1">
      <alignment horizontal="center"/>
    </xf>
    <xf numFmtId="38" fontId="21" fillId="7" borderId="0" xfId="5" applyNumberFormat="1" applyFont="1" applyFill="1" applyAlignment="1">
      <alignment horizontal="right"/>
    </xf>
    <xf numFmtId="38" fontId="21" fillId="0" borderId="0" xfId="5" applyNumberFormat="1" applyFont="1" applyAlignment="1">
      <alignment horizontal="left"/>
    </xf>
    <xf numFmtId="167" fontId="21" fillId="7" borderId="0" xfId="5" applyNumberFormat="1" applyFont="1" applyFill="1" applyAlignment="1">
      <alignment horizontal="right"/>
    </xf>
    <xf numFmtId="167" fontId="21" fillId="0" borderId="0" xfId="5" applyNumberFormat="1" applyFont="1" applyAlignment="1">
      <alignment horizontal="right"/>
    </xf>
    <xf numFmtId="38" fontId="21" fillId="7" borderId="0" xfId="5" applyNumberFormat="1" applyFont="1" applyFill="1" applyBorder="1" applyAlignment="1">
      <alignment horizontal="right"/>
    </xf>
    <xf numFmtId="38" fontId="21" fillId="0" borderId="0" xfId="5" applyNumberFormat="1" applyFont="1" applyFill="1" applyBorder="1" applyAlignment="1">
      <alignment horizontal="right"/>
    </xf>
    <xf numFmtId="38" fontId="21" fillId="0" borderId="13" xfId="5" applyNumberFormat="1" applyFont="1" applyFill="1" applyBorder="1" applyAlignment="1">
      <alignment horizontal="right"/>
    </xf>
    <xf numFmtId="38" fontId="23" fillId="7" borderId="0" xfId="5" applyNumberFormat="1" applyFont="1" applyFill="1" applyBorder="1" applyAlignment="1">
      <alignment horizontal="right"/>
    </xf>
    <xf numFmtId="38" fontId="23" fillId="0" borderId="0" xfId="5" applyNumberFormat="1" applyFont="1" applyBorder="1" applyAlignment="1"/>
    <xf numFmtId="38" fontId="21" fillId="0" borderId="0" xfId="5" applyNumberFormat="1" applyFont="1" applyBorder="1" applyAlignment="1"/>
    <xf numFmtId="38" fontId="23" fillId="0" borderId="0" xfId="5" applyNumberFormat="1" applyFont="1" applyFill="1" applyBorder="1" applyAlignment="1">
      <alignment horizontal="right"/>
    </xf>
    <xf numFmtId="38" fontId="23" fillId="0" borderId="0" xfId="5" applyNumberFormat="1" applyFont="1" applyAlignment="1">
      <alignment horizontal="right"/>
    </xf>
    <xf numFmtId="0" fontId="27" fillId="0" borderId="0" xfId="0" applyFont="1" applyAlignment="1">
      <alignment horizontal="center"/>
    </xf>
    <xf numFmtId="0" fontId="28" fillId="11" borderId="0" xfId="5" applyFont="1" applyFill="1"/>
    <xf numFmtId="38" fontId="23" fillId="7" borderId="0" xfId="5" applyNumberFormat="1" applyFont="1" applyFill="1" applyBorder="1" applyAlignment="1">
      <alignment horizontal="center"/>
    </xf>
    <xf numFmtId="38" fontId="23" fillId="0" borderId="0" xfId="5" applyNumberFormat="1" applyFont="1" applyBorder="1"/>
    <xf numFmtId="38" fontId="21" fillId="0" borderId="0" xfId="5" applyNumberFormat="1" applyFont="1" applyBorder="1"/>
    <xf numFmtId="38" fontId="23" fillId="0" borderId="0" xfId="5" applyNumberFormat="1" applyFont="1" applyFill="1" applyBorder="1" applyAlignment="1">
      <alignment horizontal="center"/>
    </xf>
    <xf numFmtId="0" fontId="21" fillId="0" borderId="0" xfId="0" applyFont="1" applyAlignment="1">
      <alignment horizontal="center"/>
    </xf>
    <xf numFmtId="38" fontId="21" fillId="7" borderId="0" xfId="5" applyNumberFormat="1" applyFont="1" applyFill="1" applyAlignment="1"/>
    <xf numFmtId="38" fontId="21" fillId="0" borderId="0" xfId="5" applyNumberFormat="1" applyFont="1" applyFill="1" applyAlignment="1"/>
    <xf numFmtId="38" fontId="21" fillId="7" borderId="0" xfId="5" applyNumberFormat="1" applyFont="1" applyFill="1" applyBorder="1" applyAlignment="1"/>
    <xf numFmtId="38" fontId="21" fillId="0" borderId="0" xfId="5" applyNumberFormat="1" applyFont="1" applyFill="1" applyBorder="1" applyAlignment="1"/>
    <xf numFmtId="38" fontId="21" fillId="0" borderId="13" xfId="5" applyNumberFormat="1" applyFont="1" applyFill="1" applyBorder="1" applyAlignment="1"/>
    <xf numFmtId="38" fontId="23" fillId="7" borderId="0" xfId="5" applyNumberFormat="1" applyFont="1" applyFill="1" applyBorder="1" applyAlignment="1"/>
    <xf numFmtId="38" fontId="23" fillId="0" borderId="0" xfId="5" applyNumberFormat="1" applyFont="1" applyFill="1" applyBorder="1" applyAlignment="1"/>
    <xf numFmtId="38" fontId="23" fillId="0" borderId="0" xfId="5" applyNumberFormat="1" applyFont="1" applyAlignment="1"/>
    <xf numFmtId="40" fontId="21" fillId="7" borderId="0" xfId="5" applyNumberFormat="1" applyFont="1" applyFill="1" applyBorder="1" applyAlignment="1">
      <alignment horizontal="right"/>
    </xf>
    <xf numFmtId="40" fontId="21" fillId="0" borderId="0" xfId="5" applyNumberFormat="1" applyFont="1"/>
    <xf numFmtId="40" fontId="21" fillId="0" borderId="0" xfId="5" applyNumberFormat="1" applyFont="1" applyFill="1" applyBorder="1" applyAlignment="1">
      <alignment horizontal="right"/>
    </xf>
    <xf numFmtId="40" fontId="21" fillId="0" borderId="13" xfId="5" applyNumberFormat="1" applyFont="1" applyFill="1" applyBorder="1" applyAlignment="1">
      <alignment horizontal="right"/>
    </xf>
    <xf numFmtId="40" fontId="23" fillId="7" borderId="0" xfId="5" applyNumberFormat="1" applyFont="1" applyFill="1" applyBorder="1" applyAlignment="1">
      <alignment horizontal="right"/>
    </xf>
    <xf numFmtId="40" fontId="23" fillId="0" borderId="0" xfId="5" applyNumberFormat="1" applyFont="1"/>
    <xf numFmtId="40" fontId="23" fillId="0" borderId="0" xfId="5" applyNumberFormat="1" applyFont="1" applyFill="1" applyBorder="1" applyAlignment="1">
      <alignment horizontal="right"/>
    </xf>
    <xf numFmtId="38" fontId="21" fillId="7" borderId="0" xfId="5" applyNumberFormat="1" applyFont="1" applyFill="1" applyBorder="1"/>
    <xf numFmtId="38" fontId="21" fillId="0" borderId="0" xfId="5" applyNumberFormat="1" applyFont="1" applyFill="1" applyBorder="1"/>
    <xf numFmtId="38" fontId="21" fillId="0" borderId="0" xfId="5" applyNumberFormat="1" applyFont="1" applyFill="1" applyAlignment="1">
      <alignment horizontal="right"/>
    </xf>
    <xf numFmtId="38" fontId="23" fillId="7" borderId="0" xfId="5" applyNumberFormat="1" applyFont="1" applyFill="1" applyBorder="1"/>
    <xf numFmtId="38" fontId="23" fillId="0" borderId="0" xfId="5" applyNumberFormat="1" applyFont="1" applyFill="1" applyBorder="1"/>
    <xf numFmtId="38" fontId="29" fillId="7" borderId="0" xfId="5" applyNumberFormat="1" applyFont="1" applyFill="1"/>
    <xf numFmtId="38" fontId="29" fillId="0" borderId="0" xfId="5" applyNumberFormat="1" applyFont="1" applyFill="1" applyAlignment="1"/>
    <xf numFmtId="38" fontId="29" fillId="0" borderId="0" xfId="5" applyNumberFormat="1" applyFont="1" applyFill="1"/>
    <xf numFmtId="38" fontId="21" fillId="11" borderId="0" xfId="5" applyNumberFormat="1" applyFont="1" applyFill="1" applyBorder="1"/>
    <xf numFmtId="38" fontId="21" fillId="0" borderId="13" xfId="5" applyNumberFormat="1" applyFont="1" applyFill="1" applyBorder="1"/>
    <xf numFmtId="167" fontId="23" fillId="11" borderId="0" xfId="5" applyNumberFormat="1" applyFont="1" applyFill="1" applyBorder="1"/>
    <xf numFmtId="167" fontId="23" fillId="0" borderId="0" xfId="5" applyNumberFormat="1" applyFont="1" applyFill="1" applyBorder="1"/>
    <xf numFmtId="167" fontId="23" fillId="7" borderId="0" xfId="5" applyNumberFormat="1" applyFont="1" applyFill="1" applyBorder="1"/>
    <xf numFmtId="167" fontId="23" fillId="0" borderId="0" xfId="5" applyNumberFormat="1" applyFont="1"/>
    <xf numFmtId="167" fontId="21" fillId="0" borderId="0" xfId="5" applyNumberFormat="1" applyFont="1"/>
    <xf numFmtId="38" fontId="23" fillId="11" borderId="0" xfId="5" applyNumberFormat="1" applyFont="1" applyFill="1"/>
    <xf numFmtId="38" fontId="23" fillId="7" borderId="0" xfId="5" applyNumberFormat="1" applyFont="1" applyFill="1"/>
    <xf numFmtId="167" fontId="23" fillId="11" borderId="0" xfId="5" applyNumberFormat="1" applyFont="1" applyFill="1"/>
    <xf numFmtId="167" fontId="23" fillId="0" borderId="0" xfId="5" applyNumberFormat="1" applyFont="1" applyFill="1"/>
    <xf numFmtId="167" fontId="23" fillId="7" borderId="0" xfId="5" applyNumberFormat="1" applyFont="1" applyFill="1"/>
    <xf numFmtId="38" fontId="28" fillId="11" borderId="0" xfId="10" applyNumberFormat="1" applyFont="1" applyFill="1"/>
    <xf numFmtId="38" fontId="28" fillId="0" borderId="0" xfId="10" applyNumberFormat="1" applyFont="1" applyFill="1"/>
    <xf numFmtId="38" fontId="28" fillId="7" borderId="0" xfId="10" applyNumberFormat="1" applyFont="1" applyFill="1"/>
    <xf numFmtId="0" fontId="3" fillId="0" borderId="0" xfId="1" applyFont="1" applyFill="1" applyBorder="1"/>
    <xf numFmtId="10" fontId="12" fillId="0" borderId="0" xfId="4" applyNumberFormat="1" applyFont="1" applyFill="1" applyBorder="1" applyAlignment="1" applyProtection="1">
      <alignment horizontal="center" vertical="center"/>
      <protection locked="0"/>
    </xf>
    <xf numFmtId="6" fontId="12" fillId="0" borderId="0" xfId="4" applyNumberFormat="1" applyFont="1" applyFill="1" applyBorder="1" applyAlignment="1" applyProtection="1">
      <alignment horizontal="center" vertical="center"/>
      <protection locked="0"/>
    </xf>
    <xf numFmtId="164" fontId="6" fillId="0" borderId="0" xfId="5" applyNumberFormat="1" applyFont="1" applyFill="1" applyBorder="1" applyAlignment="1" applyProtection="1">
      <alignment horizontal="right" vertical="center"/>
      <protection locked="0"/>
    </xf>
    <xf numFmtId="165" fontId="6" fillId="0" borderId="0" xfId="5" applyNumberFormat="1" applyFont="1" applyFill="1" applyBorder="1" applyAlignment="1" applyProtection="1">
      <alignment horizontal="right" vertical="center"/>
      <protection locked="0"/>
    </xf>
    <xf numFmtId="167" fontId="6" fillId="0" borderId="0" xfId="5" applyNumberFormat="1" applyFont="1" applyFill="1" applyBorder="1" applyAlignment="1" applyProtection="1">
      <alignment horizontal="right" vertical="center"/>
      <protection locked="0"/>
    </xf>
    <xf numFmtId="164" fontId="12" fillId="0" borderId="0" xfId="5" applyNumberFormat="1" applyFont="1" applyFill="1" applyBorder="1" applyAlignment="1" applyProtection="1">
      <alignment horizontal="right" vertical="center"/>
      <protection locked="0"/>
    </xf>
    <xf numFmtId="165" fontId="12" fillId="0" borderId="0" xfId="5" applyNumberFormat="1" applyFont="1" applyFill="1" applyBorder="1" applyAlignment="1" applyProtection="1">
      <alignment horizontal="right" vertical="center"/>
      <protection locked="0"/>
    </xf>
    <xf numFmtId="167" fontId="12" fillId="0" borderId="0" xfId="5" applyNumberFormat="1" applyFont="1" applyFill="1" applyBorder="1" applyAlignment="1" applyProtection="1">
      <alignment horizontal="right" vertical="center"/>
      <protection locked="0"/>
    </xf>
    <xf numFmtId="164" fontId="4" fillId="0" borderId="0" xfId="4" applyNumberFormat="1" applyFont="1" applyAlignment="1" applyProtection="1">
      <alignment horizontal="left"/>
      <protection locked="0"/>
    </xf>
    <xf numFmtId="0" fontId="31" fillId="0" borderId="0" xfId="1" applyFont="1" applyProtection="1">
      <protection locked="0"/>
    </xf>
    <xf numFmtId="0" fontId="31" fillId="0" borderId="0" xfId="1" quotePrefix="1" applyFont="1" applyAlignment="1" applyProtection="1">
      <protection locked="0"/>
    </xf>
    <xf numFmtId="165" fontId="3" fillId="12" borderId="0" xfId="5" applyNumberFormat="1" applyFont="1" applyFill="1" applyBorder="1" applyAlignment="1" applyProtection="1">
      <alignment horizontal="right" vertical="center"/>
      <protection locked="0"/>
    </xf>
    <xf numFmtId="164" fontId="3" fillId="12" borderId="6" xfId="5" applyNumberFormat="1" applyFont="1" applyFill="1" applyBorder="1" applyAlignment="1" applyProtection="1">
      <alignment horizontal="right" vertical="center"/>
      <protection locked="0"/>
    </xf>
    <xf numFmtId="40" fontId="0" fillId="0" borderId="0" xfId="0" applyNumberFormat="1"/>
    <xf numFmtId="0" fontId="0" fillId="0" borderId="0" xfId="0" applyNumberFormat="1"/>
    <xf numFmtId="40" fontId="5" fillId="0" borderId="0" xfId="0" applyNumberFormat="1" applyFont="1"/>
    <xf numFmtId="40" fontId="0" fillId="0" borderId="13" xfId="0" applyNumberFormat="1" applyBorder="1"/>
    <xf numFmtId="0" fontId="6" fillId="0" borderId="0" xfId="1" applyFont="1" applyFill="1" applyBorder="1" applyAlignment="1" applyProtection="1">
      <alignment horizontal="center"/>
      <protection locked="0"/>
    </xf>
    <xf numFmtId="0" fontId="8" fillId="0" borderId="0" xfId="1" applyFont="1" applyFill="1" applyBorder="1" applyAlignment="1" applyProtection="1">
      <alignment horizontal="center"/>
      <protection locked="0"/>
    </xf>
    <xf numFmtId="38" fontId="21" fillId="12" borderId="0" xfId="5" applyNumberFormat="1" applyFont="1" applyFill="1"/>
    <xf numFmtId="0" fontId="28" fillId="12" borderId="0" xfId="5" applyFont="1" applyFill="1"/>
    <xf numFmtId="38" fontId="23" fillId="12" borderId="0" xfId="5" applyNumberFormat="1" applyFont="1" applyFill="1" applyAlignment="1">
      <alignment horizontal="center"/>
    </xf>
    <xf numFmtId="0" fontId="32" fillId="12" borderId="0" xfId="0" applyFont="1" applyFill="1" applyAlignment="1">
      <alignment horizontal="center"/>
    </xf>
    <xf numFmtId="38" fontId="23" fillId="12" borderId="0" xfId="5" applyNumberFormat="1" applyFont="1" applyFill="1" applyBorder="1"/>
    <xf numFmtId="38" fontId="23" fillId="12" borderId="0" xfId="5" applyNumberFormat="1" applyFont="1" applyFill="1"/>
    <xf numFmtId="0" fontId="32" fillId="12" borderId="1" xfId="0" applyFont="1" applyFill="1" applyBorder="1"/>
    <xf numFmtId="164" fontId="3" fillId="0" borderId="0" xfId="1" applyNumberFormat="1" applyFont="1" applyProtection="1">
      <protection locked="0"/>
    </xf>
    <xf numFmtId="0" fontId="3" fillId="0" borderId="17" xfId="1" applyFont="1" applyBorder="1" applyProtection="1">
      <protection locked="0"/>
    </xf>
    <xf numFmtId="164" fontId="3" fillId="0" borderId="17" xfId="1" applyNumberFormat="1" applyFont="1" applyBorder="1" applyProtection="1">
      <protection locked="0"/>
    </xf>
    <xf numFmtId="8" fontId="3" fillId="0" borderId="17" xfId="1" applyNumberFormat="1" applyFont="1" applyBorder="1" applyAlignment="1" applyProtection="1">
      <alignment vertical="center"/>
      <protection locked="0"/>
    </xf>
    <xf numFmtId="0" fontId="3" fillId="0" borderId="17" xfId="1" applyFont="1" applyBorder="1" applyAlignment="1" applyProtection="1">
      <alignment vertical="center"/>
      <protection locked="0"/>
    </xf>
    <xf numFmtId="0" fontId="3" fillId="0" borderId="21" xfId="1" applyFont="1" applyBorder="1" applyProtection="1">
      <protection locked="0"/>
    </xf>
    <xf numFmtId="164" fontId="3" fillId="0" borderId="21" xfId="1" applyNumberFormat="1" applyFont="1" applyBorder="1" applyProtection="1">
      <protection locked="0"/>
    </xf>
    <xf numFmtId="8" fontId="3" fillId="0" borderId="21" xfId="1" applyNumberFormat="1" applyFont="1" applyBorder="1" applyAlignment="1" applyProtection="1">
      <alignment vertical="center"/>
      <protection locked="0"/>
    </xf>
    <xf numFmtId="0" fontId="3" fillId="0" borderId="21" xfId="1" applyFont="1" applyBorder="1" applyAlignment="1" applyProtection="1">
      <alignment vertical="center"/>
      <protection locked="0"/>
    </xf>
    <xf numFmtId="164" fontId="3" fillId="0" borderId="13" xfId="1" applyNumberFormat="1" applyFont="1" applyBorder="1" applyProtection="1">
      <protection locked="0"/>
    </xf>
    <xf numFmtId="8" fontId="3" fillId="0" borderId="13" xfId="1" applyNumberFormat="1" applyFont="1" applyBorder="1" applyAlignment="1" applyProtection="1">
      <alignment vertical="center"/>
      <protection locked="0"/>
    </xf>
    <xf numFmtId="0" fontId="3" fillId="0" borderId="13" xfId="1" applyFont="1" applyBorder="1" applyProtection="1">
      <protection locked="0"/>
    </xf>
    <xf numFmtId="0" fontId="3" fillId="0" borderId="13" xfId="1" applyFont="1" applyBorder="1" applyAlignment="1" applyProtection="1">
      <alignment vertical="center"/>
      <protection locked="0"/>
    </xf>
    <xf numFmtId="164" fontId="3" fillId="0" borderId="3" xfId="1" applyNumberFormat="1" applyFont="1" applyBorder="1" applyProtection="1">
      <protection locked="0"/>
    </xf>
    <xf numFmtId="8" fontId="3" fillId="0" borderId="3" xfId="1" applyNumberFormat="1" applyFont="1" applyBorder="1" applyAlignment="1" applyProtection="1">
      <alignment vertical="center"/>
      <protection locked="0"/>
    </xf>
    <xf numFmtId="0" fontId="3" fillId="0" borderId="3" xfId="1" applyFont="1" applyBorder="1" applyProtection="1">
      <protection locked="0"/>
    </xf>
    <xf numFmtId="0" fontId="3" fillId="0" borderId="3" xfId="1" applyFont="1" applyBorder="1" applyAlignment="1" applyProtection="1">
      <alignment vertical="center"/>
      <protection locked="0"/>
    </xf>
    <xf numFmtId="164" fontId="3" fillId="0" borderId="23" xfId="1" applyNumberFormat="1" applyFont="1" applyBorder="1" applyProtection="1">
      <protection locked="0"/>
    </xf>
    <xf numFmtId="164" fontId="3" fillId="0" borderId="14" xfId="1" applyNumberFormat="1" applyFont="1" applyBorder="1" applyProtection="1">
      <protection locked="0"/>
    </xf>
    <xf numFmtId="164" fontId="3" fillId="0" borderId="4" xfId="1" applyNumberFormat="1" applyFont="1" applyBorder="1" applyProtection="1">
      <protection locked="0"/>
    </xf>
    <xf numFmtId="164" fontId="3" fillId="0" borderId="24" xfId="1" applyNumberFormat="1" applyFont="1" applyBorder="1" applyProtection="1">
      <protection locked="0"/>
    </xf>
    <xf numFmtId="0" fontId="3" fillId="0" borderId="17" xfId="1" applyFont="1" applyBorder="1" applyAlignment="1" applyProtection="1">
      <alignment horizontal="right"/>
      <protection locked="0"/>
    </xf>
    <xf numFmtId="0" fontId="3" fillId="0" borderId="0" xfId="1" applyFont="1" applyBorder="1" applyAlignment="1" applyProtection="1">
      <alignment horizontal="right"/>
      <protection locked="0"/>
    </xf>
    <xf numFmtId="0" fontId="3" fillId="0" borderId="21" xfId="1" applyFont="1" applyBorder="1" applyAlignment="1" applyProtection="1">
      <alignment horizontal="right"/>
      <protection locked="0"/>
    </xf>
    <xf numFmtId="0" fontId="3" fillId="0" borderId="16" xfId="1" applyFont="1" applyBorder="1" applyAlignment="1" applyProtection="1">
      <alignment horizontal="right" vertical="center"/>
      <protection locked="0"/>
    </xf>
    <xf numFmtId="0" fontId="3" fillId="0" borderId="19" xfId="1" applyFont="1" applyBorder="1" applyAlignment="1" applyProtection="1">
      <alignment horizontal="right" vertical="center"/>
      <protection locked="0"/>
    </xf>
    <xf numFmtId="0" fontId="3" fillId="0" borderId="20" xfId="1" applyFont="1" applyBorder="1" applyAlignment="1" applyProtection="1">
      <alignment horizontal="right" vertical="center"/>
      <protection locked="0"/>
    </xf>
    <xf numFmtId="0" fontId="3" fillId="0" borderId="0" xfId="0" applyFont="1"/>
    <xf numFmtId="0" fontId="17" fillId="3" borderId="1" xfId="5" applyFont="1" applyFill="1" applyBorder="1" applyAlignment="1">
      <alignment horizontal="center" vertical="center"/>
    </xf>
    <xf numFmtId="0" fontId="3" fillId="0" borderId="0" xfId="1" quotePrefix="1" applyFont="1" applyProtection="1">
      <protection locked="0"/>
    </xf>
    <xf numFmtId="165" fontId="3" fillId="0" borderId="0" xfId="1" applyNumberFormat="1" applyFont="1" applyProtection="1">
      <protection locked="0"/>
    </xf>
    <xf numFmtId="44" fontId="38" fillId="0" borderId="0" xfId="12" applyFont="1" applyAlignment="1" applyProtection="1">
      <alignment vertical="center"/>
      <protection locked="0"/>
    </xf>
    <xf numFmtId="0" fontId="5" fillId="0" borderId="19" xfId="5" applyBorder="1"/>
    <xf numFmtId="0" fontId="5" fillId="0" borderId="0" xfId="5" applyBorder="1" applyAlignment="1">
      <alignment horizontal="center"/>
    </xf>
    <xf numFmtId="0" fontId="5" fillId="0" borderId="26" xfId="5" applyBorder="1"/>
    <xf numFmtId="164" fontId="5" fillId="0" borderId="0" xfId="5" applyNumberFormat="1" applyBorder="1" applyAlignment="1">
      <alignment horizontal="center"/>
    </xf>
    <xf numFmtId="0" fontId="5" fillId="0" borderId="0" xfId="5" applyBorder="1"/>
    <xf numFmtId="10" fontId="5" fillId="0" borderId="26" xfId="13" applyNumberFormat="1" applyFont="1" applyBorder="1"/>
    <xf numFmtId="0" fontId="5" fillId="0" borderId="20" xfId="5" applyBorder="1"/>
    <xf numFmtId="164" fontId="5" fillId="0" borderId="21" xfId="5" applyNumberFormat="1" applyBorder="1" applyAlignment="1">
      <alignment horizontal="center"/>
    </xf>
    <xf numFmtId="10" fontId="5" fillId="0" borderId="22" xfId="13" applyNumberFormat="1" applyFont="1" applyBorder="1"/>
    <xf numFmtId="2" fontId="4" fillId="0" borderId="0" xfId="1" applyNumberFormat="1" applyFont="1" applyAlignment="1" applyProtection="1">
      <alignment horizontal="left"/>
      <protection locked="0"/>
    </xf>
    <xf numFmtId="170" fontId="18" fillId="0" borderId="1" xfId="5" applyNumberFormat="1" applyFont="1" applyFill="1" applyBorder="1" applyAlignment="1">
      <alignment horizontal="center" vertical="center"/>
    </xf>
    <xf numFmtId="165" fontId="15" fillId="2" borderId="0" xfId="1" applyNumberFormat="1" applyFont="1" applyFill="1" applyAlignment="1">
      <alignment horizontal="left"/>
    </xf>
    <xf numFmtId="165" fontId="4" fillId="0" borderId="0" xfId="1" applyNumberFormat="1" applyFont="1" applyAlignment="1" applyProtection="1">
      <alignment horizontal="left"/>
      <protection locked="0"/>
    </xf>
    <xf numFmtId="10" fontId="3" fillId="0" borderId="0" xfId="13" applyNumberFormat="1" applyFont="1" applyProtection="1">
      <protection locked="0"/>
    </xf>
    <xf numFmtId="165" fontId="5" fillId="0" borderId="0" xfId="5" applyNumberFormat="1" applyBorder="1" applyAlignment="1">
      <alignment horizontal="center"/>
    </xf>
    <xf numFmtId="0" fontId="5" fillId="0" borderId="0" xfId="5" applyBorder="1" applyAlignment="1"/>
    <xf numFmtId="0" fontId="37" fillId="0" borderId="0" xfId="5" applyFont="1"/>
    <xf numFmtId="0" fontId="37" fillId="0" borderId="0" xfId="5" applyFont="1" applyBorder="1" applyAlignment="1">
      <alignment horizontal="center"/>
    </xf>
    <xf numFmtId="0" fontId="17" fillId="0" borderId="0" xfId="5" applyFont="1" applyFill="1" applyBorder="1" applyAlignment="1">
      <alignment vertical="center"/>
    </xf>
    <xf numFmtId="0" fontId="5" fillId="0" borderId="28" xfId="5" applyBorder="1" applyAlignment="1">
      <alignment horizontal="center"/>
    </xf>
    <xf numFmtId="165" fontId="5" fillId="0" borderId="25" xfId="5" applyNumberFormat="1" applyBorder="1" applyAlignment="1">
      <alignment horizontal="center"/>
    </xf>
    <xf numFmtId="0" fontId="17" fillId="3" borderId="27" xfId="5" applyFont="1" applyFill="1" applyBorder="1" applyAlignment="1">
      <alignment horizontal="center" vertical="center"/>
    </xf>
    <xf numFmtId="0" fontId="5" fillId="0" borderId="26" xfId="5" applyBorder="1" applyAlignment="1">
      <alignment horizontal="center"/>
    </xf>
    <xf numFmtId="2" fontId="5" fillId="0" borderId="0" xfId="5" applyNumberFormat="1" applyBorder="1" applyAlignment="1">
      <alignment horizontal="center"/>
    </xf>
    <xf numFmtId="2" fontId="5" fillId="0" borderId="26" xfId="5" applyNumberFormat="1" applyBorder="1" applyAlignment="1">
      <alignment horizontal="center"/>
    </xf>
    <xf numFmtId="167" fontId="5" fillId="0" borderId="21" xfId="13" applyNumberFormat="1" applyFont="1" applyBorder="1" applyAlignment="1">
      <alignment horizontal="center"/>
    </xf>
    <xf numFmtId="167" fontId="5" fillId="0" borderId="22" xfId="13" applyNumberFormat="1" applyFont="1" applyBorder="1" applyAlignment="1">
      <alignment horizontal="center"/>
    </xf>
    <xf numFmtId="9" fontId="5" fillId="0" borderId="25" xfId="13" applyFont="1" applyBorder="1" applyAlignment="1">
      <alignment horizontal="center"/>
    </xf>
    <xf numFmtId="0" fontId="40" fillId="12" borderId="11" xfId="0" applyFont="1" applyFill="1" applyBorder="1" applyAlignment="1">
      <alignment horizontal="left"/>
    </xf>
    <xf numFmtId="0" fontId="40" fillId="12" borderId="15" xfId="0" applyFont="1" applyFill="1" applyBorder="1" applyAlignment="1">
      <alignment horizontal="left"/>
    </xf>
    <xf numFmtId="165" fontId="5" fillId="0" borderId="25" xfId="12" applyNumberFormat="1" applyFont="1" applyBorder="1" applyAlignment="1">
      <alignment horizontal="center"/>
    </xf>
    <xf numFmtId="165" fontId="3" fillId="0" borderId="0" xfId="1" applyNumberFormat="1" applyFont="1" applyBorder="1" applyAlignment="1" applyProtection="1">
      <alignment horizontal="left"/>
      <protection locked="0"/>
    </xf>
    <xf numFmtId="164" fontId="3" fillId="0" borderId="6" xfId="5" applyNumberFormat="1" applyFont="1" applyFill="1" applyBorder="1" applyAlignment="1" applyProtection="1">
      <alignment horizontal="right" vertical="center"/>
      <protection locked="0"/>
    </xf>
    <xf numFmtId="165" fontId="3" fillId="0" borderId="0" xfId="5" applyNumberFormat="1" applyFont="1" applyFill="1" applyBorder="1" applyAlignment="1" applyProtection="1">
      <alignment horizontal="right" vertical="center"/>
      <protection locked="0"/>
    </xf>
    <xf numFmtId="0" fontId="39" fillId="3" borderId="16" xfId="5" applyFont="1" applyFill="1" applyBorder="1" applyAlignment="1">
      <alignment horizontal="center"/>
    </xf>
    <xf numFmtId="0" fontId="39" fillId="3" borderId="17" xfId="5" applyFont="1" applyFill="1" applyBorder="1" applyAlignment="1">
      <alignment horizontal="center"/>
    </xf>
    <xf numFmtId="0" fontId="39" fillId="3" borderId="18" xfId="5" applyFont="1" applyFill="1" applyBorder="1" applyAlignment="1">
      <alignment horizontal="center"/>
    </xf>
    <xf numFmtId="9" fontId="5" fillId="0" borderId="0" xfId="13" applyFont="1" applyBorder="1" applyAlignment="1">
      <alignment horizontal="center"/>
    </xf>
    <xf numFmtId="0" fontId="17" fillId="3" borderId="1" xfId="5" applyFont="1" applyFill="1" applyBorder="1" applyAlignment="1">
      <alignment horizontal="center" vertical="center"/>
    </xf>
    <xf numFmtId="0" fontId="17" fillId="3" borderId="4" xfId="5" applyFont="1" applyFill="1" applyBorder="1" applyAlignment="1">
      <alignment horizontal="center" vertical="center"/>
    </xf>
    <xf numFmtId="0" fontId="17" fillId="3" borderId="3" xfId="5" applyFont="1" applyFill="1" applyBorder="1" applyAlignment="1">
      <alignment horizontal="center" vertical="center"/>
    </xf>
    <xf numFmtId="0" fontId="17" fillId="3" borderId="2" xfId="5" applyFont="1" applyFill="1" applyBorder="1" applyAlignment="1">
      <alignment horizontal="center" vertical="center"/>
    </xf>
  </cellXfs>
  <cellStyles count="14">
    <cellStyle name="Comma 2" xfId="10"/>
    <cellStyle name="Currency" xfId="12" builtinId="4"/>
    <cellStyle name="Currency 2" xfId="7"/>
    <cellStyle name="Normal" xfId="0" builtinId="0"/>
    <cellStyle name="Normal 2" xfId="2"/>
    <cellStyle name="Normal 2 2" xfId="5"/>
    <cellStyle name="Normal 3" xfId="11"/>
    <cellStyle name="Normal 3 2 2" xfId="3"/>
    <cellStyle name="Normal 3 3" xfId="8"/>
    <cellStyle name="Normal 4" xfId="6"/>
    <cellStyle name="Normal 9" xfId="1"/>
    <cellStyle name="Percent" xfId="13" builtinId="5"/>
    <cellStyle name="Percent 2" xfId="4"/>
    <cellStyle name="Percent 2 2 2" xfId="9"/>
  </cellStyles>
  <dxfs count="228">
    <dxf>
      <font>
        <b/>
        <i val="0"/>
        <color theme="0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theme="1" tint="0.499984740745262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00B0F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0" tint="-0.499984740745262"/>
        </patternFill>
      </fill>
    </dxf>
    <dxf>
      <font>
        <b/>
        <i val="0"/>
        <color auto="1"/>
      </font>
      <fill>
        <patternFill>
          <bgColor rgb="FF00B0F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0" tint="-0.499984740745262"/>
        </patternFill>
      </fill>
    </dxf>
    <dxf>
      <font>
        <b/>
        <i val="0"/>
        <color auto="1"/>
      </font>
      <fill>
        <patternFill>
          <bgColor rgb="FF00B0F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0" tint="-0.499984740745262"/>
        </patternFill>
      </fill>
    </dxf>
    <dxf>
      <font>
        <b/>
        <i val="0"/>
        <color auto="1"/>
      </font>
      <fill>
        <patternFill>
          <bgColor rgb="FF00B0F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0" tint="-0.499984740745262"/>
        </patternFill>
      </fill>
    </dxf>
    <dxf>
      <font>
        <b/>
        <i val="0"/>
        <color auto="1"/>
      </font>
      <fill>
        <patternFill>
          <bgColor rgb="FF00B0F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0" tint="-0.499984740745262"/>
        </patternFill>
      </fill>
    </dxf>
    <dxf>
      <font>
        <b/>
        <i val="0"/>
        <color auto="1"/>
      </font>
      <fill>
        <patternFill>
          <bgColor rgb="FF00B0F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0" tint="-0.499984740745262"/>
        </patternFill>
      </fill>
    </dxf>
    <dxf>
      <font>
        <b/>
        <i val="0"/>
        <color auto="1"/>
      </font>
      <fill>
        <patternFill>
          <bgColor rgb="FF00B0F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0" tint="-0.499984740745262"/>
        </patternFill>
      </fill>
    </dxf>
    <dxf>
      <font>
        <b/>
        <i val="0"/>
        <color auto="1"/>
      </font>
      <fill>
        <patternFill>
          <bgColor rgb="FF00B0F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  <color theme="0"/>
      </font>
      <fill>
        <patternFill>
          <bgColor theme="0" tint="-0.499984740745262"/>
        </patternFill>
      </fill>
    </dxf>
    <dxf>
      <font>
        <b/>
        <i val="0"/>
        <color theme="0"/>
      </font>
      <fill>
        <patternFill>
          <bgColor theme="1" tint="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theme="1" tint="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theme="1" tint="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theme="1" tint="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theme="1" tint="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theme="1" tint="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theme="1" tint="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theme="1" tint="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theme="1" tint="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theme="1" tint="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theme="1" tint="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theme="1" tint="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theme="1" tint="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theme="1" tint="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theme="1" tint="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theme="1" tint="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theme="1" tint="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theme="1" tint="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theme="1" tint="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theme="1" tint="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theme="1" tint="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theme="1" tint="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theme="1" tint="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theme="1" tint="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theme="1" tint="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theme="1" tint="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theme="0"/>
      </font>
      <fill>
        <patternFill>
          <bgColor theme="1" tint="0.499984740745262"/>
        </patternFill>
      </fill>
    </dxf>
    <dxf>
      <font>
        <b/>
        <i val="0"/>
        <color theme="0"/>
      </font>
      <fill>
        <patternFill>
          <bgColor rgb="FF7030A0"/>
        </patternFill>
      </fill>
    </dxf>
    <dxf>
      <font>
        <b/>
        <i val="0"/>
      </font>
      <fill>
        <patternFill>
          <bgColor rgb="FF00B0F0"/>
        </patternFill>
      </fill>
    </dxf>
    <dxf>
      <font>
        <b/>
        <i val="0"/>
      </font>
      <fill>
        <patternFill>
          <bgColor rgb="FF92D05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illy/Desktop/Park%20Place/Park%20Place%20-%20Maste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Table of Contents"/>
      <sheetName val="Buildout"/>
      <sheetName val="Client Info"/>
      <sheetName val="Unit Mix"/>
      <sheetName val="Random"/>
      <sheetName val="UMix Summary"/>
      <sheetName val="Portfolio Summary"/>
      <sheetName val="Executive Summary"/>
      <sheetName val="Property Details"/>
      <sheetName val="Improved Sales"/>
      <sheetName val="ISales Data"/>
      <sheetName val="ISales Data 2"/>
      <sheetName val="Sales Map"/>
      <sheetName val="Sales Summary"/>
      <sheetName val="Sale Mini Profiles"/>
      <sheetName val="Rent Comp Input"/>
      <sheetName val="Rent Comp Profiles"/>
      <sheetName val="Rent Comp Data"/>
      <sheetName val="Rents Map"/>
      <sheetName val="Rents Summary"/>
      <sheetName val="Hospital Data"/>
      <sheetName val="Hospitals Map"/>
      <sheetName val="Lookups"/>
      <sheetName val="Sitewise"/>
      <sheetName val="Demo Output"/>
      <sheetName val="Fin Input"/>
      <sheetName val="Op Details"/>
      <sheetName val="Monthly"/>
      <sheetName val="Exp Comps"/>
      <sheetName val="ExpCompDetails"/>
      <sheetName val="Exp Summary"/>
      <sheetName val="RUGs"/>
      <sheetName val="CBSA"/>
      <sheetName val="Rent Roll"/>
      <sheetName val="BP Est."/>
      <sheetName val="Op Summary"/>
      <sheetName val="Expenses"/>
      <sheetName val="Net Proceeds"/>
      <sheetName val="IRR"/>
      <sheetName val="Timeline"/>
      <sheetName val="Example PDR"/>
      <sheetName val="Bidder Matrix"/>
      <sheetName val="Blueprint UW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  <sheetData sheetId="4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569"/>
  <sheetViews>
    <sheetView zoomScaleNormal="100" workbookViewId="0">
      <selection activeCell="C28" sqref="C28"/>
    </sheetView>
  </sheetViews>
  <sheetFormatPr defaultRowHeight="13.2"/>
  <cols>
    <col min="1" max="1" width="35.5546875" style="117" bestFit="1" customWidth="1"/>
    <col min="2" max="2" width="30.6640625" style="117" customWidth="1"/>
    <col min="3" max="3" width="48.21875" style="117" customWidth="1"/>
    <col min="4" max="5" width="8.88671875" style="117"/>
    <col min="6" max="6" width="45.44140625" style="126" customWidth="1"/>
    <col min="7" max="7" width="8.88671875" style="126"/>
    <col min="8" max="8" width="8.88671875" style="117"/>
    <col min="9" max="9" width="91" style="117" customWidth="1"/>
    <col min="10" max="10" width="8.88671875" style="117"/>
    <col min="11" max="11" width="14.6640625" style="117" customWidth="1"/>
    <col min="12" max="12" width="11.109375" style="117" bestFit="1" customWidth="1"/>
    <col min="13" max="14" width="8.88671875" style="117"/>
    <col min="15" max="15" width="22.5546875" style="117" customWidth="1"/>
    <col min="16" max="18" width="12.6640625" style="117" bestFit="1" customWidth="1"/>
    <col min="19" max="19" width="12.6640625" style="117" customWidth="1"/>
    <col min="20" max="20" width="10.88671875" style="117" customWidth="1"/>
    <col min="21" max="257" width="8.88671875" style="117"/>
    <col min="258" max="258" width="22.44140625" style="117" customWidth="1"/>
    <col min="259" max="259" width="8.88671875" style="117"/>
    <col min="260" max="260" width="48.21875" style="117" customWidth="1"/>
    <col min="261" max="262" width="8.88671875" style="117"/>
    <col min="263" max="263" width="45.44140625" style="117" customWidth="1"/>
    <col min="264" max="265" width="8.88671875" style="117"/>
    <col min="266" max="266" width="91" style="117" customWidth="1"/>
    <col min="267" max="267" width="8.88671875" style="117"/>
    <col min="268" max="268" width="14.6640625" style="117" customWidth="1"/>
    <col min="269" max="269" width="11.109375" style="117" bestFit="1" customWidth="1"/>
    <col min="270" max="513" width="8.88671875" style="117"/>
    <col min="514" max="514" width="22.44140625" style="117" customWidth="1"/>
    <col min="515" max="515" width="8.88671875" style="117"/>
    <col min="516" max="516" width="48.21875" style="117" customWidth="1"/>
    <col min="517" max="518" width="8.88671875" style="117"/>
    <col min="519" max="519" width="45.44140625" style="117" customWidth="1"/>
    <col min="520" max="521" width="8.88671875" style="117"/>
    <col min="522" max="522" width="91" style="117" customWidth="1"/>
    <col min="523" max="523" width="8.88671875" style="117"/>
    <col min="524" max="524" width="14.6640625" style="117" customWidth="1"/>
    <col min="525" max="525" width="11.109375" style="117" bestFit="1" customWidth="1"/>
    <col min="526" max="769" width="8.88671875" style="117"/>
    <col min="770" max="770" width="22.44140625" style="117" customWidth="1"/>
    <col min="771" max="771" width="8.88671875" style="117"/>
    <col min="772" max="772" width="48.21875" style="117" customWidth="1"/>
    <col min="773" max="774" width="8.88671875" style="117"/>
    <col min="775" max="775" width="45.44140625" style="117" customWidth="1"/>
    <col min="776" max="777" width="8.88671875" style="117"/>
    <col min="778" max="778" width="91" style="117" customWidth="1"/>
    <col min="779" max="779" width="8.88671875" style="117"/>
    <col min="780" max="780" width="14.6640625" style="117" customWidth="1"/>
    <col min="781" max="781" width="11.109375" style="117" bestFit="1" customWidth="1"/>
    <col min="782" max="1025" width="8.88671875" style="117"/>
    <col min="1026" max="1026" width="22.44140625" style="117" customWidth="1"/>
    <col min="1027" max="1027" width="8.88671875" style="117"/>
    <col min="1028" max="1028" width="48.21875" style="117" customWidth="1"/>
    <col min="1029" max="1030" width="8.88671875" style="117"/>
    <col min="1031" max="1031" width="45.44140625" style="117" customWidth="1"/>
    <col min="1032" max="1033" width="8.88671875" style="117"/>
    <col min="1034" max="1034" width="91" style="117" customWidth="1"/>
    <col min="1035" max="1035" width="8.88671875" style="117"/>
    <col min="1036" max="1036" width="14.6640625" style="117" customWidth="1"/>
    <col min="1037" max="1037" width="11.109375" style="117" bestFit="1" customWidth="1"/>
    <col min="1038" max="1281" width="8.88671875" style="117"/>
    <col min="1282" max="1282" width="22.44140625" style="117" customWidth="1"/>
    <col min="1283" max="1283" width="8.88671875" style="117"/>
    <col min="1284" max="1284" width="48.21875" style="117" customWidth="1"/>
    <col min="1285" max="1286" width="8.88671875" style="117"/>
    <col min="1287" max="1287" width="45.44140625" style="117" customWidth="1"/>
    <col min="1288" max="1289" width="8.88671875" style="117"/>
    <col min="1290" max="1290" width="91" style="117" customWidth="1"/>
    <col min="1291" max="1291" width="8.88671875" style="117"/>
    <col min="1292" max="1292" width="14.6640625" style="117" customWidth="1"/>
    <col min="1293" max="1293" width="11.109375" style="117" bestFit="1" customWidth="1"/>
    <col min="1294" max="1537" width="8.88671875" style="117"/>
    <col min="1538" max="1538" width="22.44140625" style="117" customWidth="1"/>
    <col min="1539" max="1539" width="8.88671875" style="117"/>
    <col min="1540" max="1540" width="48.21875" style="117" customWidth="1"/>
    <col min="1541" max="1542" width="8.88671875" style="117"/>
    <col min="1543" max="1543" width="45.44140625" style="117" customWidth="1"/>
    <col min="1544" max="1545" width="8.88671875" style="117"/>
    <col min="1546" max="1546" width="91" style="117" customWidth="1"/>
    <col min="1547" max="1547" width="8.88671875" style="117"/>
    <col min="1548" max="1548" width="14.6640625" style="117" customWidth="1"/>
    <col min="1549" max="1549" width="11.109375" style="117" bestFit="1" customWidth="1"/>
    <col min="1550" max="1793" width="8.88671875" style="117"/>
    <col min="1794" max="1794" width="22.44140625" style="117" customWidth="1"/>
    <col min="1795" max="1795" width="8.88671875" style="117"/>
    <col min="1796" max="1796" width="48.21875" style="117" customWidth="1"/>
    <col min="1797" max="1798" width="8.88671875" style="117"/>
    <col min="1799" max="1799" width="45.44140625" style="117" customWidth="1"/>
    <col min="1800" max="1801" width="8.88671875" style="117"/>
    <col min="1802" max="1802" width="91" style="117" customWidth="1"/>
    <col min="1803" max="1803" width="8.88671875" style="117"/>
    <col min="1804" max="1804" width="14.6640625" style="117" customWidth="1"/>
    <col min="1805" max="1805" width="11.109375" style="117" bestFit="1" customWidth="1"/>
    <col min="1806" max="2049" width="8.88671875" style="117"/>
    <col min="2050" max="2050" width="22.44140625" style="117" customWidth="1"/>
    <col min="2051" max="2051" width="8.88671875" style="117"/>
    <col min="2052" max="2052" width="48.21875" style="117" customWidth="1"/>
    <col min="2053" max="2054" width="8.88671875" style="117"/>
    <col min="2055" max="2055" width="45.44140625" style="117" customWidth="1"/>
    <col min="2056" max="2057" width="8.88671875" style="117"/>
    <col min="2058" max="2058" width="91" style="117" customWidth="1"/>
    <col min="2059" max="2059" width="8.88671875" style="117"/>
    <col min="2060" max="2060" width="14.6640625" style="117" customWidth="1"/>
    <col min="2061" max="2061" width="11.109375" style="117" bestFit="1" customWidth="1"/>
    <col min="2062" max="2305" width="8.88671875" style="117"/>
    <col min="2306" max="2306" width="22.44140625" style="117" customWidth="1"/>
    <col min="2307" max="2307" width="8.88671875" style="117"/>
    <col min="2308" max="2308" width="48.21875" style="117" customWidth="1"/>
    <col min="2309" max="2310" width="8.88671875" style="117"/>
    <col min="2311" max="2311" width="45.44140625" style="117" customWidth="1"/>
    <col min="2312" max="2313" width="8.88671875" style="117"/>
    <col min="2314" max="2314" width="91" style="117" customWidth="1"/>
    <col min="2315" max="2315" width="8.88671875" style="117"/>
    <col min="2316" max="2316" width="14.6640625" style="117" customWidth="1"/>
    <col min="2317" max="2317" width="11.109375" style="117" bestFit="1" customWidth="1"/>
    <col min="2318" max="2561" width="8.88671875" style="117"/>
    <col min="2562" max="2562" width="22.44140625" style="117" customWidth="1"/>
    <col min="2563" max="2563" width="8.88671875" style="117"/>
    <col min="2564" max="2564" width="48.21875" style="117" customWidth="1"/>
    <col min="2565" max="2566" width="8.88671875" style="117"/>
    <col min="2567" max="2567" width="45.44140625" style="117" customWidth="1"/>
    <col min="2568" max="2569" width="8.88671875" style="117"/>
    <col min="2570" max="2570" width="91" style="117" customWidth="1"/>
    <col min="2571" max="2571" width="8.88671875" style="117"/>
    <col min="2572" max="2572" width="14.6640625" style="117" customWidth="1"/>
    <col min="2573" max="2573" width="11.109375" style="117" bestFit="1" customWidth="1"/>
    <col min="2574" max="2817" width="8.88671875" style="117"/>
    <col min="2818" max="2818" width="22.44140625" style="117" customWidth="1"/>
    <col min="2819" max="2819" width="8.88671875" style="117"/>
    <col min="2820" max="2820" width="48.21875" style="117" customWidth="1"/>
    <col min="2821" max="2822" width="8.88671875" style="117"/>
    <col min="2823" max="2823" width="45.44140625" style="117" customWidth="1"/>
    <col min="2824" max="2825" width="8.88671875" style="117"/>
    <col min="2826" max="2826" width="91" style="117" customWidth="1"/>
    <col min="2827" max="2827" width="8.88671875" style="117"/>
    <col min="2828" max="2828" width="14.6640625" style="117" customWidth="1"/>
    <col min="2829" max="2829" width="11.109375" style="117" bestFit="1" customWidth="1"/>
    <col min="2830" max="3073" width="8.88671875" style="117"/>
    <col min="3074" max="3074" width="22.44140625" style="117" customWidth="1"/>
    <col min="3075" max="3075" width="8.88671875" style="117"/>
    <col min="3076" max="3076" width="48.21875" style="117" customWidth="1"/>
    <col min="3077" max="3078" width="8.88671875" style="117"/>
    <col min="3079" max="3079" width="45.44140625" style="117" customWidth="1"/>
    <col min="3080" max="3081" width="8.88671875" style="117"/>
    <col min="3082" max="3082" width="91" style="117" customWidth="1"/>
    <col min="3083" max="3083" width="8.88671875" style="117"/>
    <col min="3084" max="3084" width="14.6640625" style="117" customWidth="1"/>
    <col min="3085" max="3085" width="11.109375" style="117" bestFit="1" customWidth="1"/>
    <col min="3086" max="3329" width="8.88671875" style="117"/>
    <col min="3330" max="3330" width="22.44140625" style="117" customWidth="1"/>
    <col min="3331" max="3331" width="8.88671875" style="117"/>
    <col min="3332" max="3332" width="48.21875" style="117" customWidth="1"/>
    <col min="3333" max="3334" width="8.88671875" style="117"/>
    <col min="3335" max="3335" width="45.44140625" style="117" customWidth="1"/>
    <col min="3336" max="3337" width="8.88671875" style="117"/>
    <col min="3338" max="3338" width="91" style="117" customWidth="1"/>
    <col min="3339" max="3339" width="8.88671875" style="117"/>
    <col min="3340" max="3340" width="14.6640625" style="117" customWidth="1"/>
    <col min="3341" max="3341" width="11.109375" style="117" bestFit="1" customWidth="1"/>
    <col min="3342" max="3585" width="8.88671875" style="117"/>
    <col min="3586" max="3586" width="22.44140625" style="117" customWidth="1"/>
    <col min="3587" max="3587" width="8.88671875" style="117"/>
    <col min="3588" max="3588" width="48.21875" style="117" customWidth="1"/>
    <col min="3589" max="3590" width="8.88671875" style="117"/>
    <col min="3591" max="3591" width="45.44140625" style="117" customWidth="1"/>
    <col min="3592" max="3593" width="8.88671875" style="117"/>
    <col min="3594" max="3594" width="91" style="117" customWidth="1"/>
    <col min="3595" max="3595" width="8.88671875" style="117"/>
    <col min="3596" max="3596" width="14.6640625" style="117" customWidth="1"/>
    <col min="3597" max="3597" width="11.109375" style="117" bestFit="1" customWidth="1"/>
    <col min="3598" max="3841" width="8.88671875" style="117"/>
    <col min="3842" max="3842" width="22.44140625" style="117" customWidth="1"/>
    <col min="3843" max="3843" width="8.88671875" style="117"/>
    <col min="3844" max="3844" width="48.21875" style="117" customWidth="1"/>
    <col min="3845" max="3846" width="8.88671875" style="117"/>
    <col min="3847" max="3847" width="45.44140625" style="117" customWidth="1"/>
    <col min="3848" max="3849" width="8.88671875" style="117"/>
    <col min="3850" max="3850" width="91" style="117" customWidth="1"/>
    <col min="3851" max="3851" width="8.88671875" style="117"/>
    <col min="3852" max="3852" width="14.6640625" style="117" customWidth="1"/>
    <col min="3853" max="3853" width="11.109375" style="117" bestFit="1" customWidth="1"/>
    <col min="3854" max="4097" width="8.88671875" style="117"/>
    <col min="4098" max="4098" width="22.44140625" style="117" customWidth="1"/>
    <col min="4099" max="4099" width="8.88671875" style="117"/>
    <col min="4100" max="4100" width="48.21875" style="117" customWidth="1"/>
    <col min="4101" max="4102" width="8.88671875" style="117"/>
    <col min="4103" max="4103" width="45.44140625" style="117" customWidth="1"/>
    <col min="4104" max="4105" width="8.88671875" style="117"/>
    <col min="4106" max="4106" width="91" style="117" customWidth="1"/>
    <col min="4107" max="4107" width="8.88671875" style="117"/>
    <col min="4108" max="4108" width="14.6640625" style="117" customWidth="1"/>
    <col min="4109" max="4109" width="11.109375" style="117" bestFit="1" customWidth="1"/>
    <col min="4110" max="4353" width="8.88671875" style="117"/>
    <col min="4354" max="4354" width="22.44140625" style="117" customWidth="1"/>
    <col min="4355" max="4355" width="8.88671875" style="117"/>
    <col min="4356" max="4356" width="48.21875" style="117" customWidth="1"/>
    <col min="4357" max="4358" width="8.88671875" style="117"/>
    <col min="4359" max="4359" width="45.44140625" style="117" customWidth="1"/>
    <col min="4360" max="4361" width="8.88671875" style="117"/>
    <col min="4362" max="4362" width="91" style="117" customWidth="1"/>
    <col min="4363" max="4363" width="8.88671875" style="117"/>
    <col min="4364" max="4364" width="14.6640625" style="117" customWidth="1"/>
    <col min="4365" max="4365" width="11.109375" style="117" bestFit="1" customWidth="1"/>
    <col min="4366" max="4609" width="8.88671875" style="117"/>
    <col min="4610" max="4610" width="22.44140625" style="117" customWidth="1"/>
    <col min="4611" max="4611" width="8.88671875" style="117"/>
    <col min="4612" max="4612" width="48.21875" style="117" customWidth="1"/>
    <col min="4613" max="4614" width="8.88671875" style="117"/>
    <col min="4615" max="4615" width="45.44140625" style="117" customWidth="1"/>
    <col min="4616" max="4617" width="8.88671875" style="117"/>
    <col min="4618" max="4618" width="91" style="117" customWidth="1"/>
    <col min="4619" max="4619" width="8.88671875" style="117"/>
    <col min="4620" max="4620" width="14.6640625" style="117" customWidth="1"/>
    <col min="4621" max="4621" width="11.109375" style="117" bestFit="1" customWidth="1"/>
    <col min="4622" max="4865" width="8.88671875" style="117"/>
    <col min="4866" max="4866" width="22.44140625" style="117" customWidth="1"/>
    <col min="4867" max="4867" width="8.88671875" style="117"/>
    <col min="4868" max="4868" width="48.21875" style="117" customWidth="1"/>
    <col min="4869" max="4870" width="8.88671875" style="117"/>
    <col min="4871" max="4871" width="45.44140625" style="117" customWidth="1"/>
    <col min="4872" max="4873" width="8.88671875" style="117"/>
    <col min="4874" max="4874" width="91" style="117" customWidth="1"/>
    <col min="4875" max="4875" width="8.88671875" style="117"/>
    <col min="4876" max="4876" width="14.6640625" style="117" customWidth="1"/>
    <col min="4877" max="4877" width="11.109375" style="117" bestFit="1" customWidth="1"/>
    <col min="4878" max="5121" width="8.88671875" style="117"/>
    <col min="5122" max="5122" width="22.44140625" style="117" customWidth="1"/>
    <col min="5123" max="5123" width="8.88671875" style="117"/>
    <col min="5124" max="5124" width="48.21875" style="117" customWidth="1"/>
    <col min="5125" max="5126" width="8.88671875" style="117"/>
    <col min="5127" max="5127" width="45.44140625" style="117" customWidth="1"/>
    <col min="5128" max="5129" width="8.88671875" style="117"/>
    <col min="5130" max="5130" width="91" style="117" customWidth="1"/>
    <col min="5131" max="5131" width="8.88671875" style="117"/>
    <col min="5132" max="5132" width="14.6640625" style="117" customWidth="1"/>
    <col min="5133" max="5133" width="11.109375" style="117" bestFit="1" customWidth="1"/>
    <col min="5134" max="5377" width="8.88671875" style="117"/>
    <col min="5378" max="5378" width="22.44140625" style="117" customWidth="1"/>
    <col min="5379" max="5379" width="8.88671875" style="117"/>
    <col min="5380" max="5380" width="48.21875" style="117" customWidth="1"/>
    <col min="5381" max="5382" width="8.88671875" style="117"/>
    <col min="5383" max="5383" width="45.44140625" style="117" customWidth="1"/>
    <col min="5384" max="5385" width="8.88671875" style="117"/>
    <col min="5386" max="5386" width="91" style="117" customWidth="1"/>
    <col min="5387" max="5387" width="8.88671875" style="117"/>
    <col min="5388" max="5388" width="14.6640625" style="117" customWidth="1"/>
    <col min="5389" max="5389" width="11.109375" style="117" bestFit="1" customWidth="1"/>
    <col min="5390" max="5633" width="8.88671875" style="117"/>
    <col min="5634" max="5634" width="22.44140625" style="117" customWidth="1"/>
    <col min="5635" max="5635" width="8.88671875" style="117"/>
    <col min="5636" max="5636" width="48.21875" style="117" customWidth="1"/>
    <col min="5637" max="5638" width="8.88671875" style="117"/>
    <col min="5639" max="5639" width="45.44140625" style="117" customWidth="1"/>
    <col min="5640" max="5641" width="8.88671875" style="117"/>
    <col min="5642" max="5642" width="91" style="117" customWidth="1"/>
    <col min="5643" max="5643" width="8.88671875" style="117"/>
    <col min="5644" max="5644" width="14.6640625" style="117" customWidth="1"/>
    <col min="5645" max="5645" width="11.109375" style="117" bestFit="1" customWidth="1"/>
    <col min="5646" max="5889" width="8.88671875" style="117"/>
    <col min="5890" max="5890" width="22.44140625" style="117" customWidth="1"/>
    <col min="5891" max="5891" width="8.88671875" style="117"/>
    <col min="5892" max="5892" width="48.21875" style="117" customWidth="1"/>
    <col min="5893" max="5894" width="8.88671875" style="117"/>
    <col min="5895" max="5895" width="45.44140625" style="117" customWidth="1"/>
    <col min="5896" max="5897" width="8.88671875" style="117"/>
    <col min="5898" max="5898" width="91" style="117" customWidth="1"/>
    <col min="5899" max="5899" width="8.88671875" style="117"/>
    <col min="5900" max="5900" width="14.6640625" style="117" customWidth="1"/>
    <col min="5901" max="5901" width="11.109375" style="117" bestFit="1" customWidth="1"/>
    <col min="5902" max="6145" width="8.88671875" style="117"/>
    <col min="6146" max="6146" width="22.44140625" style="117" customWidth="1"/>
    <col min="6147" max="6147" width="8.88671875" style="117"/>
    <col min="6148" max="6148" width="48.21875" style="117" customWidth="1"/>
    <col min="6149" max="6150" width="8.88671875" style="117"/>
    <col min="6151" max="6151" width="45.44140625" style="117" customWidth="1"/>
    <col min="6152" max="6153" width="8.88671875" style="117"/>
    <col min="6154" max="6154" width="91" style="117" customWidth="1"/>
    <col min="6155" max="6155" width="8.88671875" style="117"/>
    <col min="6156" max="6156" width="14.6640625" style="117" customWidth="1"/>
    <col min="6157" max="6157" width="11.109375" style="117" bestFit="1" customWidth="1"/>
    <col min="6158" max="6401" width="8.88671875" style="117"/>
    <col min="6402" max="6402" width="22.44140625" style="117" customWidth="1"/>
    <col min="6403" max="6403" width="8.88671875" style="117"/>
    <col min="6404" max="6404" width="48.21875" style="117" customWidth="1"/>
    <col min="6405" max="6406" width="8.88671875" style="117"/>
    <col min="6407" max="6407" width="45.44140625" style="117" customWidth="1"/>
    <col min="6408" max="6409" width="8.88671875" style="117"/>
    <col min="6410" max="6410" width="91" style="117" customWidth="1"/>
    <col min="6411" max="6411" width="8.88671875" style="117"/>
    <col min="6412" max="6412" width="14.6640625" style="117" customWidth="1"/>
    <col min="6413" max="6413" width="11.109375" style="117" bestFit="1" customWidth="1"/>
    <col min="6414" max="6657" width="8.88671875" style="117"/>
    <col min="6658" max="6658" width="22.44140625" style="117" customWidth="1"/>
    <col min="6659" max="6659" width="8.88671875" style="117"/>
    <col min="6660" max="6660" width="48.21875" style="117" customWidth="1"/>
    <col min="6661" max="6662" width="8.88671875" style="117"/>
    <col min="6663" max="6663" width="45.44140625" style="117" customWidth="1"/>
    <col min="6664" max="6665" width="8.88671875" style="117"/>
    <col min="6666" max="6666" width="91" style="117" customWidth="1"/>
    <col min="6667" max="6667" width="8.88671875" style="117"/>
    <col min="6668" max="6668" width="14.6640625" style="117" customWidth="1"/>
    <col min="6669" max="6669" width="11.109375" style="117" bestFit="1" customWidth="1"/>
    <col min="6670" max="6913" width="8.88671875" style="117"/>
    <col min="6914" max="6914" width="22.44140625" style="117" customWidth="1"/>
    <col min="6915" max="6915" width="8.88671875" style="117"/>
    <col min="6916" max="6916" width="48.21875" style="117" customWidth="1"/>
    <col min="6917" max="6918" width="8.88671875" style="117"/>
    <col min="6919" max="6919" width="45.44140625" style="117" customWidth="1"/>
    <col min="6920" max="6921" width="8.88671875" style="117"/>
    <col min="6922" max="6922" width="91" style="117" customWidth="1"/>
    <col min="6923" max="6923" width="8.88671875" style="117"/>
    <col min="6924" max="6924" width="14.6640625" style="117" customWidth="1"/>
    <col min="6925" max="6925" width="11.109375" style="117" bestFit="1" customWidth="1"/>
    <col min="6926" max="7169" width="8.88671875" style="117"/>
    <col min="7170" max="7170" width="22.44140625" style="117" customWidth="1"/>
    <col min="7171" max="7171" width="8.88671875" style="117"/>
    <col min="7172" max="7172" width="48.21875" style="117" customWidth="1"/>
    <col min="7173" max="7174" width="8.88671875" style="117"/>
    <col min="7175" max="7175" width="45.44140625" style="117" customWidth="1"/>
    <col min="7176" max="7177" width="8.88671875" style="117"/>
    <col min="7178" max="7178" width="91" style="117" customWidth="1"/>
    <col min="7179" max="7179" width="8.88671875" style="117"/>
    <col min="7180" max="7180" width="14.6640625" style="117" customWidth="1"/>
    <col min="7181" max="7181" width="11.109375" style="117" bestFit="1" customWidth="1"/>
    <col min="7182" max="7425" width="8.88671875" style="117"/>
    <col min="7426" max="7426" width="22.44140625" style="117" customWidth="1"/>
    <col min="7427" max="7427" width="8.88671875" style="117"/>
    <col min="7428" max="7428" width="48.21875" style="117" customWidth="1"/>
    <col min="7429" max="7430" width="8.88671875" style="117"/>
    <col min="7431" max="7431" width="45.44140625" style="117" customWidth="1"/>
    <col min="7432" max="7433" width="8.88671875" style="117"/>
    <col min="7434" max="7434" width="91" style="117" customWidth="1"/>
    <col min="7435" max="7435" width="8.88671875" style="117"/>
    <col min="7436" max="7436" width="14.6640625" style="117" customWidth="1"/>
    <col min="7437" max="7437" width="11.109375" style="117" bestFit="1" customWidth="1"/>
    <col min="7438" max="7681" width="8.88671875" style="117"/>
    <col min="7682" max="7682" width="22.44140625" style="117" customWidth="1"/>
    <col min="7683" max="7683" width="8.88671875" style="117"/>
    <col min="7684" max="7684" width="48.21875" style="117" customWidth="1"/>
    <col min="7685" max="7686" width="8.88671875" style="117"/>
    <col min="7687" max="7687" width="45.44140625" style="117" customWidth="1"/>
    <col min="7688" max="7689" width="8.88671875" style="117"/>
    <col min="7690" max="7690" width="91" style="117" customWidth="1"/>
    <col min="7691" max="7691" width="8.88671875" style="117"/>
    <col min="7692" max="7692" width="14.6640625" style="117" customWidth="1"/>
    <col min="7693" max="7693" width="11.109375" style="117" bestFit="1" customWidth="1"/>
    <col min="7694" max="7937" width="8.88671875" style="117"/>
    <col min="7938" max="7938" width="22.44140625" style="117" customWidth="1"/>
    <col min="7939" max="7939" width="8.88671875" style="117"/>
    <col min="7940" max="7940" width="48.21875" style="117" customWidth="1"/>
    <col min="7941" max="7942" width="8.88671875" style="117"/>
    <col min="7943" max="7943" width="45.44140625" style="117" customWidth="1"/>
    <col min="7944" max="7945" width="8.88671875" style="117"/>
    <col min="7946" max="7946" width="91" style="117" customWidth="1"/>
    <col min="7947" max="7947" width="8.88671875" style="117"/>
    <col min="7948" max="7948" width="14.6640625" style="117" customWidth="1"/>
    <col min="7949" max="7949" width="11.109375" style="117" bestFit="1" customWidth="1"/>
    <col min="7950" max="8193" width="8.88671875" style="117"/>
    <col min="8194" max="8194" width="22.44140625" style="117" customWidth="1"/>
    <col min="8195" max="8195" width="8.88671875" style="117"/>
    <col min="8196" max="8196" width="48.21875" style="117" customWidth="1"/>
    <col min="8197" max="8198" width="8.88671875" style="117"/>
    <col min="8199" max="8199" width="45.44140625" style="117" customWidth="1"/>
    <col min="8200" max="8201" width="8.88671875" style="117"/>
    <col min="8202" max="8202" width="91" style="117" customWidth="1"/>
    <col min="8203" max="8203" width="8.88671875" style="117"/>
    <col min="8204" max="8204" width="14.6640625" style="117" customWidth="1"/>
    <col min="8205" max="8205" width="11.109375" style="117" bestFit="1" customWidth="1"/>
    <col min="8206" max="8449" width="8.88671875" style="117"/>
    <col min="8450" max="8450" width="22.44140625" style="117" customWidth="1"/>
    <col min="8451" max="8451" width="8.88671875" style="117"/>
    <col min="8452" max="8452" width="48.21875" style="117" customWidth="1"/>
    <col min="8453" max="8454" width="8.88671875" style="117"/>
    <col min="8455" max="8455" width="45.44140625" style="117" customWidth="1"/>
    <col min="8456" max="8457" width="8.88671875" style="117"/>
    <col min="8458" max="8458" width="91" style="117" customWidth="1"/>
    <col min="8459" max="8459" width="8.88671875" style="117"/>
    <col min="8460" max="8460" width="14.6640625" style="117" customWidth="1"/>
    <col min="8461" max="8461" width="11.109375" style="117" bestFit="1" customWidth="1"/>
    <col min="8462" max="8705" width="8.88671875" style="117"/>
    <col min="8706" max="8706" width="22.44140625" style="117" customWidth="1"/>
    <col min="8707" max="8707" width="8.88671875" style="117"/>
    <col min="8708" max="8708" width="48.21875" style="117" customWidth="1"/>
    <col min="8709" max="8710" width="8.88671875" style="117"/>
    <col min="8711" max="8711" width="45.44140625" style="117" customWidth="1"/>
    <col min="8712" max="8713" width="8.88671875" style="117"/>
    <col min="8714" max="8714" width="91" style="117" customWidth="1"/>
    <col min="8715" max="8715" width="8.88671875" style="117"/>
    <col min="8716" max="8716" width="14.6640625" style="117" customWidth="1"/>
    <col min="8717" max="8717" width="11.109375" style="117" bestFit="1" customWidth="1"/>
    <col min="8718" max="8961" width="8.88671875" style="117"/>
    <col min="8962" max="8962" width="22.44140625" style="117" customWidth="1"/>
    <col min="8963" max="8963" width="8.88671875" style="117"/>
    <col min="8964" max="8964" width="48.21875" style="117" customWidth="1"/>
    <col min="8965" max="8966" width="8.88671875" style="117"/>
    <col min="8967" max="8967" width="45.44140625" style="117" customWidth="1"/>
    <col min="8968" max="8969" width="8.88671875" style="117"/>
    <col min="8970" max="8970" width="91" style="117" customWidth="1"/>
    <col min="8971" max="8971" width="8.88671875" style="117"/>
    <col min="8972" max="8972" width="14.6640625" style="117" customWidth="1"/>
    <col min="8973" max="8973" width="11.109375" style="117" bestFit="1" customWidth="1"/>
    <col min="8974" max="9217" width="8.88671875" style="117"/>
    <col min="9218" max="9218" width="22.44140625" style="117" customWidth="1"/>
    <col min="9219" max="9219" width="8.88671875" style="117"/>
    <col min="9220" max="9220" width="48.21875" style="117" customWidth="1"/>
    <col min="9221" max="9222" width="8.88671875" style="117"/>
    <col min="9223" max="9223" width="45.44140625" style="117" customWidth="1"/>
    <col min="9224" max="9225" width="8.88671875" style="117"/>
    <col min="9226" max="9226" width="91" style="117" customWidth="1"/>
    <col min="9227" max="9227" width="8.88671875" style="117"/>
    <col min="9228" max="9228" width="14.6640625" style="117" customWidth="1"/>
    <col min="9229" max="9229" width="11.109375" style="117" bestFit="1" customWidth="1"/>
    <col min="9230" max="9473" width="8.88671875" style="117"/>
    <col min="9474" max="9474" width="22.44140625" style="117" customWidth="1"/>
    <col min="9475" max="9475" width="8.88671875" style="117"/>
    <col min="9476" max="9476" width="48.21875" style="117" customWidth="1"/>
    <col min="9477" max="9478" width="8.88671875" style="117"/>
    <col min="9479" max="9479" width="45.44140625" style="117" customWidth="1"/>
    <col min="9480" max="9481" width="8.88671875" style="117"/>
    <col min="9482" max="9482" width="91" style="117" customWidth="1"/>
    <col min="9483" max="9483" width="8.88671875" style="117"/>
    <col min="9484" max="9484" width="14.6640625" style="117" customWidth="1"/>
    <col min="9485" max="9485" width="11.109375" style="117" bestFit="1" customWidth="1"/>
    <col min="9486" max="9729" width="8.88671875" style="117"/>
    <col min="9730" max="9730" width="22.44140625" style="117" customWidth="1"/>
    <col min="9731" max="9731" width="8.88671875" style="117"/>
    <col min="9732" max="9732" width="48.21875" style="117" customWidth="1"/>
    <col min="9733" max="9734" width="8.88671875" style="117"/>
    <col min="9735" max="9735" width="45.44140625" style="117" customWidth="1"/>
    <col min="9736" max="9737" width="8.88671875" style="117"/>
    <col min="9738" max="9738" width="91" style="117" customWidth="1"/>
    <col min="9739" max="9739" width="8.88671875" style="117"/>
    <col min="9740" max="9740" width="14.6640625" style="117" customWidth="1"/>
    <col min="9741" max="9741" width="11.109375" style="117" bestFit="1" customWidth="1"/>
    <col min="9742" max="9985" width="8.88671875" style="117"/>
    <col min="9986" max="9986" width="22.44140625" style="117" customWidth="1"/>
    <col min="9987" max="9987" width="8.88671875" style="117"/>
    <col min="9988" max="9988" width="48.21875" style="117" customWidth="1"/>
    <col min="9989" max="9990" width="8.88671875" style="117"/>
    <col min="9991" max="9991" width="45.44140625" style="117" customWidth="1"/>
    <col min="9992" max="9993" width="8.88671875" style="117"/>
    <col min="9994" max="9994" width="91" style="117" customWidth="1"/>
    <col min="9995" max="9995" width="8.88671875" style="117"/>
    <col min="9996" max="9996" width="14.6640625" style="117" customWidth="1"/>
    <col min="9997" max="9997" width="11.109375" style="117" bestFit="1" customWidth="1"/>
    <col min="9998" max="10241" width="8.88671875" style="117"/>
    <col min="10242" max="10242" width="22.44140625" style="117" customWidth="1"/>
    <col min="10243" max="10243" width="8.88671875" style="117"/>
    <col min="10244" max="10244" width="48.21875" style="117" customWidth="1"/>
    <col min="10245" max="10246" width="8.88671875" style="117"/>
    <col min="10247" max="10247" width="45.44140625" style="117" customWidth="1"/>
    <col min="10248" max="10249" width="8.88671875" style="117"/>
    <col min="10250" max="10250" width="91" style="117" customWidth="1"/>
    <col min="10251" max="10251" width="8.88671875" style="117"/>
    <col min="10252" max="10252" width="14.6640625" style="117" customWidth="1"/>
    <col min="10253" max="10253" width="11.109375" style="117" bestFit="1" customWidth="1"/>
    <col min="10254" max="10497" width="8.88671875" style="117"/>
    <col min="10498" max="10498" width="22.44140625" style="117" customWidth="1"/>
    <col min="10499" max="10499" width="8.88671875" style="117"/>
    <col min="10500" max="10500" width="48.21875" style="117" customWidth="1"/>
    <col min="10501" max="10502" width="8.88671875" style="117"/>
    <col min="10503" max="10503" width="45.44140625" style="117" customWidth="1"/>
    <col min="10504" max="10505" width="8.88671875" style="117"/>
    <col min="10506" max="10506" width="91" style="117" customWidth="1"/>
    <col min="10507" max="10507" width="8.88671875" style="117"/>
    <col min="10508" max="10508" width="14.6640625" style="117" customWidth="1"/>
    <col min="10509" max="10509" width="11.109375" style="117" bestFit="1" customWidth="1"/>
    <col min="10510" max="10753" width="8.88671875" style="117"/>
    <col min="10754" max="10754" width="22.44140625" style="117" customWidth="1"/>
    <col min="10755" max="10755" width="8.88671875" style="117"/>
    <col min="10756" max="10756" width="48.21875" style="117" customWidth="1"/>
    <col min="10757" max="10758" width="8.88671875" style="117"/>
    <col min="10759" max="10759" width="45.44140625" style="117" customWidth="1"/>
    <col min="10760" max="10761" width="8.88671875" style="117"/>
    <col min="10762" max="10762" width="91" style="117" customWidth="1"/>
    <col min="10763" max="10763" width="8.88671875" style="117"/>
    <col min="10764" max="10764" width="14.6640625" style="117" customWidth="1"/>
    <col min="10765" max="10765" width="11.109375" style="117" bestFit="1" customWidth="1"/>
    <col min="10766" max="11009" width="8.88671875" style="117"/>
    <col min="11010" max="11010" width="22.44140625" style="117" customWidth="1"/>
    <col min="11011" max="11011" width="8.88671875" style="117"/>
    <col min="11012" max="11012" width="48.21875" style="117" customWidth="1"/>
    <col min="11013" max="11014" width="8.88671875" style="117"/>
    <col min="11015" max="11015" width="45.44140625" style="117" customWidth="1"/>
    <col min="11016" max="11017" width="8.88671875" style="117"/>
    <col min="11018" max="11018" width="91" style="117" customWidth="1"/>
    <col min="11019" max="11019" width="8.88671875" style="117"/>
    <col min="11020" max="11020" width="14.6640625" style="117" customWidth="1"/>
    <col min="11021" max="11021" width="11.109375" style="117" bestFit="1" customWidth="1"/>
    <col min="11022" max="11265" width="8.88671875" style="117"/>
    <col min="11266" max="11266" width="22.44140625" style="117" customWidth="1"/>
    <col min="11267" max="11267" width="8.88671875" style="117"/>
    <col min="11268" max="11268" width="48.21875" style="117" customWidth="1"/>
    <col min="11269" max="11270" width="8.88671875" style="117"/>
    <col min="11271" max="11271" width="45.44140625" style="117" customWidth="1"/>
    <col min="11272" max="11273" width="8.88671875" style="117"/>
    <col min="11274" max="11274" width="91" style="117" customWidth="1"/>
    <col min="11275" max="11275" width="8.88671875" style="117"/>
    <col min="11276" max="11276" width="14.6640625" style="117" customWidth="1"/>
    <col min="11277" max="11277" width="11.109375" style="117" bestFit="1" customWidth="1"/>
    <col min="11278" max="11521" width="8.88671875" style="117"/>
    <col min="11522" max="11522" width="22.44140625" style="117" customWidth="1"/>
    <col min="11523" max="11523" width="8.88671875" style="117"/>
    <col min="11524" max="11524" width="48.21875" style="117" customWidth="1"/>
    <col min="11525" max="11526" width="8.88671875" style="117"/>
    <col min="11527" max="11527" width="45.44140625" style="117" customWidth="1"/>
    <col min="11528" max="11529" width="8.88671875" style="117"/>
    <col min="11530" max="11530" width="91" style="117" customWidth="1"/>
    <col min="11531" max="11531" width="8.88671875" style="117"/>
    <col min="11532" max="11532" width="14.6640625" style="117" customWidth="1"/>
    <col min="11533" max="11533" width="11.109375" style="117" bestFit="1" customWidth="1"/>
    <col min="11534" max="11777" width="8.88671875" style="117"/>
    <col min="11778" max="11778" width="22.44140625" style="117" customWidth="1"/>
    <col min="11779" max="11779" width="8.88671875" style="117"/>
    <col min="11780" max="11780" width="48.21875" style="117" customWidth="1"/>
    <col min="11781" max="11782" width="8.88671875" style="117"/>
    <col min="11783" max="11783" width="45.44140625" style="117" customWidth="1"/>
    <col min="11784" max="11785" width="8.88671875" style="117"/>
    <col min="11786" max="11786" width="91" style="117" customWidth="1"/>
    <col min="11787" max="11787" width="8.88671875" style="117"/>
    <col min="11788" max="11788" width="14.6640625" style="117" customWidth="1"/>
    <col min="11789" max="11789" width="11.109375" style="117" bestFit="1" customWidth="1"/>
    <col min="11790" max="12033" width="8.88671875" style="117"/>
    <col min="12034" max="12034" width="22.44140625" style="117" customWidth="1"/>
    <col min="12035" max="12035" width="8.88671875" style="117"/>
    <col min="12036" max="12036" width="48.21875" style="117" customWidth="1"/>
    <col min="12037" max="12038" width="8.88671875" style="117"/>
    <col min="12039" max="12039" width="45.44140625" style="117" customWidth="1"/>
    <col min="12040" max="12041" width="8.88671875" style="117"/>
    <col min="12042" max="12042" width="91" style="117" customWidth="1"/>
    <col min="12043" max="12043" width="8.88671875" style="117"/>
    <col min="12044" max="12044" width="14.6640625" style="117" customWidth="1"/>
    <col min="12045" max="12045" width="11.109375" style="117" bestFit="1" customWidth="1"/>
    <col min="12046" max="12289" width="8.88671875" style="117"/>
    <col min="12290" max="12290" width="22.44140625" style="117" customWidth="1"/>
    <col min="12291" max="12291" width="8.88671875" style="117"/>
    <col min="12292" max="12292" width="48.21875" style="117" customWidth="1"/>
    <col min="12293" max="12294" width="8.88671875" style="117"/>
    <col min="12295" max="12295" width="45.44140625" style="117" customWidth="1"/>
    <col min="12296" max="12297" width="8.88671875" style="117"/>
    <col min="12298" max="12298" width="91" style="117" customWidth="1"/>
    <col min="12299" max="12299" width="8.88671875" style="117"/>
    <col min="12300" max="12300" width="14.6640625" style="117" customWidth="1"/>
    <col min="12301" max="12301" width="11.109375" style="117" bestFit="1" customWidth="1"/>
    <col min="12302" max="12545" width="8.88671875" style="117"/>
    <col min="12546" max="12546" width="22.44140625" style="117" customWidth="1"/>
    <col min="12547" max="12547" width="8.88671875" style="117"/>
    <col min="12548" max="12548" width="48.21875" style="117" customWidth="1"/>
    <col min="12549" max="12550" width="8.88671875" style="117"/>
    <col min="12551" max="12551" width="45.44140625" style="117" customWidth="1"/>
    <col min="12552" max="12553" width="8.88671875" style="117"/>
    <col min="12554" max="12554" width="91" style="117" customWidth="1"/>
    <col min="12555" max="12555" width="8.88671875" style="117"/>
    <col min="12556" max="12556" width="14.6640625" style="117" customWidth="1"/>
    <col min="12557" max="12557" width="11.109375" style="117" bestFit="1" customWidth="1"/>
    <col min="12558" max="12801" width="8.88671875" style="117"/>
    <col min="12802" max="12802" width="22.44140625" style="117" customWidth="1"/>
    <col min="12803" max="12803" width="8.88671875" style="117"/>
    <col min="12804" max="12804" width="48.21875" style="117" customWidth="1"/>
    <col min="12805" max="12806" width="8.88671875" style="117"/>
    <col min="12807" max="12807" width="45.44140625" style="117" customWidth="1"/>
    <col min="12808" max="12809" width="8.88671875" style="117"/>
    <col min="12810" max="12810" width="91" style="117" customWidth="1"/>
    <col min="12811" max="12811" width="8.88671875" style="117"/>
    <col min="12812" max="12812" width="14.6640625" style="117" customWidth="1"/>
    <col min="12813" max="12813" width="11.109375" style="117" bestFit="1" customWidth="1"/>
    <col min="12814" max="13057" width="8.88671875" style="117"/>
    <col min="13058" max="13058" width="22.44140625" style="117" customWidth="1"/>
    <col min="13059" max="13059" width="8.88671875" style="117"/>
    <col min="13060" max="13060" width="48.21875" style="117" customWidth="1"/>
    <col min="13061" max="13062" width="8.88671875" style="117"/>
    <col min="13063" max="13063" width="45.44140625" style="117" customWidth="1"/>
    <col min="13064" max="13065" width="8.88671875" style="117"/>
    <col min="13066" max="13066" width="91" style="117" customWidth="1"/>
    <col min="13067" max="13067" width="8.88671875" style="117"/>
    <col min="13068" max="13068" width="14.6640625" style="117" customWidth="1"/>
    <col min="13069" max="13069" width="11.109375" style="117" bestFit="1" customWidth="1"/>
    <col min="13070" max="13313" width="8.88671875" style="117"/>
    <col min="13314" max="13314" width="22.44140625" style="117" customWidth="1"/>
    <col min="13315" max="13315" width="8.88671875" style="117"/>
    <col min="13316" max="13316" width="48.21875" style="117" customWidth="1"/>
    <col min="13317" max="13318" width="8.88671875" style="117"/>
    <col min="13319" max="13319" width="45.44140625" style="117" customWidth="1"/>
    <col min="13320" max="13321" width="8.88671875" style="117"/>
    <col min="13322" max="13322" width="91" style="117" customWidth="1"/>
    <col min="13323" max="13323" width="8.88671875" style="117"/>
    <col min="13324" max="13324" width="14.6640625" style="117" customWidth="1"/>
    <col min="13325" max="13325" width="11.109375" style="117" bestFit="1" customWidth="1"/>
    <col min="13326" max="13569" width="8.88671875" style="117"/>
    <col min="13570" max="13570" width="22.44140625" style="117" customWidth="1"/>
    <col min="13571" max="13571" width="8.88671875" style="117"/>
    <col min="13572" max="13572" width="48.21875" style="117" customWidth="1"/>
    <col min="13573" max="13574" width="8.88671875" style="117"/>
    <col min="13575" max="13575" width="45.44140625" style="117" customWidth="1"/>
    <col min="13576" max="13577" width="8.88671875" style="117"/>
    <col min="13578" max="13578" width="91" style="117" customWidth="1"/>
    <col min="13579" max="13579" width="8.88671875" style="117"/>
    <col min="13580" max="13580" width="14.6640625" style="117" customWidth="1"/>
    <col min="13581" max="13581" width="11.109375" style="117" bestFit="1" customWidth="1"/>
    <col min="13582" max="13825" width="8.88671875" style="117"/>
    <col min="13826" max="13826" width="22.44140625" style="117" customWidth="1"/>
    <col min="13827" max="13827" width="8.88671875" style="117"/>
    <col min="13828" max="13828" width="48.21875" style="117" customWidth="1"/>
    <col min="13829" max="13830" width="8.88671875" style="117"/>
    <col min="13831" max="13831" width="45.44140625" style="117" customWidth="1"/>
    <col min="13832" max="13833" width="8.88671875" style="117"/>
    <col min="13834" max="13834" width="91" style="117" customWidth="1"/>
    <col min="13835" max="13835" width="8.88671875" style="117"/>
    <col min="13836" max="13836" width="14.6640625" style="117" customWidth="1"/>
    <col min="13837" max="13837" width="11.109375" style="117" bestFit="1" customWidth="1"/>
    <col min="13838" max="14081" width="8.88671875" style="117"/>
    <col min="14082" max="14082" width="22.44140625" style="117" customWidth="1"/>
    <col min="14083" max="14083" width="8.88671875" style="117"/>
    <col min="14084" max="14084" width="48.21875" style="117" customWidth="1"/>
    <col min="14085" max="14086" width="8.88671875" style="117"/>
    <col min="14087" max="14087" width="45.44140625" style="117" customWidth="1"/>
    <col min="14088" max="14089" width="8.88671875" style="117"/>
    <col min="14090" max="14090" width="91" style="117" customWidth="1"/>
    <col min="14091" max="14091" width="8.88671875" style="117"/>
    <col min="14092" max="14092" width="14.6640625" style="117" customWidth="1"/>
    <col min="14093" max="14093" width="11.109375" style="117" bestFit="1" customWidth="1"/>
    <col min="14094" max="14337" width="8.88671875" style="117"/>
    <col min="14338" max="14338" width="22.44140625" style="117" customWidth="1"/>
    <col min="14339" max="14339" width="8.88671875" style="117"/>
    <col min="14340" max="14340" width="48.21875" style="117" customWidth="1"/>
    <col min="14341" max="14342" width="8.88671875" style="117"/>
    <col min="14343" max="14343" width="45.44140625" style="117" customWidth="1"/>
    <col min="14344" max="14345" width="8.88671875" style="117"/>
    <col min="14346" max="14346" width="91" style="117" customWidth="1"/>
    <col min="14347" max="14347" width="8.88671875" style="117"/>
    <col min="14348" max="14348" width="14.6640625" style="117" customWidth="1"/>
    <col min="14349" max="14349" width="11.109375" style="117" bestFit="1" customWidth="1"/>
    <col min="14350" max="14593" width="8.88671875" style="117"/>
    <col min="14594" max="14594" width="22.44140625" style="117" customWidth="1"/>
    <col min="14595" max="14595" width="8.88671875" style="117"/>
    <col min="14596" max="14596" width="48.21875" style="117" customWidth="1"/>
    <col min="14597" max="14598" width="8.88671875" style="117"/>
    <col min="14599" max="14599" width="45.44140625" style="117" customWidth="1"/>
    <col min="14600" max="14601" width="8.88671875" style="117"/>
    <col min="14602" max="14602" width="91" style="117" customWidth="1"/>
    <col min="14603" max="14603" width="8.88671875" style="117"/>
    <col min="14604" max="14604" width="14.6640625" style="117" customWidth="1"/>
    <col min="14605" max="14605" width="11.109375" style="117" bestFit="1" customWidth="1"/>
    <col min="14606" max="14849" width="8.88671875" style="117"/>
    <col min="14850" max="14850" width="22.44140625" style="117" customWidth="1"/>
    <col min="14851" max="14851" width="8.88671875" style="117"/>
    <col min="14852" max="14852" width="48.21875" style="117" customWidth="1"/>
    <col min="14853" max="14854" width="8.88671875" style="117"/>
    <col min="14855" max="14855" width="45.44140625" style="117" customWidth="1"/>
    <col min="14856" max="14857" width="8.88671875" style="117"/>
    <col min="14858" max="14858" width="91" style="117" customWidth="1"/>
    <col min="14859" max="14859" width="8.88671875" style="117"/>
    <col min="14860" max="14860" width="14.6640625" style="117" customWidth="1"/>
    <col min="14861" max="14861" width="11.109375" style="117" bestFit="1" customWidth="1"/>
    <col min="14862" max="15105" width="8.88671875" style="117"/>
    <col min="15106" max="15106" width="22.44140625" style="117" customWidth="1"/>
    <col min="15107" max="15107" width="8.88671875" style="117"/>
    <col min="15108" max="15108" width="48.21875" style="117" customWidth="1"/>
    <col min="15109" max="15110" width="8.88671875" style="117"/>
    <col min="15111" max="15111" width="45.44140625" style="117" customWidth="1"/>
    <col min="15112" max="15113" width="8.88671875" style="117"/>
    <col min="15114" max="15114" width="91" style="117" customWidth="1"/>
    <col min="15115" max="15115" width="8.88671875" style="117"/>
    <col min="15116" max="15116" width="14.6640625" style="117" customWidth="1"/>
    <col min="15117" max="15117" width="11.109375" style="117" bestFit="1" customWidth="1"/>
    <col min="15118" max="15361" width="8.88671875" style="117"/>
    <col min="15362" max="15362" width="22.44140625" style="117" customWidth="1"/>
    <col min="15363" max="15363" width="8.88671875" style="117"/>
    <col min="15364" max="15364" width="48.21875" style="117" customWidth="1"/>
    <col min="15365" max="15366" width="8.88671875" style="117"/>
    <col min="15367" max="15367" width="45.44140625" style="117" customWidth="1"/>
    <col min="15368" max="15369" width="8.88671875" style="117"/>
    <col min="15370" max="15370" width="91" style="117" customWidth="1"/>
    <col min="15371" max="15371" width="8.88671875" style="117"/>
    <col min="15372" max="15372" width="14.6640625" style="117" customWidth="1"/>
    <col min="15373" max="15373" width="11.109375" style="117" bestFit="1" customWidth="1"/>
    <col min="15374" max="15617" width="8.88671875" style="117"/>
    <col min="15618" max="15618" width="22.44140625" style="117" customWidth="1"/>
    <col min="15619" max="15619" width="8.88671875" style="117"/>
    <col min="15620" max="15620" width="48.21875" style="117" customWidth="1"/>
    <col min="15621" max="15622" width="8.88671875" style="117"/>
    <col min="15623" max="15623" width="45.44140625" style="117" customWidth="1"/>
    <col min="15624" max="15625" width="8.88671875" style="117"/>
    <col min="15626" max="15626" width="91" style="117" customWidth="1"/>
    <col min="15627" max="15627" width="8.88671875" style="117"/>
    <col min="15628" max="15628" width="14.6640625" style="117" customWidth="1"/>
    <col min="15629" max="15629" width="11.109375" style="117" bestFit="1" customWidth="1"/>
    <col min="15630" max="15873" width="8.88671875" style="117"/>
    <col min="15874" max="15874" width="22.44140625" style="117" customWidth="1"/>
    <col min="15875" max="15875" width="8.88671875" style="117"/>
    <col min="15876" max="15876" width="48.21875" style="117" customWidth="1"/>
    <col min="15877" max="15878" width="8.88671875" style="117"/>
    <col min="15879" max="15879" width="45.44140625" style="117" customWidth="1"/>
    <col min="15880" max="15881" width="8.88671875" style="117"/>
    <col min="15882" max="15882" width="91" style="117" customWidth="1"/>
    <col min="15883" max="15883" width="8.88671875" style="117"/>
    <col min="15884" max="15884" width="14.6640625" style="117" customWidth="1"/>
    <col min="15885" max="15885" width="11.109375" style="117" bestFit="1" customWidth="1"/>
    <col min="15886" max="16129" width="8.88671875" style="117"/>
    <col min="16130" max="16130" width="22.44140625" style="117" customWidth="1"/>
    <col min="16131" max="16131" width="8.88671875" style="117"/>
    <col min="16132" max="16132" width="48.21875" style="117" customWidth="1"/>
    <col min="16133" max="16134" width="8.88671875" style="117"/>
    <col min="16135" max="16135" width="45.44140625" style="117" customWidth="1"/>
    <col min="16136" max="16137" width="8.88671875" style="117"/>
    <col min="16138" max="16138" width="91" style="117" customWidth="1"/>
    <col min="16139" max="16139" width="8.88671875" style="117"/>
    <col min="16140" max="16140" width="14.6640625" style="117" customWidth="1"/>
    <col min="16141" max="16141" width="11.109375" style="117" bestFit="1" customWidth="1"/>
    <col min="16142" max="16384" width="8.88671875" style="117"/>
  </cols>
  <sheetData>
    <row r="1" spans="1:20">
      <c r="A1" s="116" t="s">
        <v>366</v>
      </c>
      <c r="C1" s="307" t="s">
        <v>141</v>
      </c>
      <c r="D1" s="307"/>
      <c r="F1" s="307" t="s">
        <v>31</v>
      </c>
      <c r="G1" s="307"/>
      <c r="I1" s="308" t="s">
        <v>367</v>
      </c>
      <c r="J1" s="309"/>
      <c r="K1" s="309"/>
      <c r="L1" s="310"/>
      <c r="O1" s="303" t="s">
        <v>580</v>
      </c>
      <c r="P1" s="304"/>
      <c r="Q1" s="304"/>
      <c r="R1" s="304"/>
      <c r="S1" s="304"/>
      <c r="T1" s="305"/>
    </row>
    <row r="2" spans="1:20">
      <c r="A2" s="118" t="b">
        <v>0</v>
      </c>
      <c r="C2" s="119" t="s">
        <v>368</v>
      </c>
      <c r="D2" s="119" t="s">
        <v>369</v>
      </c>
      <c r="F2" s="119" t="s">
        <v>368</v>
      </c>
      <c r="G2" s="119" t="s">
        <v>369</v>
      </c>
      <c r="I2" s="119" t="s">
        <v>368</v>
      </c>
      <c r="J2" s="119" t="s">
        <v>369</v>
      </c>
      <c r="K2" s="119" t="s">
        <v>370</v>
      </c>
      <c r="L2" s="119" t="s">
        <v>371</v>
      </c>
      <c r="O2" s="269"/>
      <c r="P2" s="270">
        <v>2014</v>
      </c>
      <c r="Q2" s="270">
        <v>2015</v>
      </c>
      <c r="R2" s="270" t="s">
        <v>497</v>
      </c>
      <c r="S2" s="270" t="s">
        <v>501</v>
      </c>
      <c r="T2" s="271" t="s">
        <v>582</v>
      </c>
    </row>
    <row r="3" spans="1:20">
      <c r="A3" s="120"/>
      <c r="C3" s="121" t="s">
        <v>375</v>
      </c>
      <c r="D3" s="122">
        <v>101</v>
      </c>
      <c r="F3" s="121" t="s">
        <v>481</v>
      </c>
      <c r="G3" s="122">
        <v>201</v>
      </c>
      <c r="I3" s="121" t="s">
        <v>380</v>
      </c>
      <c r="J3" s="123">
        <f t="shared" ref="J3:J34" si="0">IF(WAGE_CODING=FALSE,K3,L3)</f>
        <v>994</v>
      </c>
      <c r="K3" s="124">
        <v>994</v>
      </c>
      <c r="L3" s="122">
        <f>IF(OR(K3&gt;400,(AND(LEN(K3)&gt;0,RIGHT(K3,2)=".1"))),K3,499)</f>
        <v>994</v>
      </c>
      <c r="O3" s="269" t="s">
        <v>581</v>
      </c>
      <c r="P3" s="272">
        <f>'Willow Springs - LABOR'!E68</f>
        <v>2122182.8100000005</v>
      </c>
      <c r="Q3" s="272">
        <f>'Willow Springs - LABOR'!I68</f>
        <v>1912788.2399999995</v>
      </c>
      <c r="R3" s="272">
        <f>'Willow Springs - LABOR'!M68</f>
        <v>2082861.72</v>
      </c>
      <c r="S3" s="272">
        <f ca="1">'Willow Springs - LABOR'!U68</f>
        <v>2243816.7379579553</v>
      </c>
      <c r="T3" s="271"/>
    </row>
    <row r="4" spans="1:20">
      <c r="A4" s="116" t="s">
        <v>372</v>
      </c>
      <c r="C4" s="121" t="s">
        <v>376</v>
      </c>
      <c r="D4" s="122">
        <v>102</v>
      </c>
      <c r="F4" s="121" t="s">
        <v>482</v>
      </c>
      <c r="G4" s="122">
        <v>202</v>
      </c>
      <c r="I4" s="121" t="s">
        <v>381</v>
      </c>
      <c r="J4" s="123">
        <f t="shared" si="0"/>
        <v>302.10000000000002</v>
      </c>
      <c r="K4" s="124">
        <v>302.10000000000002</v>
      </c>
      <c r="L4" s="122">
        <f t="shared" ref="L4:L67" si="1">IF(OR(K4&gt;400,(AND(LEN(K4)&gt;0,RIGHT(K4,2)=".1"))),K4,499)</f>
        <v>302.10000000000002</v>
      </c>
      <c r="O4" s="269"/>
      <c r="P4" s="273"/>
      <c r="Q4" s="273"/>
      <c r="R4" s="273"/>
      <c r="S4" s="273"/>
      <c r="T4" s="271"/>
    </row>
    <row r="5" spans="1:20">
      <c r="A5" s="125">
        <v>0.05</v>
      </c>
      <c r="C5" s="121" t="s">
        <v>377</v>
      </c>
      <c r="D5" s="122">
        <v>103</v>
      </c>
      <c r="F5" s="121" t="s">
        <v>483</v>
      </c>
      <c r="G5" s="122">
        <v>206</v>
      </c>
      <c r="I5" s="121" t="s">
        <v>382</v>
      </c>
      <c r="J5" s="123">
        <f t="shared" si="0"/>
        <v>302.10000000000002</v>
      </c>
      <c r="K5" s="124">
        <v>302.10000000000002</v>
      </c>
      <c r="L5" s="122">
        <f t="shared" si="1"/>
        <v>302.10000000000002</v>
      </c>
      <c r="O5" s="269" t="s">
        <v>10</v>
      </c>
      <c r="P5" s="272">
        <f ca="1">'Willow Springs - UW'!E47</f>
        <v>183583.72999999995</v>
      </c>
      <c r="Q5" s="272">
        <f ca="1">'Willow Springs - UW'!I47</f>
        <v>154771.47999999998</v>
      </c>
      <c r="R5" s="272">
        <f ca="1">'Willow Springs - UW'!M47</f>
        <v>148008.18999999997</v>
      </c>
      <c r="S5" s="283">
        <f ca="1">S3*PR_TAX_PERC</f>
        <v>178381.8516585801</v>
      </c>
      <c r="T5" s="274">
        <f ca="1">SUM(P5:R5)/SUM($P$3:$R$3)</f>
        <v>7.9499296284295126E-2</v>
      </c>
    </row>
    <row r="6" spans="1:20">
      <c r="C6" s="121" t="s">
        <v>378</v>
      </c>
      <c r="D6" s="122">
        <v>104</v>
      </c>
      <c r="F6" s="121" t="s">
        <v>484</v>
      </c>
      <c r="G6" s="122">
        <v>203</v>
      </c>
      <c r="I6" s="121" t="s">
        <v>383</v>
      </c>
      <c r="J6" s="123">
        <f t="shared" si="0"/>
        <v>302.10000000000002</v>
      </c>
      <c r="K6" s="122">
        <v>302.10000000000002</v>
      </c>
      <c r="L6" s="122">
        <f t="shared" si="1"/>
        <v>302.10000000000002</v>
      </c>
      <c r="O6" s="269" t="s">
        <v>9</v>
      </c>
      <c r="P6" s="272">
        <f ca="1">'Willow Springs - UW'!E48</f>
        <v>11673.739999999998</v>
      </c>
      <c r="Q6" s="272">
        <f ca="1">'Willow Springs - UW'!I48</f>
        <v>8516.8699999999972</v>
      </c>
      <c r="R6" s="272">
        <f ca="1">'Willow Springs - UW'!M48</f>
        <v>11660.329999999998</v>
      </c>
      <c r="S6" s="283">
        <f ca="1">S3*EB_PERC</f>
        <v>11681.861041078202</v>
      </c>
      <c r="T6" s="274">
        <f t="shared" ref="T6:T7" ca="1" si="2">SUM(P6:R6)/SUM($P$3:$R$3)</f>
        <v>5.2062456097504593E-3</v>
      </c>
    </row>
    <row r="7" spans="1:20" ht="13.8" thickBot="1">
      <c r="A7" s="130" t="s">
        <v>502</v>
      </c>
      <c r="C7" s="121" t="s">
        <v>379</v>
      </c>
      <c r="D7" s="122">
        <v>105</v>
      </c>
      <c r="F7" s="121" t="s">
        <v>485</v>
      </c>
      <c r="G7" s="122">
        <v>204</v>
      </c>
      <c r="I7" s="121" t="s">
        <v>384</v>
      </c>
      <c r="J7" s="123">
        <f t="shared" si="0"/>
        <v>301.10000000000002</v>
      </c>
      <c r="K7" s="122">
        <v>301.10000000000002</v>
      </c>
      <c r="L7" s="122">
        <f t="shared" si="1"/>
        <v>301.10000000000002</v>
      </c>
      <c r="O7" s="275" t="s">
        <v>494</v>
      </c>
      <c r="P7" s="276"/>
      <c r="Q7" s="276"/>
      <c r="R7" s="276"/>
      <c r="S7" s="276"/>
      <c r="T7" s="277">
        <f t="shared" si="2"/>
        <v>0</v>
      </c>
    </row>
    <row r="8" spans="1:20">
      <c r="A8" s="125">
        <v>0.01</v>
      </c>
      <c r="C8" s="121"/>
      <c r="D8" s="122"/>
      <c r="F8" s="121" t="s">
        <v>486</v>
      </c>
      <c r="G8" s="122">
        <v>205</v>
      </c>
      <c r="I8" s="121" t="s">
        <v>385</v>
      </c>
      <c r="J8" s="123">
        <f t="shared" si="0"/>
        <v>301.10000000000002</v>
      </c>
      <c r="K8" s="122">
        <v>301.10000000000002</v>
      </c>
      <c r="L8" s="122">
        <f t="shared" si="1"/>
        <v>301.10000000000002</v>
      </c>
    </row>
    <row r="9" spans="1:20" ht="13.8" thickBot="1">
      <c r="C9" s="127"/>
      <c r="D9" s="128"/>
      <c r="F9" s="121" t="s">
        <v>487</v>
      </c>
      <c r="G9" s="122">
        <v>207</v>
      </c>
      <c r="I9" s="121" t="s">
        <v>386</v>
      </c>
      <c r="J9" s="123">
        <f t="shared" si="0"/>
        <v>301.10000000000002</v>
      </c>
      <c r="K9" s="122">
        <v>301.10000000000002</v>
      </c>
      <c r="L9" s="122">
        <f t="shared" si="1"/>
        <v>301.10000000000002</v>
      </c>
    </row>
    <row r="10" spans="1:20" ht="14.4">
      <c r="A10" s="265" t="s">
        <v>587</v>
      </c>
      <c r="C10" s="127"/>
      <c r="D10" s="128"/>
      <c r="F10" s="236" t="s">
        <v>22</v>
      </c>
      <c r="G10" s="122">
        <v>222</v>
      </c>
      <c r="I10" s="121" t="s">
        <v>387</v>
      </c>
      <c r="J10" s="123">
        <f t="shared" si="0"/>
        <v>301.10000000000002</v>
      </c>
      <c r="K10" s="122">
        <v>301.10000000000002</v>
      </c>
      <c r="L10" s="122">
        <f t="shared" si="1"/>
        <v>301.10000000000002</v>
      </c>
      <c r="O10" s="303" t="s">
        <v>596</v>
      </c>
      <c r="P10" s="304"/>
      <c r="Q10" s="304"/>
      <c r="R10" s="305"/>
    </row>
    <row r="11" spans="1:20">
      <c r="A11" s="279">
        <f>1.0175</f>
        <v>1.0175000000000001</v>
      </c>
      <c r="C11" s="127"/>
      <c r="D11" s="128"/>
      <c r="F11" s="127"/>
      <c r="G11" s="128"/>
      <c r="I11" s="121" t="s">
        <v>388</v>
      </c>
      <c r="J11" s="123">
        <f t="shared" si="0"/>
        <v>301.10000000000002</v>
      </c>
      <c r="K11" s="122">
        <v>301.10000000000002</v>
      </c>
      <c r="L11" s="122">
        <f t="shared" si="1"/>
        <v>301.10000000000002</v>
      </c>
      <c r="O11" s="269"/>
      <c r="P11" s="270">
        <v>2014</v>
      </c>
      <c r="Q11" s="270">
        <v>2015</v>
      </c>
      <c r="R11" s="291" t="s">
        <v>497</v>
      </c>
    </row>
    <row r="12" spans="1:20">
      <c r="C12" s="127"/>
      <c r="D12" s="128"/>
      <c r="F12" s="127"/>
      <c r="G12" s="128"/>
      <c r="I12" s="121" t="s">
        <v>389</v>
      </c>
      <c r="J12" s="123">
        <f t="shared" si="0"/>
        <v>301.10000000000002</v>
      </c>
      <c r="K12" s="122">
        <v>301.10000000000002</v>
      </c>
      <c r="L12" s="122">
        <f t="shared" si="1"/>
        <v>301.10000000000002</v>
      </c>
      <c r="O12" s="269" t="s">
        <v>597</v>
      </c>
      <c r="P12" s="292">
        <f ca="1">'Willow Springs - UW'!F37</f>
        <v>62.514685225336812</v>
      </c>
      <c r="Q12" s="292">
        <f ca="1">'Willow Springs - UW'!J37</f>
        <v>73.382995440012436</v>
      </c>
      <c r="R12" s="293">
        <f ca="1">'Willow Springs - UW'!N37</f>
        <v>82.492798587657248</v>
      </c>
    </row>
    <row r="13" spans="1:20">
      <c r="A13" s="265" t="s">
        <v>588</v>
      </c>
      <c r="C13" s="127"/>
      <c r="D13" s="128"/>
      <c r="F13" s="127"/>
      <c r="G13" s="128"/>
      <c r="I13" s="121" t="s">
        <v>390</v>
      </c>
      <c r="J13" s="123">
        <f t="shared" si="0"/>
        <v>301.10000000000002</v>
      </c>
      <c r="K13" s="122">
        <v>301.10000000000002</v>
      </c>
      <c r="L13" s="122">
        <f t="shared" si="1"/>
        <v>301.10000000000002</v>
      </c>
      <c r="O13" s="269" t="s">
        <v>598</v>
      </c>
      <c r="P13" s="292">
        <f ca="1">'Willow Springs - LABOR'!F38</f>
        <v>54.032100433637915</v>
      </c>
      <c r="Q13" s="292">
        <f ca="1">'Willow Springs - LABOR'!J38</f>
        <v>66.027679123643765</v>
      </c>
      <c r="R13" s="293">
        <f ca="1">'Willow Springs - LABOR'!N38</f>
        <v>74.143165430831814</v>
      </c>
    </row>
    <row r="14" spans="1:20" ht="13.8" thickBot="1">
      <c r="A14" s="125">
        <v>0.01</v>
      </c>
      <c r="C14" s="127"/>
      <c r="D14" s="128"/>
      <c r="F14" s="127"/>
      <c r="G14" s="128"/>
      <c r="I14" s="121" t="s">
        <v>391</v>
      </c>
      <c r="J14" s="123">
        <f t="shared" si="0"/>
        <v>301.10000000000002</v>
      </c>
      <c r="K14" s="122">
        <v>301.10000000000002</v>
      </c>
      <c r="L14" s="122">
        <f t="shared" si="1"/>
        <v>301.10000000000002</v>
      </c>
      <c r="O14" s="275" t="s">
        <v>599</v>
      </c>
      <c r="P14" s="294">
        <f ca="1">P13/P12</f>
        <v>0.86431052542097808</v>
      </c>
      <c r="Q14" s="294">
        <f ca="1">Q13/Q12</f>
        <v>0.8997681101423376</v>
      </c>
      <c r="R14" s="295">
        <f ca="1">R13/R12</f>
        <v>0.89878349019820114</v>
      </c>
    </row>
    <row r="15" spans="1:20" ht="15" customHeight="1" thickBot="1">
      <c r="C15" s="127"/>
      <c r="D15" s="128"/>
      <c r="F15" s="127"/>
      <c r="G15" s="128"/>
      <c r="I15" s="121" t="s">
        <v>392</v>
      </c>
      <c r="J15" s="123">
        <f t="shared" si="0"/>
        <v>301.10000000000002</v>
      </c>
      <c r="K15" s="122">
        <v>301.10000000000002</v>
      </c>
      <c r="L15" s="122">
        <f t="shared" si="1"/>
        <v>301.10000000000002</v>
      </c>
      <c r="P15" s="306"/>
      <c r="Q15" s="306"/>
    </row>
    <row r="16" spans="1:20">
      <c r="A16" s="290" t="s">
        <v>592</v>
      </c>
      <c r="B16" s="287"/>
      <c r="C16" s="127"/>
      <c r="D16" s="128"/>
      <c r="F16" s="127"/>
      <c r="G16" s="128"/>
      <c r="I16" s="121" t="s">
        <v>393</v>
      </c>
      <c r="J16" s="123">
        <f t="shared" si="0"/>
        <v>301.10000000000002</v>
      </c>
      <c r="K16" s="122">
        <v>301.10000000000002</v>
      </c>
      <c r="L16" s="122">
        <f t="shared" si="1"/>
        <v>301.10000000000002</v>
      </c>
    </row>
    <row r="17" spans="1:12" ht="13.8" thickBot="1">
      <c r="A17" s="288" t="s">
        <v>589</v>
      </c>
      <c r="B17" s="285"/>
      <c r="C17" s="127"/>
      <c r="D17" s="128"/>
      <c r="F17" s="127"/>
      <c r="G17" s="128"/>
      <c r="I17" s="121" t="s">
        <v>394</v>
      </c>
      <c r="J17" s="123">
        <f t="shared" si="0"/>
        <v>301.10000000000002</v>
      </c>
      <c r="K17" s="122">
        <v>301.10000000000002</v>
      </c>
      <c r="L17" s="122">
        <f t="shared" si="1"/>
        <v>301.10000000000002</v>
      </c>
    </row>
    <row r="18" spans="1:12" ht="13.8" thickBot="1">
      <c r="A18" s="289">
        <v>63.72</v>
      </c>
      <c r="B18" s="286"/>
      <c r="C18" s="127"/>
      <c r="D18" s="128"/>
      <c r="F18" s="127"/>
      <c r="G18" s="128"/>
      <c r="I18" s="121" t="s">
        <v>395</v>
      </c>
      <c r="J18" s="123">
        <f t="shared" si="0"/>
        <v>301.10000000000002</v>
      </c>
      <c r="K18" s="122">
        <v>301.10000000000002</v>
      </c>
      <c r="L18" s="122">
        <f t="shared" si="1"/>
        <v>301.10000000000002</v>
      </c>
    </row>
    <row r="19" spans="1:12" ht="15" customHeight="1" thickBot="1">
      <c r="A19" s="284"/>
      <c r="B19" s="284"/>
      <c r="C19" s="127"/>
      <c r="D19" s="128"/>
      <c r="F19" s="127"/>
      <c r="G19" s="128"/>
      <c r="I19" s="121" t="s">
        <v>396</v>
      </c>
      <c r="J19" s="123">
        <f t="shared" si="0"/>
        <v>301.10000000000002</v>
      </c>
      <c r="K19" s="122">
        <v>301.10000000000002</v>
      </c>
      <c r="L19" s="122">
        <f t="shared" si="1"/>
        <v>301.10000000000002</v>
      </c>
    </row>
    <row r="20" spans="1:12">
      <c r="A20" s="290" t="s">
        <v>594</v>
      </c>
      <c r="C20" s="127"/>
      <c r="D20" s="128"/>
      <c r="F20" s="127"/>
      <c r="G20" s="128"/>
      <c r="I20" s="121" t="s">
        <v>397</v>
      </c>
      <c r="J20" s="123">
        <f t="shared" si="0"/>
        <v>301.10000000000002</v>
      </c>
      <c r="K20" s="122">
        <v>301.10000000000002</v>
      </c>
      <c r="L20" s="122">
        <f t="shared" si="1"/>
        <v>301.10000000000002</v>
      </c>
    </row>
    <row r="21" spans="1:12" ht="13.8" thickBot="1">
      <c r="A21" s="288" t="s">
        <v>589</v>
      </c>
      <c r="C21" s="127"/>
      <c r="D21" s="128"/>
      <c r="F21" s="127"/>
      <c r="G21" s="128"/>
      <c r="I21" s="121" t="s">
        <v>398</v>
      </c>
      <c r="J21" s="123">
        <f t="shared" si="0"/>
        <v>301.10000000000002</v>
      </c>
      <c r="K21" s="122">
        <v>301.10000000000002</v>
      </c>
      <c r="L21" s="122">
        <f t="shared" si="1"/>
        <v>301.10000000000002</v>
      </c>
    </row>
    <row r="22" spans="1:12" ht="13.8" thickBot="1">
      <c r="A22" s="289">
        <v>4.33</v>
      </c>
      <c r="C22" s="127"/>
      <c r="D22" s="128"/>
      <c r="F22" s="127"/>
      <c r="G22" s="128"/>
      <c r="I22" s="121" t="s">
        <v>399</v>
      </c>
      <c r="J22" s="123">
        <f t="shared" si="0"/>
        <v>301.10000000000002</v>
      </c>
      <c r="K22" s="122">
        <v>301.10000000000002</v>
      </c>
      <c r="L22" s="122">
        <f t="shared" si="1"/>
        <v>301.10000000000002</v>
      </c>
    </row>
    <row r="23" spans="1:12" ht="13.8" thickBot="1">
      <c r="C23" s="127"/>
      <c r="D23" s="128"/>
      <c r="F23" s="127"/>
      <c r="G23" s="128"/>
      <c r="I23" s="121" t="s">
        <v>400</v>
      </c>
      <c r="J23" s="123">
        <f t="shared" si="0"/>
        <v>301.10000000000002</v>
      </c>
      <c r="K23" s="122">
        <v>301.10000000000002</v>
      </c>
      <c r="L23" s="122">
        <f t="shared" si="1"/>
        <v>301.10000000000002</v>
      </c>
    </row>
    <row r="24" spans="1:12">
      <c r="A24" s="290" t="s">
        <v>595</v>
      </c>
      <c r="C24" s="127"/>
      <c r="D24" s="128"/>
      <c r="F24" s="127"/>
      <c r="G24" s="128"/>
      <c r="I24" s="121" t="s">
        <v>401</v>
      </c>
      <c r="J24" s="123">
        <f t="shared" si="0"/>
        <v>301.10000000000002</v>
      </c>
      <c r="K24" s="122">
        <v>301.10000000000002</v>
      </c>
      <c r="L24" s="122">
        <f t="shared" si="1"/>
        <v>301.10000000000002</v>
      </c>
    </row>
    <row r="25" spans="1:12" ht="13.8" thickBot="1">
      <c r="A25" s="288" t="s">
        <v>589</v>
      </c>
      <c r="C25" s="127"/>
      <c r="D25" s="128"/>
      <c r="F25" s="127"/>
      <c r="G25" s="128"/>
      <c r="I25" s="121" t="s">
        <v>402</v>
      </c>
      <c r="J25" s="123">
        <f t="shared" si="0"/>
        <v>301.10000000000002</v>
      </c>
      <c r="K25" s="122">
        <v>301.10000000000002</v>
      </c>
      <c r="L25" s="122">
        <f t="shared" si="1"/>
        <v>301.10000000000002</v>
      </c>
    </row>
    <row r="26" spans="1:12" ht="13.8" thickBot="1">
      <c r="A26" s="289">
        <v>2.2200000000000002</v>
      </c>
      <c r="C26" s="127"/>
      <c r="D26" s="128"/>
      <c r="F26" s="127"/>
      <c r="G26" s="128"/>
      <c r="I26" s="121" t="s">
        <v>403</v>
      </c>
      <c r="J26" s="123">
        <f t="shared" si="0"/>
        <v>301.10000000000002</v>
      </c>
      <c r="K26" s="122">
        <v>301.10000000000002</v>
      </c>
      <c r="L26" s="122">
        <f t="shared" si="1"/>
        <v>301.10000000000002</v>
      </c>
    </row>
    <row r="27" spans="1:12" ht="13.8" thickBot="1">
      <c r="C27" s="127"/>
      <c r="D27" s="128"/>
      <c r="F27" s="127"/>
      <c r="G27" s="128"/>
      <c r="I27" s="121" t="s">
        <v>404</v>
      </c>
      <c r="J27" s="123">
        <f t="shared" si="0"/>
        <v>301.10000000000002</v>
      </c>
      <c r="K27" s="122">
        <v>301.10000000000002</v>
      </c>
      <c r="L27" s="122">
        <f t="shared" si="1"/>
        <v>301.10000000000002</v>
      </c>
    </row>
    <row r="28" spans="1:12" ht="13.8" thickBot="1">
      <c r="A28" s="290" t="s">
        <v>600</v>
      </c>
      <c r="C28" s="127"/>
      <c r="D28" s="128"/>
      <c r="F28" s="127"/>
      <c r="G28" s="128"/>
      <c r="I28" s="121" t="s">
        <v>405</v>
      </c>
      <c r="J28" s="123">
        <f t="shared" si="0"/>
        <v>301.10000000000002</v>
      </c>
      <c r="K28" s="122">
        <v>301.10000000000002</v>
      </c>
      <c r="L28" s="122">
        <f t="shared" si="1"/>
        <v>301.10000000000002</v>
      </c>
    </row>
    <row r="29" spans="1:12" ht="13.8" thickBot="1">
      <c r="A29" s="296">
        <v>0.9</v>
      </c>
      <c r="C29" s="127"/>
      <c r="D29" s="128"/>
      <c r="F29" s="127"/>
      <c r="G29" s="128"/>
      <c r="I29" s="121" t="s">
        <v>406</v>
      </c>
      <c r="J29" s="123">
        <f t="shared" si="0"/>
        <v>301.10000000000002</v>
      </c>
      <c r="K29" s="122">
        <v>301.10000000000002</v>
      </c>
      <c r="L29" s="122">
        <f t="shared" si="1"/>
        <v>301.10000000000002</v>
      </c>
    </row>
    <row r="30" spans="1:12" ht="18" thickBot="1">
      <c r="A30" s="32"/>
      <c r="C30" s="127"/>
      <c r="D30" s="128"/>
      <c r="F30" s="127"/>
      <c r="G30" s="128"/>
      <c r="I30" s="121" t="s">
        <v>407</v>
      </c>
      <c r="J30" s="123">
        <f t="shared" si="0"/>
        <v>311.10000000000002</v>
      </c>
      <c r="K30" s="122">
        <v>311.10000000000002</v>
      </c>
      <c r="L30" s="122">
        <f t="shared" si="1"/>
        <v>311.10000000000002</v>
      </c>
    </row>
    <row r="31" spans="1:12" ht="18.600000000000001" thickBot="1">
      <c r="A31" s="290" t="s">
        <v>606</v>
      </c>
      <c r="C31" s="93"/>
      <c r="D31" s="128"/>
      <c r="F31" s="127"/>
      <c r="G31" s="128"/>
      <c r="I31" s="121" t="s">
        <v>408</v>
      </c>
      <c r="J31" s="123">
        <f t="shared" si="0"/>
        <v>301.10000000000002</v>
      </c>
      <c r="K31" s="122">
        <v>301.10000000000002</v>
      </c>
      <c r="L31" s="122">
        <f t="shared" si="1"/>
        <v>301.10000000000002</v>
      </c>
    </row>
    <row r="32" spans="1:12" ht="18.600000000000001" thickBot="1">
      <c r="A32" s="299">
        <f ca="1">(('Willow Springs - UW'!M26/SUM('Willow Springs - UW'!M9:M10,'Willow Springs - UW'!M13)/365)*INFLATION_FACTOR)</f>
        <v>34.633160382496122</v>
      </c>
      <c r="C32" s="93"/>
      <c r="D32" s="128"/>
      <c r="F32" s="127"/>
      <c r="G32" s="128"/>
      <c r="I32" s="121" t="s">
        <v>409</v>
      </c>
      <c r="J32" s="123">
        <f t="shared" si="0"/>
        <v>301.10000000000002</v>
      </c>
      <c r="K32" s="122">
        <v>301.10000000000002</v>
      </c>
      <c r="L32" s="122">
        <f t="shared" si="1"/>
        <v>301.10000000000002</v>
      </c>
    </row>
    <row r="33" spans="1:12" ht="18">
      <c r="A33" s="282"/>
      <c r="C33" s="281"/>
      <c r="D33" s="128"/>
      <c r="F33" s="127"/>
      <c r="G33" s="128"/>
      <c r="I33" s="121" t="s">
        <v>410</v>
      </c>
      <c r="J33" s="123">
        <f t="shared" si="0"/>
        <v>301.10000000000002</v>
      </c>
      <c r="K33" s="122">
        <v>301.10000000000002</v>
      </c>
      <c r="L33" s="122">
        <f t="shared" si="1"/>
        <v>301.10000000000002</v>
      </c>
    </row>
    <row r="34" spans="1:12" ht="17.399999999999999">
      <c r="C34" s="282"/>
      <c r="D34" s="128"/>
      <c r="F34" s="127"/>
      <c r="G34" s="128"/>
      <c r="I34" s="121" t="s">
        <v>411</v>
      </c>
      <c r="J34" s="123">
        <f t="shared" si="0"/>
        <v>301.10000000000002</v>
      </c>
      <c r="K34" s="122">
        <v>301.10000000000002</v>
      </c>
      <c r="L34" s="122">
        <f t="shared" si="1"/>
        <v>301.10000000000002</v>
      </c>
    </row>
    <row r="35" spans="1:12">
      <c r="C35" s="127"/>
      <c r="D35" s="128"/>
      <c r="F35" s="127"/>
      <c r="G35" s="128"/>
      <c r="I35" s="121" t="s">
        <v>412</v>
      </c>
      <c r="J35" s="123">
        <f t="shared" ref="J35:J66" si="3">IF(WAGE_CODING=FALSE,K35,L35)</f>
        <v>313</v>
      </c>
      <c r="K35" s="122">
        <v>313</v>
      </c>
      <c r="L35" s="122">
        <f t="shared" si="1"/>
        <v>499</v>
      </c>
    </row>
    <row r="36" spans="1:12">
      <c r="C36" s="127"/>
      <c r="D36" s="128"/>
      <c r="F36" s="127"/>
      <c r="G36" s="128"/>
      <c r="I36" s="121" t="s">
        <v>413</v>
      </c>
      <c r="J36" s="123">
        <f t="shared" si="3"/>
        <v>311.3</v>
      </c>
      <c r="K36" s="122">
        <v>311.3</v>
      </c>
      <c r="L36" s="122">
        <f t="shared" si="1"/>
        <v>499</v>
      </c>
    </row>
    <row r="37" spans="1:12">
      <c r="C37" s="127"/>
      <c r="D37" s="128"/>
      <c r="F37" s="127"/>
      <c r="G37" s="128"/>
      <c r="I37" s="121" t="s">
        <v>414</v>
      </c>
      <c r="J37" s="123">
        <f t="shared" si="3"/>
        <v>313</v>
      </c>
      <c r="K37" s="122">
        <v>313</v>
      </c>
      <c r="L37" s="122">
        <f t="shared" si="1"/>
        <v>499</v>
      </c>
    </row>
    <row r="38" spans="1:12">
      <c r="C38" s="127"/>
      <c r="D38" s="128"/>
      <c r="F38" s="127"/>
      <c r="G38" s="128"/>
      <c r="I38" s="121" t="s">
        <v>415</v>
      </c>
      <c r="J38" s="123">
        <f t="shared" si="3"/>
        <v>312</v>
      </c>
      <c r="K38" s="122">
        <v>312</v>
      </c>
      <c r="L38" s="122">
        <f t="shared" si="1"/>
        <v>499</v>
      </c>
    </row>
    <row r="39" spans="1:12">
      <c r="C39" s="127"/>
      <c r="D39" s="128"/>
      <c r="F39" s="127"/>
      <c r="G39" s="128"/>
      <c r="I39" s="121" t="s">
        <v>416</v>
      </c>
      <c r="J39" s="123">
        <f t="shared" si="3"/>
        <v>312</v>
      </c>
      <c r="K39" s="122">
        <v>312</v>
      </c>
      <c r="L39" s="122">
        <f t="shared" si="1"/>
        <v>499</v>
      </c>
    </row>
    <row r="40" spans="1:12">
      <c r="C40" s="127"/>
      <c r="D40" s="128"/>
      <c r="F40" s="127"/>
      <c r="G40" s="128"/>
      <c r="I40" s="121" t="s">
        <v>417</v>
      </c>
      <c r="J40" s="123">
        <f t="shared" si="3"/>
        <v>312</v>
      </c>
      <c r="K40" s="122">
        <v>312</v>
      </c>
      <c r="L40" s="122">
        <f t="shared" si="1"/>
        <v>499</v>
      </c>
    </row>
    <row r="41" spans="1:12">
      <c r="C41" s="127"/>
      <c r="D41" s="128"/>
      <c r="F41" s="127"/>
      <c r="G41" s="128"/>
      <c r="I41" s="121" t="s">
        <v>418</v>
      </c>
      <c r="J41" s="123">
        <f t="shared" si="3"/>
        <v>316</v>
      </c>
      <c r="K41" s="122">
        <v>316</v>
      </c>
      <c r="L41" s="122">
        <f t="shared" si="1"/>
        <v>499</v>
      </c>
    </row>
    <row r="42" spans="1:12">
      <c r="C42" s="127"/>
      <c r="D42" s="128"/>
      <c r="F42" s="127"/>
      <c r="G42" s="128"/>
      <c r="I42" s="121" t="s">
        <v>419</v>
      </c>
      <c r="J42" s="123">
        <f t="shared" si="3"/>
        <v>316</v>
      </c>
      <c r="K42" s="122">
        <v>316</v>
      </c>
      <c r="L42" s="122">
        <f t="shared" si="1"/>
        <v>499</v>
      </c>
    </row>
    <row r="43" spans="1:12">
      <c r="C43" s="127"/>
      <c r="D43" s="128"/>
      <c r="F43" s="127"/>
      <c r="G43" s="128"/>
      <c r="I43" s="121" t="s">
        <v>420</v>
      </c>
      <c r="J43" s="123">
        <f t="shared" si="3"/>
        <v>314</v>
      </c>
      <c r="K43" s="122">
        <v>314</v>
      </c>
      <c r="L43" s="122">
        <f t="shared" si="1"/>
        <v>499</v>
      </c>
    </row>
    <row r="44" spans="1:12">
      <c r="C44" s="127"/>
      <c r="D44" s="128"/>
      <c r="F44" s="127"/>
      <c r="G44" s="128"/>
      <c r="I44" s="121" t="s">
        <v>421</v>
      </c>
      <c r="J44" s="123">
        <f t="shared" si="3"/>
        <v>304.3</v>
      </c>
      <c r="K44" s="122">
        <v>304.3</v>
      </c>
      <c r="L44" s="122">
        <f t="shared" si="1"/>
        <v>499</v>
      </c>
    </row>
    <row r="45" spans="1:12">
      <c r="C45" s="127"/>
      <c r="D45" s="128"/>
      <c r="F45" s="127"/>
      <c r="G45" s="128"/>
      <c r="I45" s="121" t="s">
        <v>422</v>
      </c>
      <c r="J45" s="123">
        <f t="shared" si="3"/>
        <v>302.2</v>
      </c>
      <c r="K45" s="122">
        <v>302.2</v>
      </c>
      <c r="L45" s="122">
        <f t="shared" si="1"/>
        <v>499</v>
      </c>
    </row>
    <row r="46" spans="1:12">
      <c r="C46" s="127"/>
      <c r="D46" s="128"/>
      <c r="F46" s="127"/>
      <c r="G46" s="128"/>
      <c r="I46" s="121" t="s">
        <v>423</v>
      </c>
      <c r="J46" s="123">
        <f t="shared" si="3"/>
        <v>301.10000000000002</v>
      </c>
      <c r="K46" s="122">
        <v>301.10000000000002</v>
      </c>
      <c r="L46" s="122">
        <f t="shared" si="1"/>
        <v>301.10000000000002</v>
      </c>
    </row>
    <row r="47" spans="1:12">
      <c r="C47" s="127"/>
      <c r="D47" s="128"/>
      <c r="F47" s="127"/>
      <c r="G47" s="128"/>
      <c r="I47" s="121" t="s">
        <v>424</v>
      </c>
      <c r="J47" s="123">
        <f t="shared" si="3"/>
        <v>301.10000000000002</v>
      </c>
      <c r="K47" s="122">
        <v>301.10000000000002</v>
      </c>
      <c r="L47" s="122">
        <f t="shared" si="1"/>
        <v>301.10000000000002</v>
      </c>
    </row>
    <row r="48" spans="1:12">
      <c r="C48" s="127"/>
      <c r="D48" s="128"/>
      <c r="F48" s="127"/>
      <c r="G48" s="128"/>
      <c r="I48" s="121" t="s">
        <v>425</v>
      </c>
      <c r="J48" s="123">
        <f t="shared" si="3"/>
        <v>301.10000000000002</v>
      </c>
      <c r="K48" s="122">
        <v>301.10000000000002</v>
      </c>
      <c r="L48" s="122">
        <f t="shared" si="1"/>
        <v>301.10000000000002</v>
      </c>
    </row>
    <row r="49" spans="3:12">
      <c r="C49" s="127"/>
      <c r="D49" s="128"/>
      <c r="F49" s="127"/>
      <c r="G49" s="128"/>
      <c r="I49" s="121" t="s">
        <v>426</v>
      </c>
      <c r="J49" s="123">
        <f t="shared" si="3"/>
        <v>301.3</v>
      </c>
      <c r="K49" s="122">
        <v>301.3</v>
      </c>
      <c r="L49" s="122">
        <f t="shared" si="1"/>
        <v>499</v>
      </c>
    </row>
    <row r="50" spans="3:12">
      <c r="C50" s="127"/>
      <c r="D50" s="128"/>
      <c r="F50" s="127"/>
      <c r="G50" s="128"/>
      <c r="I50" s="121" t="s">
        <v>427</v>
      </c>
      <c r="J50" s="123">
        <f t="shared" si="3"/>
        <v>301.3</v>
      </c>
      <c r="K50" s="122">
        <v>301.3</v>
      </c>
      <c r="L50" s="122">
        <f t="shared" si="1"/>
        <v>499</v>
      </c>
    </row>
    <row r="51" spans="3:12">
      <c r="C51" s="127"/>
      <c r="D51" s="128"/>
      <c r="F51" s="127"/>
      <c r="G51" s="128"/>
      <c r="I51" s="121" t="s">
        <v>428</v>
      </c>
      <c r="J51" s="123">
        <f t="shared" si="3"/>
        <v>301.3</v>
      </c>
      <c r="K51" s="122">
        <v>301.3</v>
      </c>
      <c r="L51" s="122">
        <f t="shared" si="1"/>
        <v>499</v>
      </c>
    </row>
    <row r="52" spans="3:12">
      <c r="C52" s="127"/>
      <c r="D52" s="128"/>
      <c r="F52" s="127"/>
      <c r="G52" s="128"/>
      <c r="I52" s="121" t="s">
        <v>429</v>
      </c>
      <c r="J52" s="123">
        <f t="shared" si="3"/>
        <v>301.3</v>
      </c>
      <c r="K52" s="122">
        <v>301.3</v>
      </c>
      <c r="L52" s="122">
        <f t="shared" si="1"/>
        <v>499</v>
      </c>
    </row>
    <row r="53" spans="3:12">
      <c r="C53" s="127"/>
      <c r="D53" s="128"/>
      <c r="F53" s="127"/>
      <c r="G53" s="128"/>
      <c r="I53" s="121" t="s">
        <v>430</v>
      </c>
      <c r="J53" s="123">
        <f t="shared" si="3"/>
        <v>301.3</v>
      </c>
      <c r="K53" s="122">
        <v>301.3</v>
      </c>
      <c r="L53" s="122">
        <f t="shared" si="1"/>
        <v>499</v>
      </c>
    </row>
    <row r="54" spans="3:12">
      <c r="C54" s="127"/>
      <c r="D54" s="128"/>
      <c r="F54" s="127"/>
      <c r="G54" s="128"/>
      <c r="I54" s="121" t="s">
        <v>431</v>
      </c>
      <c r="J54" s="123">
        <f t="shared" si="3"/>
        <v>301.3</v>
      </c>
      <c r="K54" s="122">
        <v>301.3</v>
      </c>
      <c r="L54" s="122">
        <f t="shared" si="1"/>
        <v>499</v>
      </c>
    </row>
    <row r="55" spans="3:12">
      <c r="C55" s="127"/>
      <c r="D55" s="128"/>
      <c r="F55" s="127"/>
      <c r="G55" s="128"/>
      <c r="I55" s="121" t="s">
        <v>432</v>
      </c>
      <c r="J55" s="123">
        <f t="shared" si="3"/>
        <v>301.3</v>
      </c>
      <c r="K55" s="122">
        <v>301.3</v>
      </c>
      <c r="L55" s="122">
        <f t="shared" si="1"/>
        <v>499</v>
      </c>
    </row>
    <row r="56" spans="3:12">
      <c r="C56" s="127"/>
      <c r="D56" s="128"/>
      <c r="F56" s="127"/>
      <c r="G56" s="128"/>
      <c r="I56" s="121" t="s">
        <v>433</v>
      </c>
      <c r="J56" s="123">
        <f t="shared" si="3"/>
        <v>995</v>
      </c>
      <c r="K56" s="122">
        <v>995</v>
      </c>
      <c r="L56" s="122">
        <f t="shared" si="1"/>
        <v>995</v>
      </c>
    </row>
    <row r="57" spans="3:12">
      <c r="C57" s="127"/>
      <c r="D57" s="128"/>
      <c r="F57" s="127"/>
      <c r="G57" s="128"/>
      <c r="I57" s="121" t="s">
        <v>434</v>
      </c>
      <c r="J57" s="123">
        <f t="shared" si="3"/>
        <v>305.3</v>
      </c>
      <c r="K57" s="122">
        <v>305.3</v>
      </c>
      <c r="L57" s="122">
        <f t="shared" si="1"/>
        <v>499</v>
      </c>
    </row>
    <row r="58" spans="3:12">
      <c r="C58" s="127"/>
      <c r="D58" s="128"/>
      <c r="F58" s="127"/>
      <c r="G58" s="128"/>
      <c r="I58" s="121" t="s">
        <v>435</v>
      </c>
      <c r="J58" s="123">
        <f t="shared" si="3"/>
        <v>305.3</v>
      </c>
      <c r="K58" s="122">
        <v>305.3</v>
      </c>
      <c r="L58" s="122">
        <f t="shared" si="1"/>
        <v>499</v>
      </c>
    </row>
    <row r="59" spans="3:12">
      <c r="C59" s="127"/>
      <c r="D59" s="128"/>
      <c r="F59" s="127"/>
      <c r="G59" s="128"/>
      <c r="I59" s="121" t="s">
        <v>436</v>
      </c>
      <c r="J59" s="123">
        <f t="shared" si="3"/>
        <v>309.3</v>
      </c>
      <c r="K59" s="122">
        <v>309.3</v>
      </c>
      <c r="L59" s="122">
        <f t="shared" si="1"/>
        <v>499</v>
      </c>
    </row>
    <row r="60" spans="3:12">
      <c r="C60" s="127"/>
      <c r="D60" s="128"/>
      <c r="F60" s="127"/>
      <c r="G60" s="128"/>
      <c r="I60" s="121" t="s">
        <v>437</v>
      </c>
      <c r="J60" s="123">
        <f t="shared" si="3"/>
        <v>318.3</v>
      </c>
      <c r="K60" s="122">
        <v>318.3</v>
      </c>
      <c r="L60" s="122">
        <f t="shared" si="1"/>
        <v>499</v>
      </c>
    </row>
    <row r="61" spans="3:12">
      <c r="C61" s="127"/>
      <c r="D61" s="128"/>
      <c r="F61" s="127"/>
      <c r="G61" s="128"/>
      <c r="I61" s="121" t="s">
        <v>438</v>
      </c>
      <c r="J61" s="123">
        <f t="shared" si="3"/>
        <v>311.3</v>
      </c>
      <c r="K61" s="122">
        <v>311.3</v>
      </c>
      <c r="L61" s="122">
        <f t="shared" si="1"/>
        <v>499</v>
      </c>
    </row>
    <row r="62" spans="3:12">
      <c r="C62" s="127"/>
      <c r="D62" s="128"/>
      <c r="F62" s="127"/>
      <c r="G62" s="128"/>
      <c r="I62" s="121" t="s">
        <v>439</v>
      </c>
      <c r="J62" s="123">
        <f t="shared" si="3"/>
        <v>311.3</v>
      </c>
      <c r="K62" s="122">
        <v>311.3</v>
      </c>
      <c r="L62" s="122">
        <f t="shared" si="1"/>
        <v>499</v>
      </c>
    </row>
    <row r="63" spans="3:12">
      <c r="C63" s="127"/>
      <c r="D63" s="128"/>
      <c r="F63" s="127"/>
      <c r="G63" s="128"/>
      <c r="I63" s="121" t="s">
        <v>440</v>
      </c>
      <c r="J63" s="123">
        <f t="shared" si="3"/>
        <v>311.3</v>
      </c>
      <c r="K63" s="122">
        <v>311.3</v>
      </c>
      <c r="L63" s="122">
        <f t="shared" si="1"/>
        <v>499</v>
      </c>
    </row>
    <row r="64" spans="3:12">
      <c r="C64" s="127"/>
      <c r="D64" s="128"/>
      <c r="F64" s="127"/>
      <c r="G64" s="128"/>
      <c r="I64" s="121" t="s">
        <v>441</v>
      </c>
      <c r="J64" s="123">
        <f t="shared" si="3"/>
        <v>311.3</v>
      </c>
      <c r="K64" s="122">
        <v>311.3</v>
      </c>
      <c r="L64" s="122">
        <f t="shared" si="1"/>
        <v>499</v>
      </c>
    </row>
    <row r="65" spans="3:12">
      <c r="C65" s="127"/>
      <c r="D65" s="128"/>
      <c r="F65" s="127"/>
      <c r="G65" s="128"/>
      <c r="I65" s="121" t="s">
        <v>442</v>
      </c>
      <c r="J65" s="123">
        <f t="shared" si="3"/>
        <v>318.3</v>
      </c>
      <c r="K65" s="122">
        <v>318.3</v>
      </c>
      <c r="L65" s="122">
        <f t="shared" si="1"/>
        <v>499</v>
      </c>
    </row>
    <row r="66" spans="3:12">
      <c r="C66" s="127"/>
      <c r="D66" s="128"/>
      <c r="F66" s="127"/>
      <c r="G66" s="128"/>
      <c r="I66" s="121" t="s">
        <v>443</v>
      </c>
      <c r="J66" s="123">
        <f t="shared" si="3"/>
        <v>311.3</v>
      </c>
      <c r="K66" s="122">
        <v>311.3</v>
      </c>
      <c r="L66" s="122">
        <f t="shared" si="1"/>
        <v>499</v>
      </c>
    </row>
    <row r="67" spans="3:12">
      <c r="C67" s="127"/>
      <c r="D67" s="128"/>
      <c r="F67" s="127"/>
      <c r="G67" s="128"/>
      <c r="I67" s="121" t="s">
        <v>444</v>
      </c>
      <c r="J67" s="123">
        <f t="shared" ref="J67:J98" si="4">IF(WAGE_CODING=FALSE,K67,L67)</f>
        <v>311.3</v>
      </c>
      <c r="K67" s="122">
        <v>311.3</v>
      </c>
      <c r="L67" s="122">
        <f t="shared" si="1"/>
        <v>499</v>
      </c>
    </row>
    <row r="68" spans="3:12">
      <c r="C68" s="127"/>
      <c r="D68" s="128"/>
      <c r="F68" s="127"/>
      <c r="G68" s="128"/>
      <c r="I68" s="121" t="s">
        <v>445</v>
      </c>
      <c r="J68" s="123">
        <f t="shared" si="4"/>
        <v>311.3</v>
      </c>
      <c r="K68" s="122">
        <v>311.3</v>
      </c>
      <c r="L68" s="122">
        <f t="shared" ref="L68:L131" si="5">IF(OR(K68&gt;400,(AND(LEN(K68)&gt;0,RIGHT(K68,2)=".1"))),K68,499)</f>
        <v>499</v>
      </c>
    </row>
    <row r="69" spans="3:12">
      <c r="C69" s="127"/>
      <c r="D69" s="128"/>
      <c r="F69" s="127"/>
      <c r="G69" s="128"/>
      <c r="I69" s="121" t="s">
        <v>446</v>
      </c>
      <c r="J69" s="123">
        <f t="shared" si="4"/>
        <v>311.3</v>
      </c>
      <c r="K69" s="122">
        <v>311.3</v>
      </c>
      <c r="L69" s="122">
        <f t="shared" si="5"/>
        <v>499</v>
      </c>
    </row>
    <row r="70" spans="3:12">
      <c r="C70" s="127"/>
      <c r="D70" s="128"/>
      <c r="F70" s="127"/>
      <c r="G70" s="128"/>
      <c r="I70" s="121" t="s">
        <v>447</v>
      </c>
      <c r="J70" s="123">
        <f t="shared" si="4"/>
        <v>311.3</v>
      </c>
      <c r="K70" s="122">
        <v>311.3</v>
      </c>
      <c r="L70" s="122">
        <f t="shared" si="5"/>
        <v>499</v>
      </c>
    </row>
    <row r="71" spans="3:12">
      <c r="C71" s="127"/>
      <c r="D71" s="128"/>
      <c r="F71" s="127"/>
      <c r="G71" s="128"/>
      <c r="I71" s="121" t="s">
        <v>448</v>
      </c>
      <c r="J71" s="123">
        <f t="shared" si="4"/>
        <v>311.3</v>
      </c>
      <c r="K71" s="122">
        <v>311.3</v>
      </c>
      <c r="L71" s="122">
        <f t="shared" si="5"/>
        <v>499</v>
      </c>
    </row>
    <row r="72" spans="3:12">
      <c r="C72" s="127"/>
      <c r="D72" s="128"/>
      <c r="F72" s="127"/>
      <c r="G72" s="128"/>
      <c r="I72" s="121" t="s">
        <v>449</v>
      </c>
      <c r="J72" s="123">
        <f t="shared" si="4"/>
        <v>311.3</v>
      </c>
      <c r="K72" s="122">
        <v>311.3</v>
      </c>
      <c r="L72" s="122">
        <f t="shared" si="5"/>
        <v>499</v>
      </c>
    </row>
    <row r="73" spans="3:12">
      <c r="C73" s="127"/>
      <c r="D73" s="128"/>
      <c r="F73" s="127"/>
      <c r="G73" s="128"/>
      <c r="I73" s="121" t="s">
        <v>450</v>
      </c>
      <c r="J73" s="123">
        <f t="shared" si="4"/>
        <v>310.3</v>
      </c>
      <c r="K73" s="122">
        <v>310.3</v>
      </c>
      <c r="L73" s="122">
        <f t="shared" si="5"/>
        <v>499</v>
      </c>
    </row>
    <row r="74" spans="3:12">
      <c r="C74" s="127"/>
      <c r="D74" s="128"/>
      <c r="F74" s="127"/>
      <c r="G74" s="128"/>
      <c r="I74" s="121" t="s">
        <v>451</v>
      </c>
      <c r="J74" s="123">
        <f t="shared" si="4"/>
        <v>311.3</v>
      </c>
      <c r="K74" s="122">
        <v>311.3</v>
      </c>
      <c r="L74" s="122">
        <f t="shared" si="5"/>
        <v>499</v>
      </c>
    </row>
    <row r="75" spans="3:12">
      <c r="C75" s="127"/>
      <c r="D75" s="128"/>
      <c r="F75" s="127"/>
      <c r="G75" s="128"/>
      <c r="I75" s="121" t="s">
        <v>452</v>
      </c>
      <c r="J75" s="123">
        <f t="shared" si="4"/>
        <v>311.3</v>
      </c>
      <c r="K75" s="122">
        <v>311.3</v>
      </c>
      <c r="L75" s="122">
        <f t="shared" si="5"/>
        <v>499</v>
      </c>
    </row>
    <row r="76" spans="3:12">
      <c r="C76" s="127"/>
      <c r="D76" s="128"/>
      <c r="F76" s="127"/>
      <c r="G76" s="128"/>
      <c r="I76" s="121" t="s">
        <v>453</v>
      </c>
      <c r="J76" s="123">
        <f t="shared" si="4"/>
        <v>311.3</v>
      </c>
      <c r="K76" s="122">
        <v>311.3</v>
      </c>
      <c r="L76" s="122">
        <f t="shared" si="5"/>
        <v>499</v>
      </c>
    </row>
    <row r="77" spans="3:12">
      <c r="C77" s="127"/>
      <c r="D77" s="128"/>
      <c r="F77" s="127"/>
      <c r="G77" s="128"/>
      <c r="I77" s="121" t="s">
        <v>454</v>
      </c>
      <c r="J77" s="123">
        <f t="shared" si="4"/>
        <v>318.3</v>
      </c>
      <c r="K77" s="122">
        <v>318.3</v>
      </c>
      <c r="L77" s="122">
        <f t="shared" si="5"/>
        <v>499</v>
      </c>
    </row>
    <row r="78" spans="3:12">
      <c r="C78" s="127"/>
      <c r="D78" s="128"/>
      <c r="F78" s="127"/>
      <c r="G78" s="128"/>
      <c r="I78" s="121" t="s">
        <v>455</v>
      </c>
      <c r="J78" s="123">
        <f t="shared" si="4"/>
        <v>318.3</v>
      </c>
      <c r="K78" s="122">
        <v>318.3</v>
      </c>
      <c r="L78" s="122">
        <f t="shared" si="5"/>
        <v>499</v>
      </c>
    </row>
    <row r="79" spans="3:12">
      <c r="C79" s="127"/>
      <c r="D79" s="128"/>
      <c r="F79" s="127"/>
      <c r="G79" s="128"/>
      <c r="I79" s="121" t="s">
        <v>456</v>
      </c>
      <c r="J79" s="123">
        <f t="shared" si="4"/>
        <v>318.3</v>
      </c>
      <c r="K79" s="122">
        <v>318.3</v>
      </c>
      <c r="L79" s="122">
        <f t="shared" si="5"/>
        <v>499</v>
      </c>
    </row>
    <row r="80" spans="3:12">
      <c r="C80" s="127"/>
      <c r="D80" s="128"/>
      <c r="F80" s="127"/>
      <c r="G80" s="128"/>
      <c r="I80" s="121" t="s">
        <v>457</v>
      </c>
      <c r="J80" s="123">
        <f t="shared" si="4"/>
        <v>319</v>
      </c>
      <c r="K80" s="122">
        <v>319</v>
      </c>
      <c r="L80" s="122">
        <f t="shared" si="5"/>
        <v>499</v>
      </c>
    </row>
    <row r="81" spans="3:12">
      <c r="C81" s="127"/>
      <c r="D81" s="128"/>
      <c r="F81" s="127"/>
      <c r="G81" s="128"/>
      <c r="I81" s="121" t="s">
        <v>458</v>
      </c>
      <c r="J81" s="123">
        <f t="shared" si="4"/>
        <v>319</v>
      </c>
      <c r="K81" s="122">
        <v>319</v>
      </c>
      <c r="L81" s="122">
        <f t="shared" si="5"/>
        <v>499</v>
      </c>
    </row>
    <row r="82" spans="3:12">
      <c r="F82" s="127"/>
      <c r="G82" s="128"/>
      <c r="I82" s="121" t="s">
        <v>459</v>
      </c>
      <c r="J82" s="123">
        <f t="shared" si="4"/>
        <v>319</v>
      </c>
      <c r="K82" s="122">
        <v>319</v>
      </c>
      <c r="L82" s="122">
        <f t="shared" si="5"/>
        <v>499</v>
      </c>
    </row>
    <row r="83" spans="3:12">
      <c r="F83" s="127"/>
      <c r="G83" s="128"/>
      <c r="I83" s="121" t="s">
        <v>460</v>
      </c>
      <c r="J83" s="123">
        <f t="shared" si="4"/>
        <v>319</v>
      </c>
      <c r="K83" s="122">
        <v>319</v>
      </c>
      <c r="L83" s="122">
        <f t="shared" si="5"/>
        <v>499</v>
      </c>
    </row>
    <row r="84" spans="3:12">
      <c r="F84" s="127"/>
      <c r="G84" s="128"/>
      <c r="I84" s="121" t="s">
        <v>461</v>
      </c>
      <c r="J84" s="123">
        <f t="shared" si="4"/>
        <v>319.3</v>
      </c>
      <c r="K84" s="122">
        <v>319.3</v>
      </c>
      <c r="L84" s="122">
        <f t="shared" si="5"/>
        <v>499</v>
      </c>
    </row>
    <row r="85" spans="3:12">
      <c r="F85" s="127"/>
      <c r="G85" s="128"/>
      <c r="I85" s="121" t="s">
        <v>462</v>
      </c>
      <c r="J85" s="123">
        <f t="shared" si="4"/>
        <v>311.3</v>
      </c>
      <c r="K85" s="122">
        <v>311.3</v>
      </c>
      <c r="L85" s="122">
        <f t="shared" si="5"/>
        <v>499</v>
      </c>
    </row>
    <row r="86" spans="3:12">
      <c r="F86" s="127"/>
      <c r="G86" s="128"/>
      <c r="I86" s="121" t="s">
        <v>463</v>
      </c>
      <c r="J86" s="123">
        <f t="shared" si="4"/>
        <v>317</v>
      </c>
      <c r="K86" s="122">
        <v>317</v>
      </c>
      <c r="L86" s="122">
        <f t="shared" si="5"/>
        <v>499</v>
      </c>
    </row>
    <row r="87" spans="3:12">
      <c r="F87" s="127"/>
      <c r="G87" s="128"/>
      <c r="I87" s="121" t="s">
        <v>464</v>
      </c>
      <c r="J87" s="123">
        <f t="shared" si="4"/>
        <v>317</v>
      </c>
      <c r="K87" s="122">
        <v>317</v>
      </c>
      <c r="L87" s="122">
        <f t="shared" si="5"/>
        <v>499</v>
      </c>
    </row>
    <row r="88" spans="3:12">
      <c r="F88" s="127"/>
      <c r="G88" s="128"/>
      <c r="I88" s="121" t="s">
        <v>465</v>
      </c>
      <c r="J88" s="123">
        <f t="shared" si="4"/>
        <v>317</v>
      </c>
      <c r="K88" s="122">
        <v>317</v>
      </c>
      <c r="L88" s="122">
        <f t="shared" si="5"/>
        <v>499</v>
      </c>
    </row>
    <row r="89" spans="3:12">
      <c r="F89" s="127"/>
      <c r="G89" s="128"/>
      <c r="I89" s="121" t="s">
        <v>466</v>
      </c>
      <c r="J89" s="123">
        <f t="shared" si="4"/>
        <v>316</v>
      </c>
      <c r="K89" s="122">
        <v>316</v>
      </c>
      <c r="L89" s="122">
        <f t="shared" si="5"/>
        <v>499</v>
      </c>
    </row>
    <row r="90" spans="3:12">
      <c r="F90" s="127"/>
      <c r="G90" s="128"/>
      <c r="I90" s="121" t="s">
        <v>467</v>
      </c>
      <c r="J90" s="123">
        <f t="shared" si="4"/>
        <v>316</v>
      </c>
      <c r="K90" s="122">
        <v>316</v>
      </c>
      <c r="L90" s="122">
        <f t="shared" si="5"/>
        <v>499</v>
      </c>
    </row>
    <row r="91" spans="3:12">
      <c r="F91" s="127"/>
      <c r="G91" s="128"/>
      <c r="I91" s="121" t="s">
        <v>468</v>
      </c>
      <c r="J91" s="123">
        <f t="shared" si="4"/>
        <v>316</v>
      </c>
      <c r="K91" s="122">
        <v>316</v>
      </c>
      <c r="L91" s="122">
        <f t="shared" si="5"/>
        <v>499</v>
      </c>
    </row>
    <row r="92" spans="3:12">
      <c r="F92" s="127"/>
      <c r="G92" s="128"/>
      <c r="I92" s="121" t="s">
        <v>469</v>
      </c>
      <c r="J92" s="123">
        <f t="shared" si="4"/>
        <v>311.3</v>
      </c>
      <c r="K92" s="122">
        <v>311.3</v>
      </c>
      <c r="L92" s="122">
        <f t="shared" si="5"/>
        <v>499</v>
      </c>
    </row>
    <row r="93" spans="3:12">
      <c r="F93" s="127"/>
      <c r="G93" s="128"/>
      <c r="I93" s="121" t="s">
        <v>470</v>
      </c>
      <c r="J93" s="123">
        <f t="shared" si="4"/>
        <v>990</v>
      </c>
      <c r="K93" s="122">
        <v>990</v>
      </c>
      <c r="L93" s="122">
        <f t="shared" si="5"/>
        <v>990</v>
      </c>
    </row>
    <row r="94" spans="3:12">
      <c r="F94" s="127"/>
      <c r="G94" s="128"/>
      <c r="I94" s="121" t="s">
        <v>471</v>
      </c>
      <c r="J94" s="123">
        <f t="shared" si="4"/>
        <v>311.3</v>
      </c>
      <c r="K94" s="122">
        <v>311.3</v>
      </c>
      <c r="L94" s="122">
        <f t="shared" si="5"/>
        <v>499</v>
      </c>
    </row>
    <row r="95" spans="3:12">
      <c r="F95" s="127"/>
      <c r="G95" s="128"/>
      <c r="I95" s="121" t="s">
        <v>472</v>
      </c>
      <c r="J95" s="123">
        <f t="shared" si="4"/>
        <v>311.3</v>
      </c>
      <c r="K95" s="122">
        <v>311.3</v>
      </c>
      <c r="L95" s="122">
        <f t="shared" si="5"/>
        <v>499</v>
      </c>
    </row>
    <row r="96" spans="3:12">
      <c r="F96" s="127"/>
      <c r="G96" s="128"/>
      <c r="I96" s="121" t="s">
        <v>473</v>
      </c>
      <c r="J96" s="123">
        <f t="shared" si="4"/>
        <v>321</v>
      </c>
      <c r="K96" s="122">
        <v>321</v>
      </c>
      <c r="L96" s="122">
        <f t="shared" si="5"/>
        <v>499</v>
      </c>
    </row>
    <row r="97" spans="6:12">
      <c r="F97" s="127"/>
      <c r="G97" s="128"/>
      <c r="I97" s="121" t="s">
        <v>474</v>
      </c>
      <c r="J97" s="123">
        <f t="shared" si="4"/>
        <v>320</v>
      </c>
      <c r="K97" s="122">
        <v>320</v>
      </c>
      <c r="L97" s="122">
        <f t="shared" si="5"/>
        <v>499</v>
      </c>
    </row>
    <row r="98" spans="6:12">
      <c r="F98" s="127"/>
      <c r="G98" s="128"/>
      <c r="I98" s="121" t="s">
        <v>475</v>
      </c>
      <c r="J98" s="123">
        <f t="shared" si="4"/>
        <v>320</v>
      </c>
      <c r="K98" s="122">
        <v>320</v>
      </c>
      <c r="L98" s="122">
        <f t="shared" si="5"/>
        <v>499</v>
      </c>
    </row>
    <row r="99" spans="6:12">
      <c r="F99" s="127"/>
      <c r="G99" s="128"/>
      <c r="I99" s="121" t="s">
        <v>476</v>
      </c>
      <c r="J99" s="123">
        <f t="shared" ref="J99:J103" si="6">IF(WAGE_CODING=FALSE,K99,L99)</f>
        <v>311.3</v>
      </c>
      <c r="K99" s="122">
        <v>311.3</v>
      </c>
      <c r="L99" s="122">
        <f t="shared" si="5"/>
        <v>499</v>
      </c>
    </row>
    <row r="100" spans="6:12">
      <c r="F100" s="127"/>
      <c r="G100" s="128"/>
      <c r="I100" s="121" t="s">
        <v>477</v>
      </c>
      <c r="J100" s="123">
        <f t="shared" si="6"/>
        <v>321</v>
      </c>
      <c r="K100" s="122">
        <v>321</v>
      </c>
      <c r="L100" s="122">
        <f t="shared" si="5"/>
        <v>499</v>
      </c>
    </row>
    <row r="101" spans="6:12">
      <c r="F101" s="127"/>
      <c r="G101" s="128"/>
      <c r="I101" s="121" t="s">
        <v>478</v>
      </c>
      <c r="J101" s="123">
        <f t="shared" si="6"/>
        <v>311.3</v>
      </c>
      <c r="K101" s="122">
        <v>311.3</v>
      </c>
      <c r="L101" s="122">
        <f t="shared" si="5"/>
        <v>499</v>
      </c>
    </row>
    <row r="102" spans="6:12">
      <c r="F102" s="127"/>
      <c r="G102" s="128"/>
      <c r="I102" s="121" t="s">
        <v>479</v>
      </c>
      <c r="J102" s="123">
        <f t="shared" si="6"/>
        <v>311.3</v>
      </c>
      <c r="K102" s="122">
        <v>311.3</v>
      </c>
      <c r="L102" s="122">
        <f t="shared" si="5"/>
        <v>499</v>
      </c>
    </row>
    <row r="103" spans="6:12">
      <c r="F103" s="127"/>
      <c r="G103" s="128"/>
      <c r="I103" s="121" t="s">
        <v>480</v>
      </c>
      <c r="J103" s="123">
        <f t="shared" si="6"/>
        <v>318.3</v>
      </c>
      <c r="K103" s="122">
        <v>318.3</v>
      </c>
      <c r="L103" s="122">
        <f t="shared" si="5"/>
        <v>499</v>
      </c>
    </row>
    <row r="104" spans="6:12">
      <c r="F104" s="127"/>
      <c r="G104" s="128"/>
      <c r="I104" s="121" t="s">
        <v>526</v>
      </c>
      <c r="J104" s="123">
        <f t="shared" ref="J104:J134" si="7">IF(WAGE_CODING,L104,K104)</f>
        <v>301.2</v>
      </c>
      <c r="K104" s="122">
        <v>301.2</v>
      </c>
      <c r="L104" s="122">
        <f t="shared" si="5"/>
        <v>499</v>
      </c>
    </row>
    <row r="105" spans="6:12">
      <c r="F105" s="127"/>
      <c r="G105" s="128"/>
      <c r="I105" s="121" t="s">
        <v>527</v>
      </c>
      <c r="J105" s="123">
        <f t="shared" si="7"/>
        <v>304.2</v>
      </c>
      <c r="K105" s="122">
        <v>304.2</v>
      </c>
      <c r="L105" s="122">
        <f t="shared" si="5"/>
        <v>499</v>
      </c>
    </row>
    <row r="106" spans="6:12">
      <c r="F106" s="127"/>
      <c r="G106" s="128"/>
      <c r="I106" s="121" t="s">
        <v>528</v>
      </c>
      <c r="J106" s="123">
        <f t="shared" si="7"/>
        <v>304.2</v>
      </c>
      <c r="K106" s="122">
        <v>304.2</v>
      </c>
      <c r="L106" s="122">
        <f t="shared" si="5"/>
        <v>499</v>
      </c>
    </row>
    <row r="107" spans="6:12">
      <c r="F107" s="127"/>
      <c r="G107" s="128"/>
      <c r="I107" s="121" t="s">
        <v>529</v>
      </c>
      <c r="J107" s="123">
        <f t="shared" si="7"/>
        <v>304.2</v>
      </c>
      <c r="K107" s="122">
        <v>304.2</v>
      </c>
      <c r="L107" s="122">
        <f t="shared" si="5"/>
        <v>499</v>
      </c>
    </row>
    <row r="108" spans="6:12">
      <c r="F108" s="127"/>
      <c r="G108" s="128"/>
      <c r="I108" s="121" t="s">
        <v>530</v>
      </c>
      <c r="J108" s="123">
        <f t="shared" si="7"/>
        <v>304.2</v>
      </c>
      <c r="K108" s="122">
        <v>304.2</v>
      </c>
      <c r="L108" s="122">
        <f t="shared" si="5"/>
        <v>499</v>
      </c>
    </row>
    <row r="109" spans="6:12">
      <c r="F109" s="127"/>
      <c r="G109" s="128"/>
      <c r="I109" s="121" t="s">
        <v>531</v>
      </c>
      <c r="J109" s="123">
        <f t="shared" si="7"/>
        <v>304.2</v>
      </c>
      <c r="K109" s="122">
        <v>304.2</v>
      </c>
      <c r="L109" s="122">
        <f t="shared" si="5"/>
        <v>499</v>
      </c>
    </row>
    <row r="110" spans="6:12">
      <c r="F110" s="127"/>
      <c r="G110" s="128"/>
      <c r="I110" s="121" t="s">
        <v>532</v>
      </c>
      <c r="J110" s="123">
        <f t="shared" si="7"/>
        <v>304.2</v>
      </c>
      <c r="K110" s="122">
        <v>304.2</v>
      </c>
      <c r="L110" s="122">
        <f t="shared" si="5"/>
        <v>499</v>
      </c>
    </row>
    <row r="111" spans="6:12">
      <c r="F111" s="127"/>
      <c r="G111" s="128"/>
      <c r="I111" s="121" t="s">
        <v>533</v>
      </c>
      <c r="J111" s="123">
        <f t="shared" si="7"/>
        <v>304.2</v>
      </c>
      <c r="K111" s="122">
        <v>304.2</v>
      </c>
      <c r="L111" s="122">
        <f t="shared" si="5"/>
        <v>499</v>
      </c>
    </row>
    <row r="112" spans="6:12">
      <c r="F112" s="127"/>
      <c r="G112" s="128"/>
      <c r="I112" s="121" t="s">
        <v>534</v>
      </c>
      <c r="J112" s="123">
        <f t="shared" si="7"/>
        <v>304.2</v>
      </c>
      <c r="K112" s="122">
        <v>304.2</v>
      </c>
      <c r="L112" s="122">
        <f t="shared" si="5"/>
        <v>499</v>
      </c>
    </row>
    <row r="113" spans="6:12">
      <c r="F113" s="127"/>
      <c r="G113" s="128"/>
      <c r="I113" s="121" t="s">
        <v>535</v>
      </c>
      <c r="J113" s="123">
        <f t="shared" si="7"/>
        <v>304.2</v>
      </c>
      <c r="K113" s="122">
        <v>304.2</v>
      </c>
      <c r="L113" s="122">
        <f t="shared" si="5"/>
        <v>499</v>
      </c>
    </row>
    <row r="114" spans="6:12">
      <c r="F114" s="127"/>
      <c r="G114" s="128"/>
      <c r="I114" s="121" t="s">
        <v>536</v>
      </c>
      <c r="J114" s="123">
        <f t="shared" si="7"/>
        <v>306.2</v>
      </c>
      <c r="K114" s="122">
        <v>306.2</v>
      </c>
      <c r="L114" s="122">
        <f t="shared" si="5"/>
        <v>499</v>
      </c>
    </row>
    <row r="115" spans="6:12">
      <c r="F115" s="127"/>
      <c r="G115" s="128"/>
      <c r="I115" s="121" t="s">
        <v>537</v>
      </c>
      <c r="J115" s="123">
        <f t="shared" si="7"/>
        <v>305.2</v>
      </c>
      <c r="K115" s="122">
        <v>305.2</v>
      </c>
      <c r="L115" s="122">
        <f t="shared" si="5"/>
        <v>499</v>
      </c>
    </row>
    <row r="116" spans="6:12">
      <c r="F116" s="127"/>
      <c r="G116" s="128"/>
      <c r="I116" s="121" t="s">
        <v>538</v>
      </c>
      <c r="J116" s="123">
        <f t="shared" si="7"/>
        <v>308.2</v>
      </c>
      <c r="K116" s="122">
        <v>308.2</v>
      </c>
      <c r="L116" s="122">
        <f t="shared" si="5"/>
        <v>499</v>
      </c>
    </row>
    <row r="117" spans="6:12">
      <c r="F117" s="127"/>
      <c r="G117" s="128"/>
      <c r="I117" s="121" t="s">
        <v>539</v>
      </c>
      <c r="J117" s="123">
        <f t="shared" si="7"/>
        <v>318.2</v>
      </c>
      <c r="K117" s="122">
        <v>318.2</v>
      </c>
      <c r="L117" s="122">
        <f t="shared" si="5"/>
        <v>499</v>
      </c>
    </row>
    <row r="118" spans="6:12">
      <c r="F118" s="127"/>
      <c r="G118" s="128"/>
      <c r="I118" s="121" t="s">
        <v>540</v>
      </c>
      <c r="J118" s="123">
        <f t="shared" si="7"/>
        <v>309.2</v>
      </c>
      <c r="K118" s="122">
        <v>309.2</v>
      </c>
      <c r="L118" s="122">
        <f t="shared" si="5"/>
        <v>499</v>
      </c>
    </row>
    <row r="119" spans="6:12">
      <c r="F119" s="127"/>
      <c r="G119" s="128"/>
      <c r="I119" s="121" t="s">
        <v>541</v>
      </c>
      <c r="J119" s="123">
        <f t="shared" si="7"/>
        <v>304.2</v>
      </c>
      <c r="K119" s="122">
        <v>304.2</v>
      </c>
      <c r="L119" s="122">
        <f t="shared" si="5"/>
        <v>499</v>
      </c>
    </row>
    <row r="120" spans="6:12">
      <c r="F120" s="127"/>
      <c r="G120" s="128"/>
      <c r="I120" s="121" t="s">
        <v>542</v>
      </c>
      <c r="J120" s="123">
        <f t="shared" si="7"/>
        <v>310.2</v>
      </c>
      <c r="K120" s="122">
        <v>310.2</v>
      </c>
      <c r="L120" s="122">
        <f t="shared" si="5"/>
        <v>499</v>
      </c>
    </row>
    <row r="121" spans="6:12">
      <c r="F121" s="127"/>
      <c r="G121" s="128"/>
      <c r="I121" s="121" t="s">
        <v>543</v>
      </c>
      <c r="J121" s="123">
        <f t="shared" si="7"/>
        <v>311.2</v>
      </c>
      <c r="K121" s="122">
        <v>311.2</v>
      </c>
      <c r="L121" s="122">
        <f t="shared" si="5"/>
        <v>499</v>
      </c>
    </row>
    <row r="122" spans="6:12">
      <c r="F122" s="127"/>
      <c r="G122" s="128"/>
      <c r="I122" s="121" t="s">
        <v>544</v>
      </c>
      <c r="J122" s="123">
        <f t="shared" si="7"/>
        <v>302.10000000000002</v>
      </c>
      <c r="K122" s="122">
        <v>302.10000000000002</v>
      </c>
      <c r="L122" s="122">
        <f t="shared" si="5"/>
        <v>302.10000000000002</v>
      </c>
    </row>
    <row r="123" spans="6:12">
      <c r="F123" s="127"/>
      <c r="G123" s="128"/>
      <c r="I123" s="121" t="s">
        <v>545</v>
      </c>
      <c r="J123" s="123">
        <f t="shared" si="7"/>
        <v>310.10000000000002</v>
      </c>
      <c r="K123" s="122">
        <v>310.10000000000002</v>
      </c>
      <c r="L123" s="122">
        <f t="shared" si="5"/>
        <v>310.10000000000002</v>
      </c>
    </row>
    <row r="124" spans="6:12">
      <c r="F124" s="127"/>
      <c r="G124" s="128"/>
      <c r="I124" s="121" t="s">
        <v>546</v>
      </c>
      <c r="J124" s="123">
        <f t="shared" si="7"/>
        <v>306.10000000000002</v>
      </c>
      <c r="K124" s="122">
        <v>306.10000000000002</v>
      </c>
      <c r="L124" s="122">
        <f t="shared" si="5"/>
        <v>306.10000000000002</v>
      </c>
    </row>
    <row r="125" spans="6:12">
      <c r="F125" s="127"/>
      <c r="G125" s="128"/>
      <c r="I125" s="121" t="s">
        <v>547</v>
      </c>
      <c r="J125" s="123">
        <f t="shared" si="7"/>
        <v>306.10000000000002</v>
      </c>
      <c r="K125" s="122">
        <v>306.10000000000002</v>
      </c>
      <c r="L125" s="122">
        <f t="shared" si="5"/>
        <v>306.10000000000002</v>
      </c>
    </row>
    <row r="126" spans="6:12">
      <c r="F126" s="127"/>
      <c r="G126" s="128"/>
      <c r="I126" s="121" t="s">
        <v>548</v>
      </c>
      <c r="J126" s="123">
        <f t="shared" si="7"/>
        <v>307.10000000000002</v>
      </c>
      <c r="K126" s="122">
        <v>307.10000000000002</v>
      </c>
      <c r="L126" s="122">
        <f t="shared" si="5"/>
        <v>307.10000000000002</v>
      </c>
    </row>
    <row r="127" spans="6:12">
      <c r="F127" s="127"/>
      <c r="G127" s="128"/>
      <c r="I127" s="121" t="s">
        <v>549</v>
      </c>
      <c r="J127" s="123">
        <f t="shared" si="7"/>
        <v>305.10000000000002</v>
      </c>
      <c r="K127" s="122">
        <v>305.10000000000002</v>
      </c>
      <c r="L127" s="122">
        <f t="shared" si="5"/>
        <v>305.10000000000002</v>
      </c>
    </row>
    <row r="128" spans="6:12">
      <c r="F128" s="127"/>
      <c r="G128" s="128"/>
      <c r="I128" s="121" t="s">
        <v>550</v>
      </c>
      <c r="J128" s="123">
        <f t="shared" si="7"/>
        <v>318.10000000000002</v>
      </c>
      <c r="K128" s="122">
        <v>318.10000000000002</v>
      </c>
      <c r="L128" s="122">
        <f t="shared" si="5"/>
        <v>318.10000000000002</v>
      </c>
    </row>
    <row r="129" spans="6:12">
      <c r="F129" s="127"/>
      <c r="G129" s="128"/>
      <c r="I129" s="121" t="s">
        <v>551</v>
      </c>
      <c r="J129" s="123">
        <f t="shared" si="7"/>
        <v>301.10000000000002</v>
      </c>
      <c r="K129" s="122">
        <v>301.10000000000002</v>
      </c>
      <c r="L129" s="122">
        <f t="shared" si="5"/>
        <v>301.10000000000002</v>
      </c>
    </row>
    <row r="130" spans="6:12">
      <c r="F130" s="127"/>
      <c r="G130" s="128"/>
      <c r="I130" s="121" t="s">
        <v>552</v>
      </c>
      <c r="J130" s="123">
        <f t="shared" si="7"/>
        <v>310.10000000000002</v>
      </c>
      <c r="K130" s="122">
        <v>310.10000000000002</v>
      </c>
      <c r="L130" s="122">
        <f t="shared" si="5"/>
        <v>310.10000000000002</v>
      </c>
    </row>
    <row r="131" spans="6:12">
      <c r="F131" s="127"/>
      <c r="G131" s="128"/>
      <c r="I131" s="121" t="s">
        <v>553</v>
      </c>
      <c r="J131" s="123">
        <f t="shared" si="7"/>
        <v>311.10000000000002</v>
      </c>
      <c r="K131" s="122">
        <v>311.10000000000002</v>
      </c>
      <c r="L131" s="122">
        <f t="shared" si="5"/>
        <v>311.10000000000002</v>
      </c>
    </row>
    <row r="132" spans="6:12">
      <c r="F132" s="127"/>
      <c r="G132" s="128"/>
      <c r="I132" s="121" t="s">
        <v>554</v>
      </c>
      <c r="J132" s="123">
        <f t="shared" si="7"/>
        <v>318.10000000000002</v>
      </c>
      <c r="K132" s="122">
        <v>318.10000000000002</v>
      </c>
      <c r="L132" s="122">
        <f t="shared" ref="L132:L134" si="8">IF(OR(K132&gt;400,(AND(LEN(K132)&gt;0,RIGHT(K132,2)=".1"))),K132,499)</f>
        <v>318.10000000000002</v>
      </c>
    </row>
    <row r="133" spans="6:12">
      <c r="F133" s="127"/>
      <c r="G133" s="128"/>
      <c r="I133" s="297" t="s">
        <v>601</v>
      </c>
      <c r="J133" s="123">
        <f t="shared" si="7"/>
        <v>333</v>
      </c>
      <c r="K133" s="122">
        <v>333</v>
      </c>
      <c r="L133" s="122">
        <f t="shared" si="8"/>
        <v>499</v>
      </c>
    </row>
    <row r="134" spans="6:12">
      <c r="F134" s="127"/>
      <c r="G134" s="128"/>
      <c r="I134" s="298" t="s">
        <v>364</v>
      </c>
      <c r="J134" s="123">
        <f t="shared" si="7"/>
        <v>444</v>
      </c>
      <c r="K134" s="122">
        <v>444</v>
      </c>
      <c r="L134" s="122">
        <f t="shared" si="8"/>
        <v>444</v>
      </c>
    </row>
    <row r="135" spans="6:12">
      <c r="F135" s="127"/>
      <c r="G135" s="128"/>
      <c r="I135" s="121"/>
      <c r="J135" s="123"/>
      <c r="K135" s="122"/>
      <c r="L135" s="122"/>
    </row>
    <row r="136" spans="6:12">
      <c r="F136" s="127"/>
      <c r="G136" s="128"/>
      <c r="I136" s="127"/>
      <c r="J136" s="129"/>
      <c r="K136" s="128"/>
      <c r="L136" s="128"/>
    </row>
    <row r="137" spans="6:12">
      <c r="F137" s="127"/>
      <c r="G137" s="128"/>
      <c r="I137" s="127"/>
      <c r="J137" s="129"/>
      <c r="K137" s="128"/>
      <c r="L137" s="128"/>
    </row>
    <row r="138" spans="6:12">
      <c r="F138" s="127"/>
      <c r="G138" s="128"/>
      <c r="I138" s="127"/>
      <c r="J138" s="129"/>
      <c r="K138" s="128"/>
      <c r="L138" s="128"/>
    </row>
    <row r="139" spans="6:12">
      <c r="F139" s="127"/>
      <c r="G139" s="128"/>
      <c r="I139" s="127"/>
      <c r="J139" s="129"/>
      <c r="K139" s="128"/>
      <c r="L139" s="128"/>
    </row>
    <row r="140" spans="6:12">
      <c r="F140" s="127"/>
      <c r="G140" s="128"/>
      <c r="I140" s="127"/>
      <c r="J140" s="129"/>
      <c r="K140" s="128"/>
      <c r="L140" s="128"/>
    </row>
    <row r="141" spans="6:12">
      <c r="F141" s="127"/>
      <c r="G141" s="128"/>
      <c r="I141" s="127"/>
      <c r="J141" s="129"/>
      <c r="K141" s="128"/>
      <c r="L141" s="128"/>
    </row>
    <row r="142" spans="6:12">
      <c r="F142" s="127"/>
      <c r="G142" s="128"/>
      <c r="I142" s="127"/>
      <c r="J142" s="129"/>
      <c r="K142" s="128"/>
      <c r="L142" s="128"/>
    </row>
    <row r="143" spans="6:12">
      <c r="F143" s="127"/>
      <c r="G143" s="128"/>
      <c r="I143" s="127"/>
      <c r="J143" s="129"/>
      <c r="K143" s="128"/>
      <c r="L143" s="128"/>
    </row>
    <row r="144" spans="6:12">
      <c r="F144" s="127"/>
      <c r="G144" s="128"/>
      <c r="I144" s="127"/>
      <c r="J144" s="129"/>
      <c r="K144" s="128"/>
      <c r="L144" s="128"/>
    </row>
    <row r="145" spans="6:12">
      <c r="F145" s="127"/>
      <c r="G145" s="128"/>
      <c r="I145" s="127"/>
      <c r="J145" s="129"/>
      <c r="K145" s="128"/>
      <c r="L145" s="128"/>
    </row>
    <row r="146" spans="6:12">
      <c r="F146" s="127"/>
      <c r="G146" s="128"/>
      <c r="I146" s="127"/>
      <c r="J146" s="129"/>
      <c r="K146" s="128"/>
      <c r="L146" s="128"/>
    </row>
    <row r="147" spans="6:12">
      <c r="F147" s="127"/>
      <c r="G147" s="128"/>
      <c r="I147" s="127"/>
      <c r="J147" s="129"/>
      <c r="K147" s="128"/>
      <c r="L147" s="128"/>
    </row>
    <row r="148" spans="6:12">
      <c r="F148" s="127"/>
      <c r="G148" s="128"/>
      <c r="I148" s="127"/>
      <c r="J148" s="129"/>
      <c r="K148" s="128"/>
      <c r="L148" s="128"/>
    </row>
    <row r="149" spans="6:12">
      <c r="F149" s="127"/>
      <c r="G149" s="128"/>
      <c r="I149" s="127"/>
      <c r="J149" s="129"/>
      <c r="K149" s="128"/>
      <c r="L149" s="128"/>
    </row>
    <row r="150" spans="6:12">
      <c r="F150" s="127"/>
      <c r="G150" s="128"/>
      <c r="I150" s="127"/>
      <c r="J150" s="129"/>
      <c r="K150" s="128"/>
      <c r="L150" s="128"/>
    </row>
    <row r="151" spans="6:12">
      <c r="F151" s="127"/>
      <c r="G151" s="128"/>
      <c r="I151" s="127"/>
      <c r="J151" s="129"/>
      <c r="K151" s="128"/>
      <c r="L151" s="128"/>
    </row>
    <row r="152" spans="6:12">
      <c r="F152" s="127"/>
      <c r="G152" s="128"/>
      <c r="I152" s="127"/>
      <c r="J152" s="129"/>
      <c r="K152" s="128"/>
      <c r="L152" s="128"/>
    </row>
    <row r="153" spans="6:12">
      <c r="F153" s="127"/>
      <c r="G153" s="128"/>
      <c r="I153" s="127"/>
      <c r="J153" s="129"/>
      <c r="K153" s="128"/>
      <c r="L153" s="128"/>
    </row>
    <row r="154" spans="6:12">
      <c r="F154" s="127"/>
      <c r="G154" s="128"/>
      <c r="I154" s="127"/>
      <c r="J154" s="129"/>
      <c r="K154" s="128"/>
      <c r="L154" s="128"/>
    </row>
    <row r="155" spans="6:12">
      <c r="F155" s="127"/>
      <c r="G155" s="128"/>
      <c r="I155" s="127"/>
      <c r="J155" s="129"/>
      <c r="K155" s="128"/>
      <c r="L155" s="128"/>
    </row>
    <row r="156" spans="6:12">
      <c r="F156" s="127"/>
      <c r="G156" s="128"/>
      <c r="I156" s="127"/>
      <c r="J156" s="129"/>
      <c r="K156" s="128"/>
      <c r="L156" s="128"/>
    </row>
    <row r="157" spans="6:12">
      <c r="F157" s="127"/>
      <c r="G157" s="128"/>
      <c r="I157" s="127"/>
      <c r="J157" s="129"/>
      <c r="K157" s="128"/>
      <c r="L157" s="128"/>
    </row>
    <row r="158" spans="6:12">
      <c r="F158" s="127"/>
      <c r="G158" s="128"/>
      <c r="I158" s="127"/>
      <c r="J158" s="129"/>
      <c r="K158" s="128"/>
      <c r="L158" s="128"/>
    </row>
    <row r="159" spans="6:12">
      <c r="F159" s="127"/>
      <c r="G159" s="128"/>
      <c r="I159" s="127"/>
      <c r="J159" s="129"/>
      <c r="K159" s="128"/>
      <c r="L159" s="128"/>
    </row>
    <row r="160" spans="6:12">
      <c r="F160" s="127"/>
      <c r="G160" s="128"/>
      <c r="I160" s="127"/>
      <c r="J160" s="129"/>
      <c r="K160" s="128"/>
      <c r="L160" s="128"/>
    </row>
    <row r="161" spans="6:12">
      <c r="F161" s="127"/>
      <c r="G161" s="128"/>
      <c r="I161" s="127"/>
      <c r="J161" s="129"/>
      <c r="K161" s="128"/>
      <c r="L161" s="128"/>
    </row>
    <row r="162" spans="6:12">
      <c r="F162" s="127"/>
      <c r="G162" s="128"/>
      <c r="I162" s="127"/>
      <c r="J162" s="129"/>
      <c r="K162" s="128"/>
      <c r="L162" s="128"/>
    </row>
    <row r="163" spans="6:12">
      <c r="F163" s="127"/>
      <c r="G163" s="128"/>
      <c r="I163" s="127"/>
      <c r="J163" s="129"/>
      <c r="K163" s="128"/>
      <c r="L163" s="128"/>
    </row>
    <row r="164" spans="6:12">
      <c r="F164" s="127"/>
      <c r="G164" s="128"/>
      <c r="I164" s="127"/>
      <c r="J164" s="129"/>
      <c r="K164" s="128"/>
      <c r="L164" s="128"/>
    </row>
    <row r="165" spans="6:12">
      <c r="F165" s="127"/>
      <c r="G165" s="128"/>
      <c r="I165" s="127"/>
      <c r="J165" s="129"/>
      <c r="K165" s="128"/>
      <c r="L165" s="128"/>
    </row>
    <row r="166" spans="6:12">
      <c r="F166" s="127"/>
      <c r="G166" s="128"/>
      <c r="I166" s="127"/>
      <c r="J166" s="129"/>
      <c r="K166" s="128"/>
      <c r="L166" s="128"/>
    </row>
    <row r="167" spans="6:12">
      <c r="F167" s="127"/>
      <c r="G167" s="128"/>
      <c r="I167" s="127"/>
      <c r="J167" s="129"/>
      <c r="K167" s="128"/>
      <c r="L167" s="128"/>
    </row>
    <row r="168" spans="6:12">
      <c r="F168" s="127"/>
      <c r="G168" s="128"/>
      <c r="I168" s="127"/>
      <c r="J168" s="129"/>
      <c r="K168" s="128"/>
      <c r="L168" s="128"/>
    </row>
    <row r="169" spans="6:12">
      <c r="F169" s="127"/>
      <c r="G169" s="128"/>
      <c r="I169" s="127"/>
      <c r="J169" s="129"/>
      <c r="K169" s="128"/>
      <c r="L169" s="128"/>
    </row>
    <row r="170" spans="6:12">
      <c r="F170" s="127"/>
      <c r="G170" s="128"/>
      <c r="I170" s="127"/>
      <c r="J170" s="129"/>
      <c r="K170" s="128"/>
      <c r="L170" s="128"/>
    </row>
    <row r="171" spans="6:12">
      <c r="F171" s="127"/>
      <c r="G171" s="128"/>
      <c r="I171" s="127"/>
      <c r="J171" s="129"/>
      <c r="K171" s="128"/>
      <c r="L171" s="128"/>
    </row>
    <row r="172" spans="6:12">
      <c r="F172" s="127"/>
      <c r="G172" s="128"/>
      <c r="I172" s="127"/>
      <c r="J172" s="129"/>
      <c r="K172" s="128"/>
      <c r="L172" s="128"/>
    </row>
    <row r="173" spans="6:12">
      <c r="F173" s="127"/>
      <c r="G173" s="128"/>
      <c r="I173" s="127"/>
      <c r="J173" s="129"/>
      <c r="K173" s="128"/>
      <c r="L173" s="128"/>
    </row>
    <row r="174" spans="6:12">
      <c r="F174" s="127"/>
      <c r="G174" s="128"/>
      <c r="I174" s="127"/>
      <c r="J174" s="129"/>
      <c r="K174" s="128"/>
      <c r="L174" s="128"/>
    </row>
    <row r="175" spans="6:12">
      <c r="F175" s="127"/>
      <c r="G175" s="128"/>
      <c r="I175" s="127"/>
      <c r="J175" s="129"/>
      <c r="K175" s="128"/>
      <c r="L175" s="128"/>
    </row>
    <row r="176" spans="6:12">
      <c r="F176" s="127"/>
      <c r="G176" s="128"/>
      <c r="I176" s="127"/>
      <c r="J176" s="129"/>
      <c r="K176" s="128"/>
      <c r="L176" s="128"/>
    </row>
    <row r="177" spans="6:12">
      <c r="F177" s="127"/>
      <c r="G177" s="128"/>
      <c r="I177" s="127"/>
      <c r="J177" s="129"/>
      <c r="K177" s="128"/>
      <c r="L177" s="128"/>
    </row>
    <row r="178" spans="6:12">
      <c r="F178" s="127"/>
      <c r="G178" s="128"/>
      <c r="I178" s="127"/>
      <c r="J178" s="129"/>
      <c r="K178" s="128"/>
      <c r="L178" s="128"/>
    </row>
    <row r="179" spans="6:12">
      <c r="F179" s="127"/>
      <c r="G179" s="128"/>
      <c r="I179" s="127"/>
      <c r="J179" s="129"/>
      <c r="K179" s="128"/>
      <c r="L179" s="128"/>
    </row>
    <row r="180" spans="6:12">
      <c r="F180" s="127"/>
      <c r="G180" s="128"/>
      <c r="I180" s="127"/>
      <c r="J180" s="129"/>
      <c r="K180" s="128"/>
      <c r="L180" s="128"/>
    </row>
    <row r="181" spans="6:12">
      <c r="F181" s="127"/>
      <c r="G181" s="128"/>
      <c r="I181" s="127"/>
      <c r="J181" s="129"/>
      <c r="K181" s="128"/>
      <c r="L181" s="128"/>
    </row>
    <row r="182" spans="6:12">
      <c r="F182" s="127"/>
      <c r="G182" s="128"/>
      <c r="I182" s="127"/>
      <c r="J182" s="129"/>
      <c r="K182" s="128"/>
      <c r="L182" s="128"/>
    </row>
    <row r="183" spans="6:12">
      <c r="F183" s="127"/>
      <c r="G183" s="128"/>
      <c r="I183" s="127"/>
      <c r="J183" s="129"/>
      <c r="K183" s="128"/>
      <c r="L183" s="128"/>
    </row>
    <row r="184" spans="6:12">
      <c r="F184" s="127"/>
      <c r="G184" s="128"/>
      <c r="I184" s="127"/>
      <c r="J184" s="129"/>
      <c r="K184" s="128"/>
      <c r="L184" s="128"/>
    </row>
    <row r="185" spans="6:12">
      <c r="F185" s="127"/>
      <c r="G185" s="128"/>
      <c r="I185" s="127"/>
      <c r="J185" s="129"/>
      <c r="K185" s="128"/>
      <c r="L185" s="128"/>
    </row>
    <row r="186" spans="6:12">
      <c r="F186" s="127"/>
      <c r="G186" s="128"/>
      <c r="I186" s="127"/>
      <c r="J186" s="129"/>
      <c r="K186" s="128"/>
      <c r="L186" s="128"/>
    </row>
    <row r="187" spans="6:12">
      <c r="F187" s="127"/>
      <c r="G187" s="128"/>
      <c r="I187" s="127"/>
      <c r="J187" s="129"/>
      <c r="K187" s="128"/>
      <c r="L187" s="128"/>
    </row>
    <row r="188" spans="6:12">
      <c r="F188" s="127"/>
      <c r="G188" s="128"/>
      <c r="I188" s="127"/>
      <c r="J188" s="129"/>
      <c r="K188" s="128"/>
      <c r="L188" s="128"/>
    </row>
    <row r="189" spans="6:12">
      <c r="F189" s="127"/>
      <c r="G189" s="128"/>
      <c r="I189" s="127"/>
      <c r="J189" s="129"/>
      <c r="K189" s="128"/>
      <c r="L189" s="128"/>
    </row>
    <row r="190" spans="6:12">
      <c r="F190" s="127"/>
      <c r="G190" s="128"/>
      <c r="I190" s="127"/>
      <c r="J190" s="129"/>
      <c r="K190" s="128"/>
      <c r="L190" s="128"/>
    </row>
    <row r="191" spans="6:12">
      <c r="F191" s="127"/>
      <c r="G191" s="128"/>
      <c r="I191" s="127"/>
      <c r="J191" s="129"/>
      <c r="K191" s="128"/>
      <c r="L191" s="128"/>
    </row>
    <row r="192" spans="6:12">
      <c r="F192" s="127"/>
      <c r="G192" s="128"/>
      <c r="I192" s="127"/>
      <c r="J192" s="129"/>
      <c r="K192" s="128"/>
      <c r="L192" s="128"/>
    </row>
    <row r="193" spans="6:12">
      <c r="F193" s="127"/>
      <c r="G193" s="128"/>
      <c r="I193" s="127"/>
      <c r="J193" s="129"/>
      <c r="K193" s="128"/>
      <c r="L193" s="128"/>
    </row>
    <row r="194" spans="6:12">
      <c r="F194" s="127"/>
      <c r="G194" s="128"/>
      <c r="I194" s="127"/>
      <c r="J194" s="129"/>
      <c r="K194" s="128"/>
      <c r="L194" s="128"/>
    </row>
    <row r="195" spans="6:12">
      <c r="F195" s="127"/>
      <c r="G195" s="128"/>
      <c r="I195" s="127"/>
      <c r="J195" s="129"/>
      <c r="K195" s="128"/>
      <c r="L195" s="128"/>
    </row>
    <row r="196" spans="6:12">
      <c r="F196" s="127"/>
      <c r="G196" s="128"/>
      <c r="I196" s="127"/>
      <c r="J196" s="129"/>
      <c r="K196" s="128"/>
      <c r="L196" s="128"/>
    </row>
    <row r="197" spans="6:12">
      <c r="F197" s="127"/>
      <c r="G197" s="128"/>
      <c r="I197" s="127"/>
      <c r="J197" s="129"/>
      <c r="K197" s="128"/>
      <c r="L197" s="128"/>
    </row>
    <row r="198" spans="6:12">
      <c r="F198" s="127"/>
      <c r="G198" s="128"/>
      <c r="I198" s="127"/>
      <c r="J198" s="129"/>
      <c r="K198" s="128"/>
      <c r="L198" s="128"/>
    </row>
    <row r="199" spans="6:12">
      <c r="F199" s="127"/>
      <c r="G199" s="128"/>
      <c r="I199" s="127"/>
      <c r="J199" s="129"/>
      <c r="K199" s="128"/>
      <c r="L199" s="128"/>
    </row>
    <row r="200" spans="6:12">
      <c r="I200" s="127"/>
      <c r="J200" s="129"/>
      <c r="K200" s="128"/>
      <c r="L200" s="128"/>
    </row>
    <row r="201" spans="6:12">
      <c r="I201" s="127"/>
      <c r="J201" s="129"/>
      <c r="K201" s="128"/>
      <c r="L201" s="128"/>
    </row>
    <row r="202" spans="6:12">
      <c r="I202" s="127"/>
      <c r="J202" s="129"/>
      <c r="K202" s="128"/>
      <c r="L202" s="128"/>
    </row>
    <row r="203" spans="6:12">
      <c r="I203" s="127"/>
      <c r="J203" s="129"/>
      <c r="K203" s="128"/>
      <c r="L203" s="128"/>
    </row>
    <row r="204" spans="6:12">
      <c r="I204" s="127"/>
      <c r="J204" s="129"/>
      <c r="K204" s="128"/>
      <c r="L204" s="128"/>
    </row>
    <row r="205" spans="6:12">
      <c r="I205" s="127"/>
      <c r="J205" s="129"/>
      <c r="K205" s="128"/>
      <c r="L205" s="128"/>
    </row>
    <row r="206" spans="6:12">
      <c r="I206" s="127"/>
      <c r="J206" s="129"/>
      <c r="K206" s="128"/>
      <c r="L206" s="128"/>
    </row>
    <row r="207" spans="6:12">
      <c r="I207" s="127"/>
      <c r="J207" s="129"/>
      <c r="K207" s="128"/>
      <c r="L207" s="128"/>
    </row>
    <row r="208" spans="6:12">
      <c r="I208" s="127"/>
      <c r="J208" s="129"/>
      <c r="K208" s="128"/>
      <c r="L208" s="128"/>
    </row>
    <row r="209" spans="9:12">
      <c r="I209" s="127"/>
      <c r="J209" s="129"/>
      <c r="K209" s="128"/>
      <c r="L209" s="128"/>
    </row>
    <row r="210" spans="9:12">
      <c r="I210" s="127"/>
      <c r="J210" s="129"/>
      <c r="K210" s="128"/>
      <c r="L210" s="128"/>
    </row>
    <row r="211" spans="9:12">
      <c r="I211" s="127"/>
      <c r="J211" s="129"/>
      <c r="K211" s="128"/>
      <c r="L211" s="128"/>
    </row>
    <row r="212" spans="9:12">
      <c r="I212" s="127"/>
      <c r="J212" s="129"/>
      <c r="K212" s="128"/>
      <c r="L212" s="128"/>
    </row>
    <row r="213" spans="9:12">
      <c r="I213" s="127"/>
      <c r="J213" s="129"/>
      <c r="K213" s="128"/>
      <c r="L213" s="128"/>
    </row>
    <row r="214" spans="9:12">
      <c r="I214" s="127"/>
      <c r="J214" s="129"/>
      <c r="K214" s="128"/>
      <c r="L214" s="128"/>
    </row>
    <row r="215" spans="9:12">
      <c r="I215" s="127"/>
      <c r="J215" s="129"/>
      <c r="K215" s="128"/>
      <c r="L215" s="128"/>
    </row>
    <row r="216" spans="9:12">
      <c r="I216" s="127"/>
      <c r="J216" s="129"/>
      <c r="K216" s="128"/>
      <c r="L216" s="128"/>
    </row>
    <row r="217" spans="9:12">
      <c r="I217" s="127"/>
      <c r="J217" s="129"/>
      <c r="K217" s="128"/>
      <c r="L217" s="128"/>
    </row>
    <row r="218" spans="9:12">
      <c r="I218" s="127"/>
      <c r="J218" s="129"/>
      <c r="K218" s="128"/>
      <c r="L218" s="128"/>
    </row>
    <row r="219" spans="9:12">
      <c r="I219" s="127"/>
      <c r="J219" s="129"/>
      <c r="K219" s="128"/>
      <c r="L219" s="128"/>
    </row>
    <row r="220" spans="9:12">
      <c r="I220" s="127"/>
      <c r="J220" s="129"/>
      <c r="K220" s="128"/>
      <c r="L220" s="128"/>
    </row>
    <row r="221" spans="9:12">
      <c r="I221" s="127"/>
      <c r="J221" s="129"/>
      <c r="K221" s="128"/>
      <c r="L221" s="128"/>
    </row>
    <row r="222" spans="9:12">
      <c r="I222" s="127"/>
      <c r="J222" s="129"/>
      <c r="K222" s="128"/>
      <c r="L222" s="128"/>
    </row>
    <row r="223" spans="9:12">
      <c r="I223" s="127"/>
      <c r="J223" s="129"/>
      <c r="K223" s="128"/>
      <c r="L223" s="128"/>
    </row>
    <row r="224" spans="9:12">
      <c r="I224" s="127"/>
      <c r="J224" s="129"/>
      <c r="K224" s="128"/>
      <c r="L224" s="128"/>
    </row>
    <row r="225" spans="9:12">
      <c r="I225" s="127"/>
      <c r="J225" s="129"/>
      <c r="K225" s="128"/>
      <c r="L225" s="128"/>
    </row>
    <row r="226" spans="9:12">
      <c r="I226" s="127"/>
      <c r="J226" s="129"/>
      <c r="K226" s="128"/>
      <c r="L226" s="128"/>
    </row>
    <row r="227" spans="9:12">
      <c r="I227" s="127"/>
      <c r="J227" s="129"/>
      <c r="K227" s="128"/>
      <c r="L227" s="128"/>
    </row>
    <row r="228" spans="9:12">
      <c r="I228" s="127"/>
      <c r="J228" s="129"/>
      <c r="K228" s="128"/>
      <c r="L228" s="128"/>
    </row>
    <row r="229" spans="9:12">
      <c r="I229" s="127"/>
      <c r="J229" s="129"/>
      <c r="K229" s="128"/>
      <c r="L229" s="128"/>
    </row>
    <row r="230" spans="9:12">
      <c r="I230" s="127"/>
      <c r="J230" s="129"/>
      <c r="K230" s="128"/>
      <c r="L230" s="128"/>
    </row>
    <row r="231" spans="9:12">
      <c r="I231" s="127"/>
      <c r="J231" s="129"/>
      <c r="K231" s="128"/>
      <c r="L231" s="128"/>
    </row>
    <row r="232" spans="9:12">
      <c r="I232" s="127"/>
      <c r="J232" s="129"/>
      <c r="K232" s="128"/>
      <c r="L232" s="128"/>
    </row>
    <row r="233" spans="9:12">
      <c r="I233" s="127"/>
      <c r="J233" s="129"/>
      <c r="K233" s="128"/>
      <c r="L233" s="128"/>
    </row>
    <row r="234" spans="9:12">
      <c r="I234" s="127"/>
      <c r="J234" s="129"/>
      <c r="K234" s="128"/>
      <c r="L234" s="128"/>
    </row>
    <row r="235" spans="9:12">
      <c r="I235" s="127"/>
      <c r="J235" s="129"/>
      <c r="K235" s="128"/>
      <c r="L235" s="128"/>
    </row>
    <row r="236" spans="9:12">
      <c r="I236" s="127"/>
      <c r="J236" s="129"/>
      <c r="K236" s="128"/>
      <c r="L236" s="128"/>
    </row>
    <row r="237" spans="9:12">
      <c r="I237" s="127"/>
      <c r="J237" s="129"/>
      <c r="K237" s="128"/>
      <c r="L237" s="128"/>
    </row>
    <row r="238" spans="9:12">
      <c r="I238" s="127"/>
      <c r="J238" s="129"/>
      <c r="K238" s="128"/>
      <c r="L238" s="128"/>
    </row>
    <row r="239" spans="9:12">
      <c r="I239" s="127"/>
      <c r="J239" s="129"/>
      <c r="K239" s="128"/>
      <c r="L239" s="128"/>
    </row>
    <row r="240" spans="9:12">
      <c r="I240" s="127"/>
      <c r="J240" s="129"/>
      <c r="K240" s="128"/>
      <c r="L240" s="128"/>
    </row>
    <row r="241" spans="9:12">
      <c r="I241" s="127"/>
      <c r="J241" s="129"/>
      <c r="K241" s="128"/>
      <c r="L241" s="128"/>
    </row>
    <row r="242" spans="9:12">
      <c r="I242" s="127"/>
      <c r="J242" s="129"/>
      <c r="K242" s="128"/>
      <c r="L242" s="128"/>
    </row>
    <row r="243" spans="9:12">
      <c r="I243" s="127"/>
      <c r="J243" s="129"/>
      <c r="K243" s="128"/>
      <c r="L243" s="128"/>
    </row>
    <row r="244" spans="9:12">
      <c r="I244" s="127"/>
      <c r="J244" s="129"/>
      <c r="K244" s="128"/>
      <c r="L244" s="128"/>
    </row>
    <row r="245" spans="9:12">
      <c r="I245" s="127"/>
      <c r="J245" s="129"/>
      <c r="K245" s="128"/>
      <c r="L245" s="128"/>
    </row>
    <row r="246" spans="9:12">
      <c r="I246" s="127"/>
      <c r="J246" s="129"/>
      <c r="K246" s="128"/>
      <c r="L246" s="128"/>
    </row>
    <row r="247" spans="9:12">
      <c r="I247" s="127"/>
      <c r="J247" s="129"/>
      <c r="K247" s="128"/>
      <c r="L247" s="128"/>
    </row>
    <row r="248" spans="9:12">
      <c r="I248" s="127"/>
      <c r="J248" s="129"/>
      <c r="K248" s="128"/>
      <c r="L248" s="128"/>
    </row>
    <row r="249" spans="9:12">
      <c r="I249" s="127"/>
      <c r="J249" s="129"/>
      <c r="K249" s="128"/>
      <c r="L249" s="128"/>
    </row>
    <row r="250" spans="9:12">
      <c r="I250" s="127"/>
      <c r="J250" s="129"/>
      <c r="K250" s="128"/>
      <c r="L250" s="128"/>
    </row>
    <row r="251" spans="9:12">
      <c r="I251" s="127"/>
      <c r="J251" s="129"/>
      <c r="K251" s="128"/>
      <c r="L251" s="128"/>
    </row>
    <row r="252" spans="9:12">
      <c r="I252" s="127"/>
      <c r="J252" s="129"/>
      <c r="K252" s="128"/>
      <c r="L252" s="128"/>
    </row>
    <row r="253" spans="9:12">
      <c r="I253" s="127"/>
      <c r="J253" s="129"/>
      <c r="K253" s="128"/>
      <c r="L253" s="128"/>
    </row>
    <row r="254" spans="9:12">
      <c r="I254" s="127"/>
      <c r="J254" s="129"/>
      <c r="K254" s="128"/>
      <c r="L254" s="128"/>
    </row>
    <row r="255" spans="9:12">
      <c r="I255" s="127"/>
      <c r="J255" s="129"/>
      <c r="K255" s="128"/>
      <c r="L255" s="128"/>
    </row>
    <row r="256" spans="9:12">
      <c r="I256" s="127"/>
      <c r="J256" s="129"/>
      <c r="K256" s="128"/>
      <c r="L256" s="128"/>
    </row>
    <row r="257" spans="9:12">
      <c r="I257" s="127"/>
      <c r="J257" s="129"/>
      <c r="K257" s="128"/>
      <c r="L257" s="128"/>
    </row>
    <row r="258" spans="9:12">
      <c r="I258" s="127"/>
      <c r="J258" s="129"/>
      <c r="K258" s="128"/>
      <c r="L258" s="128"/>
    </row>
    <row r="259" spans="9:12">
      <c r="I259" s="127"/>
      <c r="J259" s="129"/>
      <c r="K259" s="128"/>
      <c r="L259" s="128"/>
    </row>
    <row r="260" spans="9:12">
      <c r="I260" s="127"/>
      <c r="J260" s="129"/>
      <c r="K260" s="128"/>
      <c r="L260" s="128"/>
    </row>
    <row r="261" spans="9:12">
      <c r="I261" s="127"/>
      <c r="J261" s="129"/>
      <c r="K261" s="128"/>
      <c r="L261" s="128"/>
    </row>
    <row r="262" spans="9:12">
      <c r="I262" s="127"/>
      <c r="J262" s="129"/>
      <c r="K262" s="128"/>
      <c r="L262" s="128"/>
    </row>
    <row r="263" spans="9:12">
      <c r="I263" s="127"/>
      <c r="J263" s="129"/>
      <c r="K263" s="128"/>
      <c r="L263" s="128"/>
    </row>
    <row r="264" spans="9:12">
      <c r="I264" s="127"/>
      <c r="J264" s="129"/>
      <c r="K264" s="128"/>
      <c r="L264" s="128"/>
    </row>
    <row r="265" spans="9:12">
      <c r="I265" s="127"/>
      <c r="J265" s="129"/>
      <c r="K265" s="128"/>
      <c r="L265" s="128"/>
    </row>
    <row r="266" spans="9:12">
      <c r="I266" s="127"/>
      <c r="J266" s="129"/>
      <c r="K266" s="128"/>
      <c r="L266" s="128"/>
    </row>
    <row r="267" spans="9:12">
      <c r="I267" s="127"/>
      <c r="J267" s="129"/>
      <c r="K267" s="128"/>
      <c r="L267" s="128"/>
    </row>
    <row r="268" spans="9:12">
      <c r="I268" s="127"/>
      <c r="J268" s="129"/>
      <c r="K268" s="128"/>
      <c r="L268" s="128"/>
    </row>
    <row r="269" spans="9:12">
      <c r="I269" s="127"/>
      <c r="J269" s="129"/>
      <c r="K269" s="128"/>
      <c r="L269" s="128"/>
    </row>
    <row r="270" spans="9:12">
      <c r="I270" s="127"/>
      <c r="J270" s="129"/>
      <c r="K270" s="128"/>
      <c r="L270" s="128"/>
    </row>
    <row r="271" spans="9:12">
      <c r="I271" s="127"/>
      <c r="J271" s="129"/>
      <c r="K271" s="128"/>
      <c r="L271" s="128"/>
    </row>
    <row r="272" spans="9:12">
      <c r="I272" s="127"/>
      <c r="J272" s="129"/>
      <c r="K272" s="128"/>
      <c r="L272" s="128"/>
    </row>
    <row r="273" spans="9:12">
      <c r="I273" s="127"/>
      <c r="J273" s="129"/>
      <c r="K273" s="128"/>
      <c r="L273" s="128"/>
    </row>
    <row r="274" spans="9:12">
      <c r="I274" s="127"/>
      <c r="J274" s="129"/>
      <c r="K274" s="128"/>
      <c r="L274" s="128"/>
    </row>
    <row r="275" spans="9:12">
      <c r="I275" s="127"/>
      <c r="J275" s="129"/>
      <c r="K275" s="128"/>
      <c r="L275" s="128"/>
    </row>
    <row r="276" spans="9:12">
      <c r="I276" s="127"/>
      <c r="J276" s="129"/>
      <c r="K276" s="128"/>
      <c r="L276" s="128"/>
    </row>
    <row r="277" spans="9:12">
      <c r="I277" s="127"/>
      <c r="J277" s="129"/>
      <c r="K277" s="128"/>
      <c r="L277" s="128"/>
    </row>
    <row r="278" spans="9:12">
      <c r="I278" s="127"/>
      <c r="J278" s="129"/>
      <c r="K278" s="128"/>
      <c r="L278" s="128"/>
    </row>
    <row r="279" spans="9:12">
      <c r="I279" s="127"/>
      <c r="J279" s="129"/>
      <c r="K279" s="128"/>
      <c r="L279" s="128"/>
    </row>
    <row r="280" spans="9:12">
      <c r="I280" s="127"/>
      <c r="J280" s="129"/>
      <c r="K280" s="128"/>
      <c r="L280" s="128"/>
    </row>
    <row r="281" spans="9:12">
      <c r="I281" s="127"/>
      <c r="J281" s="129"/>
      <c r="K281" s="128"/>
      <c r="L281" s="128"/>
    </row>
    <row r="282" spans="9:12">
      <c r="I282" s="127"/>
      <c r="J282" s="129"/>
      <c r="K282" s="128"/>
      <c r="L282" s="128"/>
    </row>
    <row r="283" spans="9:12">
      <c r="I283" s="127"/>
      <c r="J283" s="129"/>
      <c r="K283" s="128"/>
      <c r="L283" s="128"/>
    </row>
    <row r="284" spans="9:12">
      <c r="I284" s="127"/>
      <c r="J284" s="129"/>
      <c r="K284" s="128"/>
      <c r="L284" s="128"/>
    </row>
    <row r="285" spans="9:12">
      <c r="I285" s="127"/>
      <c r="J285" s="129"/>
      <c r="K285" s="128"/>
      <c r="L285" s="128"/>
    </row>
    <row r="286" spans="9:12">
      <c r="I286" s="127"/>
      <c r="J286" s="129"/>
      <c r="K286" s="128"/>
      <c r="L286" s="128"/>
    </row>
    <row r="287" spans="9:12">
      <c r="I287" s="127"/>
      <c r="J287" s="129"/>
      <c r="K287" s="128"/>
      <c r="L287" s="128"/>
    </row>
    <row r="288" spans="9:12">
      <c r="I288" s="127"/>
      <c r="J288" s="129"/>
      <c r="K288" s="128"/>
      <c r="L288" s="128"/>
    </row>
    <row r="289" spans="9:12">
      <c r="I289" s="127"/>
      <c r="J289" s="129"/>
      <c r="K289" s="128"/>
      <c r="L289" s="128"/>
    </row>
    <row r="290" spans="9:12">
      <c r="I290" s="127"/>
      <c r="J290" s="129"/>
      <c r="K290" s="128"/>
      <c r="L290" s="128"/>
    </row>
    <row r="291" spans="9:12">
      <c r="I291" s="127"/>
      <c r="J291" s="129"/>
      <c r="K291" s="128"/>
      <c r="L291" s="128"/>
    </row>
    <row r="292" spans="9:12">
      <c r="I292" s="127"/>
      <c r="J292" s="129"/>
      <c r="K292" s="128"/>
      <c r="L292" s="128"/>
    </row>
    <row r="293" spans="9:12">
      <c r="I293" s="127"/>
      <c r="J293" s="129"/>
      <c r="K293" s="128"/>
      <c r="L293" s="128"/>
    </row>
    <row r="294" spans="9:12">
      <c r="I294" s="127"/>
      <c r="J294" s="129"/>
      <c r="K294" s="128"/>
      <c r="L294" s="128"/>
    </row>
    <row r="295" spans="9:12">
      <c r="I295" s="127"/>
      <c r="J295" s="129"/>
      <c r="K295" s="128"/>
      <c r="L295" s="128"/>
    </row>
    <row r="296" spans="9:12">
      <c r="I296" s="127"/>
      <c r="J296" s="129"/>
      <c r="K296" s="128"/>
      <c r="L296" s="128"/>
    </row>
    <row r="297" spans="9:12">
      <c r="I297" s="127"/>
      <c r="J297" s="129"/>
      <c r="K297" s="128"/>
      <c r="L297" s="128"/>
    </row>
    <row r="298" spans="9:12">
      <c r="I298" s="127"/>
      <c r="J298" s="129"/>
      <c r="K298" s="128"/>
      <c r="L298" s="128"/>
    </row>
    <row r="299" spans="9:12">
      <c r="I299" s="127"/>
      <c r="J299" s="129"/>
      <c r="K299" s="128"/>
      <c r="L299" s="128"/>
    </row>
    <row r="300" spans="9:12">
      <c r="I300" s="127"/>
      <c r="J300" s="129"/>
      <c r="K300" s="128"/>
      <c r="L300" s="128"/>
    </row>
    <row r="301" spans="9:12">
      <c r="I301" s="127"/>
      <c r="J301" s="129"/>
      <c r="K301" s="128"/>
      <c r="L301" s="128"/>
    </row>
    <row r="302" spans="9:12">
      <c r="I302" s="127"/>
      <c r="J302" s="129"/>
      <c r="K302" s="128"/>
      <c r="L302" s="128"/>
    </row>
    <row r="303" spans="9:12">
      <c r="I303" s="127"/>
      <c r="J303" s="129"/>
      <c r="K303" s="128"/>
      <c r="L303" s="128"/>
    </row>
    <row r="304" spans="9:12">
      <c r="I304" s="127"/>
      <c r="J304" s="129"/>
      <c r="K304" s="128"/>
      <c r="L304" s="128"/>
    </row>
    <row r="305" spans="9:12">
      <c r="I305" s="127"/>
      <c r="J305" s="129"/>
      <c r="K305" s="128"/>
      <c r="L305" s="128"/>
    </row>
    <row r="306" spans="9:12">
      <c r="I306" s="127"/>
      <c r="J306" s="129"/>
      <c r="K306" s="128"/>
      <c r="L306" s="128"/>
    </row>
    <row r="307" spans="9:12">
      <c r="I307" s="127"/>
      <c r="J307" s="129"/>
      <c r="K307" s="128"/>
      <c r="L307" s="128"/>
    </row>
    <row r="308" spans="9:12">
      <c r="I308" s="127"/>
      <c r="J308" s="129"/>
      <c r="K308" s="128"/>
      <c r="L308" s="128"/>
    </row>
    <row r="309" spans="9:12">
      <c r="I309" s="127"/>
      <c r="J309" s="129"/>
      <c r="K309" s="128"/>
      <c r="L309" s="128"/>
    </row>
    <row r="310" spans="9:12">
      <c r="I310" s="127"/>
      <c r="J310" s="129"/>
      <c r="K310" s="128"/>
      <c r="L310" s="128"/>
    </row>
    <row r="311" spans="9:12">
      <c r="I311" s="127"/>
      <c r="J311" s="129"/>
      <c r="K311" s="128"/>
      <c r="L311" s="128"/>
    </row>
    <row r="312" spans="9:12">
      <c r="I312" s="127"/>
      <c r="J312" s="129"/>
      <c r="K312" s="128"/>
      <c r="L312" s="128"/>
    </row>
    <row r="313" spans="9:12">
      <c r="I313" s="127"/>
      <c r="J313" s="129"/>
      <c r="K313" s="128"/>
      <c r="L313" s="128"/>
    </row>
    <row r="314" spans="9:12">
      <c r="I314" s="127"/>
      <c r="J314" s="129"/>
      <c r="K314" s="128"/>
      <c r="L314" s="128"/>
    </row>
    <row r="315" spans="9:12">
      <c r="I315" s="127"/>
      <c r="J315" s="129"/>
      <c r="K315" s="128"/>
      <c r="L315" s="128"/>
    </row>
    <row r="316" spans="9:12">
      <c r="I316" s="127"/>
      <c r="J316" s="129"/>
      <c r="K316" s="128"/>
      <c r="L316" s="128"/>
    </row>
    <row r="317" spans="9:12">
      <c r="I317" s="127"/>
      <c r="J317" s="129"/>
      <c r="K317" s="128"/>
      <c r="L317" s="128"/>
    </row>
    <row r="318" spans="9:12">
      <c r="I318" s="127"/>
      <c r="J318" s="129"/>
      <c r="K318" s="128"/>
      <c r="L318" s="128"/>
    </row>
    <row r="319" spans="9:12">
      <c r="I319" s="127"/>
      <c r="J319" s="129"/>
      <c r="K319" s="128"/>
      <c r="L319" s="128"/>
    </row>
    <row r="320" spans="9:12">
      <c r="I320" s="127"/>
      <c r="J320" s="129"/>
      <c r="K320" s="128"/>
      <c r="L320" s="128"/>
    </row>
    <row r="321" spans="9:12">
      <c r="I321" s="127"/>
      <c r="J321" s="129"/>
      <c r="K321" s="128"/>
      <c r="L321" s="128"/>
    </row>
    <row r="322" spans="9:12">
      <c r="I322" s="127"/>
      <c r="J322" s="129"/>
      <c r="K322" s="128"/>
      <c r="L322" s="128"/>
    </row>
    <row r="323" spans="9:12">
      <c r="I323" s="127"/>
      <c r="J323" s="129"/>
      <c r="K323" s="128"/>
      <c r="L323" s="128"/>
    </row>
    <row r="324" spans="9:12">
      <c r="I324" s="127"/>
      <c r="J324" s="129"/>
      <c r="K324" s="128"/>
      <c r="L324" s="128"/>
    </row>
    <row r="325" spans="9:12">
      <c r="I325" s="127"/>
      <c r="J325" s="129"/>
      <c r="K325" s="128"/>
      <c r="L325" s="128"/>
    </row>
    <row r="326" spans="9:12">
      <c r="I326" s="127"/>
      <c r="J326" s="129"/>
      <c r="K326" s="128"/>
      <c r="L326" s="128"/>
    </row>
    <row r="327" spans="9:12">
      <c r="I327" s="127"/>
      <c r="J327" s="129"/>
      <c r="K327" s="128"/>
      <c r="L327" s="128"/>
    </row>
    <row r="328" spans="9:12">
      <c r="I328" s="127"/>
      <c r="J328" s="129"/>
      <c r="K328" s="128"/>
      <c r="L328" s="128"/>
    </row>
    <row r="329" spans="9:12">
      <c r="I329" s="127"/>
      <c r="J329" s="129"/>
      <c r="K329" s="128"/>
      <c r="L329" s="128"/>
    </row>
    <row r="330" spans="9:12">
      <c r="I330" s="127"/>
      <c r="J330" s="129"/>
      <c r="K330" s="128"/>
      <c r="L330" s="128"/>
    </row>
    <row r="331" spans="9:12">
      <c r="I331" s="127"/>
      <c r="J331" s="129"/>
      <c r="K331" s="128"/>
      <c r="L331" s="128"/>
    </row>
    <row r="332" spans="9:12">
      <c r="I332" s="127"/>
      <c r="J332" s="129"/>
      <c r="K332" s="128"/>
      <c r="L332" s="128"/>
    </row>
    <row r="333" spans="9:12">
      <c r="I333" s="127"/>
      <c r="J333" s="129"/>
      <c r="K333" s="128"/>
      <c r="L333" s="128"/>
    </row>
    <row r="334" spans="9:12">
      <c r="I334" s="127"/>
      <c r="J334" s="129"/>
      <c r="K334" s="128"/>
      <c r="L334" s="128"/>
    </row>
    <row r="335" spans="9:12">
      <c r="I335" s="127"/>
      <c r="J335" s="129"/>
      <c r="K335" s="128"/>
      <c r="L335" s="128"/>
    </row>
    <row r="336" spans="9:12">
      <c r="I336" s="127"/>
      <c r="J336" s="129"/>
      <c r="K336" s="128"/>
      <c r="L336" s="128"/>
    </row>
    <row r="337" spans="9:12">
      <c r="I337" s="127"/>
      <c r="J337" s="129"/>
      <c r="K337" s="128"/>
      <c r="L337" s="128"/>
    </row>
    <row r="338" spans="9:12">
      <c r="I338" s="127"/>
      <c r="J338" s="129"/>
      <c r="K338" s="128"/>
      <c r="L338" s="128"/>
    </row>
    <row r="339" spans="9:12">
      <c r="I339" s="127"/>
      <c r="J339" s="129"/>
      <c r="K339" s="128"/>
      <c r="L339" s="128"/>
    </row>
    <row r="340" spans="9:12">
      <c r="I340" s="127"/>
      <c r="J340" s="129"/>
      <c r="K340" s="128"/>
      <c r="L340" s="128"/>
    </row>
    <row r="341" spans="9:12">
      <c r="I341" s="127"/>
      <c r="J341" s="129"/>
      <c r="K341" s="128"/>
      <c r="L341" s="128"/>
    </row>
    <row r="342" spans="9:12">
      <c r="I342" s="127"/>
      <c r="J342" s="129"/>
      <c r="K342" s="128"/>
      <c r="L342" s="128"/>
    </row>
    <row r="343" spans="9:12">
      <c r="I343" s="127"/>
      <c r="J343" s="129"/>
      <c r="K343" s="128"/>
      <c r="L343" s="128"/>
    </row>
    <row r="344" spans="9:12">
      <c r="I344" s="127"/>
      <c r="J344" s="129"/>
      <c r="K344" s="128"/>
      <c r="L344" s="128"/>
    </row>
    <row r="345" spans="9:12">
      <c r="I345" s="127"/>
      <c r="J345" s="129"/>
      <c r="K345" s="128"/>
      <c r="L345" s="128"/>
    </row>
    <row r="346" spans="9:12">
      <c r="I346" s="127"/>
      <c r="J346" s="129"/>
      <c r="K346" s="128"/>
      <c r="L346" s="128"/>
    </row>
    <row r="347" spans="9:12">
      <c r="I347" s="127"/>
      <c r="J347" s="129"/>
      <c r="K347" s="128"/>
      <c r="L347" s="128"/>
    </row>
    <row r="348" spans="9:12">
      <c r="I348" s="127"/>
      <c r="J348" s="129"/>
      <c r="K348" s="128"/>
      <c r="L348" s="128"/>
    </row>
    <row r="349" spans="9:12">
      <c r="I349" s="127"/>
      <c r="J349" s="129"/>
      <c r="K349" s="128"/>
      <c r="L349" s="128"/>
    </row>
    <row r="350" spans="9:12">
      <c r="I350" s="127"/>
      <c r="J350" s="129"/>
      <c r="K350" s="128"/>
      <c r="L350" s="128"/>
    </row>
    <row r="351" spans="9:12">
      <c r="I351" s="127"/>
      <c r="J351" s="129"/>
      <c r="K351" s="128"/>
      <c r="L351" s="128"/>
    </row>
    <row r="352" spans="9:12">
      <c r="I352" s="127"/>
      <c r="J352" s="129"/>
      <c r="K352" s="128"/>
      <c r="L352" s="128"/>
    </row>
    <row r="353" spans="9:12">
      <c r="I353" s="127"/>
      <c r="J353" s="129"/>
      <c r="K353" s="128"/>
      <c r="L353" s="128"/>
    </row>
    <row r="354" spans="9:12">
      <c r="I354" s="127"/>
      <c r="J354" s="129"/>
      <c r="K354" s="128"/>
      <c r="L354" s="128"/>
    </row>
    <row r="355" spans="9:12">
      <c r="I355" s="127"/>
      <c r="J355" s="129"/>
      <c r="K355" s="128"/>
      <c r="L355" s="128"/>
    </row>
    <row r="356" spans="9:12">
      <c r="I356" s="127"/>
      <c r="J356" s="129"/>
      <c r="K356" s="128"/>
      <c r="L356" s="128"/>
    </row>
    <row r="357" spans="9:12">
      <c r="I357" s="127"/>
      <c r="J357" s="129"/>
      <c r="K357" s="128"/>
      <c r="L357" s="128"/>
    </row>
    <row r="358" spans="9:12">
      <c r="I358" s="127"/>
      <c r="J358" s="129"/>
      <c r="K358" s="128"/>
      <c r="L358" s="128"/>
    </row>
    <row r="359" spans="9:12">
      <c r="I359" s="127"/>
      <c r="J359" s="129"/>
      <c r="K359" s="128"/>
      <c r="L359" s="128"/>
    </row>
    <row r="360" spans="9:12">
      <c r="I360" s="127"/>
      <c r="J360" s="129"/>
      <c r="K360" s="128"/>
      <c r="L360" s="128"/>
    </row>
    <row r="361" spans="9:12">
      <c r="I361" s="127"/>
      <c r="J361" s="129"/>
      <c r="K361" s="128"/>
      <c r="L361" s="128"/>
    </row>
    <row r="362" spans="9:12">
      <c r="I362" s="127"/>
      <c r="J362" s="129"/>
      <c r="K362" s="128"/>
      <c r="L362" s="128"/>
    </row>
    <row r="363" spans="9:12">
      <c r="I363" s="127"/>
      <c r="J363" s="129"/>
      <c r="K363" s="128"/>
      <c r="L363" s="128"/>
    </row>
    <row r="364" spans="9:12">
      <c r="I364" s="127"/>
      <c r="J364" s="129"/>
      <c r="K364" s="128"/>
      <c r="L364" s="128"/>
    </row>
    <row r="365" spans="9:12">
      <c r="I365" s="127"/>
      <c r="J365" s="129"/>
      <c r="K365" s="128"/>
      <c r="L365" s="128"/>
    </row>
    <row r="366" spans="9:12">
      <c r="I366" s="127"/>
      <c r="J366" s="129"/>
      <c r="K366" s="128"/>
      <c r="L366" s="128"/>
    </row>
    <row r="367" spans="9:12">
      <c r="I367" s="127"/>
      <c r="J367" s="129"/>
      <c r="K367" s="128"/>
      <c r="L367" s="128"/>
    </row>
    <row r="368" spans="9:12">
      <c r="I368" s="127"/>
      <c r="J368" s="129"/>
      <c r="K368" s="128"/>
      <c r="L368" s="128"/>
    </row>
    <row r="369" spans="9:12">
      <c r="I369" s="127"/>
      <c r="J369" s="129"/>
      <c r="K369" s="128"/>
      <c r="L369" s="128"/>
    </row>
    <row r="370" spans="9:12">
      <c r="I370" s="127"/>
      <c r="J370" s="129"/>
      <c r="K370" s="128"/>
      <c r="L370" s="128"/>
    </row>
    <row r="371" spans="9:12">
      <c r="I371" s="127"/>
      <c r="J371" s="129"/>
      <c r="K371" s="128"/>
      <c r="L371" s="128"/>
    </row>
    <row r="372" spans="9:12">
      <c r="I372" s="127"/>
      <c r="J372" s="129"/>
      <c r="K372" s="128"/>
      <c r="L372" s="128"/>
    </row>
    <row r="373" spans="9:12">
      <c r="I373" s="127"/>
      <c r="J373" s="129"/>
      <c r="K373" s="128"/>
      <c r="L373" s="128"/>
    </row>
    <row r="374" spans="9:12">
      <c r="I374" s="127"/>
      <c r="J374" s="129"/>
      <c r="K374" s="128"/>
      <c r="L374" s="128"/>
    </row>
    <row r="375" spans="9:12">
      <c r="I375" s="127"/>
      <c r="J375" s="129"/>
      <c r="K375" s="128"/>
      <c r="L375" s="128"/>
    </row>
    <row r="376" spans="9:12">
      <c r="I376" s="127"/>
      <c r="J376" s="129"/>
      <c r="K376" s="128"/>
      <c r="L376" s="128"/>
    </row>
    <row r="377" spans="9:12">
      <c r="I377" s="127"/>
      <c r="J377" s="129"/>
      <c r="K377" s="128"/>
      <c r="L377" s="128"/>
    </row>
    <row r="378" spans="9:12">
      <c r="I378" s="127"/>
      <c r="J378" s="129"/>
      <c r="K378" s="128"/>
      <c r="L378" s="128"/>
    </row>
    <row r="379" spans="9:12">
      <c r="I379" s="127"/>
      <c r="J379" s="129"/>
      <c r="K379" s="128"/>
      <c r="L379" s="128"/>
    </row>
    <row r="380" spans="9:12">
      <c r="I380" s="127"/>
      <c r="J380" s="129"/>
      <c r="K380" s="128"/>
      <c r="L380" s="128"/>
    </row>
    <row r="381" spans="9:12">
      <c r="I381" s="127"/>
      <c r="J381" s="129"/>
      <c r="K381" s="128"/>
      <c r="L381" s="128"/>
    </row>
    <row r="382" spans="9:12">
      <c r="I382" s="127"/>
      <c r="J382" s="129"/>
      <c r="K382" s="128"/>
      <c r="L382" s="128"/>
    </row>
    <row r="383" spans="9:12">
      <c r="I383" s="127"/>
      <c r="J383" s="129"/>
      <c r="K383" s="128"/>
      <c r="L383" s="128"/>
    </row>
    <row r="384" spans="9:12">
      <c r="I384" s="127"/>
      <c r="J384" s="129"/>
      <c r="K384" s="128"/>
      <c r="L384" s="128"/>
    </row>
    <row r="385" spans="9:12">
      <c r="I385" s="127"/>
      <c r="J385" s="129"/>
      <c r="K385" s="128"/>
      <c r="L385" s="128"/>
    </row>
    <row r="386" spans="9:12">
      <c r="I386" s="127"/>
      <c r="J386" s="129"/>
      <c r="K386" s="128"/>
      <c r="L386" s="128"/>
    </row>
    <row r="387" spans="9:12">
      <c r="I387" s="127"/>
      <c r="J387" s="129"/>
      <c r="K387" s="128"/>
      <c r="L387" s="128"/>
    </row>
    <row r="388" spans="9:12">
      <c r="I388" s="127"/>
      <c r="J388" s="129"/>
      <c r="K388" s="128"/>
      <c r="L388" s="128"/>
    </row>
    <row r="389" spans="9:12">
      <c r="I389" s="127"/>
      <c r="J389" s="129"/>
      <c r="K389" s="128"/>
      <c r="L389" s="128"/>
    </row>
    <row r="390" spans="9:12">
      <c r="I390" s="127"/>
      <c r="J390" s="129"/>
      <c r="K390" s="128"/>
      <c r="L390" s="128"/>
    </row>
    <row r="391" spans="9:12">
      <c r="I391" s="127"/>
      <c r="J391" s="129"/>
      <c r="K391" s="128"/>
      <c r="L391" s="128"/>
    </row>
    <row r="392" spans="9:12">
      <c r="I392" s="127"/>
      <c r="J392" s="129"/>
      <c r="K392" s="128"/>
      <c r="L392" s="128"/>
    </row>
    <row r="393" spans="9:12">
      <c r="I393" s="127"/>
      <c r="J393" s="129"/>
      <c r="K393" s="128"/>
      <c r="L393" s="128"/>
    </row>
    <row r="394" spans="9:12">
      <c r="I394" s="127"/>
      <c r="J394" s="129"/>
      <c r="K394" s="128"/>
      <c r="L394" s="128"/>
    </row>
    <row r="395" spans="9:12">
      <c r="I395" s="127"/>
      <c r="J395" s="129"/>
      <c r="K395" s="128"/>
      <c r="L395" s="128"/>
    </row>
    <row r="396" spans="9:12">
      <c r="I396" s="127"/>
      <c r="J396" s="129"/>
      <c r="K396" s="128"/>
      <c r="L396" s="128"/>
    </row>
    <row r="397" spans="9:12">
      <c r="I397" s="127"/>
      <c r="J397" s="129"/>
      <c r="K397" s="128"/>
      <c r="L397" s="128"/>
    </row>
    <row r="398" spans="9:12">
      <c r="I398" s="127"/>
      <c r="J398" s="129"/>
      <c r="K398" s="128"/>
      <c r="L398" s="128"/>
    </row>
    <row r="399" spans="9:12">
      <c r="I399" s="127"/>
      <c r="J399" s="129"/>
      <c r="K399" s="128"/>
      <c r="L399" s="128"/>
    </row>
    <row r="400" spans="9:12">
      <c r="I400" s="127"/>
      <c r="J400" s="129"/>
      <c r="K400" s="128"/>
      <c r="L400" s="128"/>
    </row>
    <row r="401" spans="9:12">
      <c r="I401" s="127"/>
      <c r="J401" s="129"/>
      <c r="K401" s="128"/>
      <c r="L401" s="128"/>
    </row>
    <row r="402" spans="9:12">
      <c r="I402" s="127"/>
      <c r="J402" s="129"/>
      <c r="K402" s="128"/>
      <c r="L402" s="128"/>
    </row>
    <row r="403" spans="9:12">
      <c r="I403" s="127"/>
      <c r="J403" s="129"/>
      <c r="K403" s="128"/>
      <c r="L403" s="128"/>
    </row>
    <row r="404" spans="9:12">
      <c r="I404" s="127"/>
      <c r="J404" s="129"/>
      <c r="K404" s="128"/>
      <c r="L404" s="128"/>
    </row>
    <row r="405" spans="9:12">
      <c r="I405" s="127"/>
      <c r="J405" s="129"/>
      <c r="K405" s="128"/>
      <c r="L405" s="128"/>
    </row>
    <row r="406" spans="9:12">
      <c r="I406" s="127"/>
      <c r="J406" s="129"/>
      <c r="K406" s="128"/>
      <c r="L406" s="128"/>
    </row>
    <row r="407" spans="9:12">
      <c r="I407" s="127"/>
      <c r="J407" s="129"/>
      <c r="K407" s="128"/>
      <c r="L407" s="128"/>
    </row>
    <row r="408" spans="9:12">
      <c r="I408" s="127"/>
      <c r="J408" s="129"/>
      <c r="K408" s="128"/>
      <c r="L408" s="128"/>
    </row>
    <row r="409" spans="9:12">
      <c r="I409" s="127"/>
      <c r="J409" s="129"/>
      <c r="K409" s="128"/>
      <c r="L409" s="128"/>
    </row>
    <row r="410" spans="9:12">
      <c r="I410" s="127"/>
      <c r="J410" s="129"/>
      <c r="K410" s="128"/>
      <c r="L410" s="128"/>
    </row>
    <row r="411" spans="9:12">
      <c r="I411" s="127"/>
      <c r="J411" s="129"/>
      <c r="K411" s="128"/>
      <c r="L411" s="128"/>
    </row>
    <row r="412" spans="9:12">
      <c r="I412" s="127"/>
      <c r="J412" s="129"/>
      <c r="K412" s="128"/>
      <c r="L412" s="128"/>
    </row>
    <row r="413" spans="9:12">
      <c r="I413" s="127"/>
      <c r="J413" s="129"/>
      <c r="K413" s="128"/>
      <c r="L413" s="128"/>
    </row>
    <row r="414" spans="9:12">
      <c r="I414" s="127"/>
      <c r="J414" s="129"/>
      <c r="K414" s="128"/>
      <c r="L414" s="128"/>
    </row>
    <row r="415" spans="9:12">
      <c r="I415" s="127"/>
      <c r="J415" s="129"/>
      <c r="K415" s="128"/>
      <c r="L415" s="128"/>
    </row>
    <row r="416" spans="9:12">
      <c r="I416" s="127"/>
      <c r="J416" s="129"/>
      <c r="K416" s="128"/>
      <c r="L416" s="128"/>
    </row>
    <row r="417" spans="9:12">
      <c r="I417" s="127"/>
      <c r="J417" s="129"/>
      <c r="K417" s="128"/>
      <c r="L417" s="128"/>
    </row>
    <row r="418" spans="9:12">
      <c r="I418" s="127"/>
      <c r="J418" s="129"/>
      <c r="K418" s="128"/>
      <c r="L418" s="128"/>
    </row>
    <row r="419" spans="9:12">
      <c r="I419" s="127"/>
      <c r="J419" s="129"/>
      <c r="K419" s="128"/>
      <c r="L419" s="128"/>
    </row>
    <row r="420" spans="9:12">
      <c r="I420" s="127"/>
      <c r="J420" s="129"/>
      <c r="K420" s="128"/>
      <c r="L420" s="128"/>
    </row>
    <row r="421" spans="9:12">
      <c r="I421" s="127"/>
      <c r="J421" s="129"/>
      <c r="K421" s="128"/>
      <c r="L421" s="128"/>
    </row>
    <row r="422" spans="9:12">
      <c r="I422" s="127"/>
      <c r="J422" s="129"/>
      <c r="K422" s="128"/>
      <c r="L422" s="128"/>
    </row>
    <row r="423" spans="9:12">
      <c r="I423" s="127"/>
      <c r="J423" s="129"/>
      <c r="K423" s="128"/>
      <c r="L423" s="128"/>
    </row>
    <row r="424" spans="9:12">
      <c r="I424" s="127"/>
      <c r="J424" s="129"/>
      <c r="K424" s="128"/>
      <c r="L424" s="128"/>
    </row>
    <row r="425" spans="9:12">
      <c r="I425" s="127"/>
      <c r="J425" s="129"/>
      <c r="K425" s="128"/>
      <c r="L425" s="128"/>
    </row>
    <row r="426" spans="9:12">
      <c r="I426" s="127"/>
      <c r="J426" s="129"/>
      <c r="K426" s="128"/>
      <c r="L426" s="128"/>
    </row>
    <row r="427" spans="9:12">
      <c r="I427" s="127"/>
      <c r="J427" s="129"/>
      <c r="K427" s="128"/>
      <c r="L427" s="128"/>
    </row>
    <row r="428" spans="9:12">
      <c r="I428" s="127"/>
      <c r="J428" s="129"/>
      <c r="K428" s="128"/>
      <c r="L428" s="128"/>
    </row>
    <row r="429" spans="9:12">
      <c r="I429" s="127"/>
      <c r="J429" s="129"/>
      <c r="K429" s="128"/>
      <c r="L429" s="128"/>
    </row>
    <row r="430" spans="9:12">
      <c r="I430" s="127"/>
      <c r="J430" s="129"/>
      <c r="K430" s="128"/>
      <c r="L430" s="128"/>
    </row>
    <row r="431" spans="9:12">
      <c r="I431" s="127"/>
      <c r="J431" s="129"/>
      <c r="K431" s="128"/>
      <c r="L431" s="128"/>
    </row>
    <row r="432" spans="9:12">
      <c r="I432" s="127"/>
      <c r="J432" s="129"/>
      <c r="K432" s="128"/>
      <c r="L432" s="128"/>
    </row>
    <row r="433" spans="9:12">
      <c r="I433" s="127"/>
      <c r="J433" s="129"/>
      <c r="K433" s="128"/>
      <c r="L433" s="128"/>
    </row>
    <row r="434" spans="9:12">
      <c r="I434" s="127"/>
      <c r="J434" s="129"/>
      <c r="K434" s="128"/>
      <c r="L434" s="128"/>
    </row>
    <row r="435" spans="9:12">
      <c r="I435" s="127"/>
      <c r="J435" s="129"/>
      <c r="K435" s="128"/>
      <c r="L435" s="128"/>
    </row>
    <row r="436" spans="9:12">
      <c r="I436" s="127"/>
      <c r="J436" s="129"/>
      <c r="K436" s="128"/>
      <c r="L436" s="128"/>
    </row>
    <row r="437" spans="9:12">
      <c r="I437" s="127"/>
      <c r="J437" s="129"/>
      <c r="K437" s="128"/>
      <c r="L437" s="128"/>
    </row>
    <row r="438" spans="9:12">
      <c r="I438" s="127"/>
      <c r="J438" s="129"/>
      <c r="K438" s="128"/>
      <c r="L438" s="128"/>
    </row>
    <row r="439" spans="9:12">
      <c r="I439" s="127"/>
      <c r="J439" s="129"/>
      <c r="K439" s="128"/>
      <c r="L439" s="128"/>
    </row>
    <row r="440" spans="9:12">
      <c r="I440" s="127"/>
      <c r="J440" s="129"/>
      <c r="K440" s="128"/>
      <c r="L440" s="128"/>
    </row>
    <row r="441" spans="9:12">
      <c r="I441" s="127"/>
      <c r="J441" s="129"/>
      <c r="K441" s="128"/>
      <c r="L441" s="128"/>
    </row>
    <row r="442" spans="9:12">
      <c r="I442" s="127"/>
      <c r="J442" s="129"/>
      <c r="K442" s="128"/>
      <c r="L442" s="128"/>
    </row>
    <row r="443" spans="9:12">
      <c r="I443" s="127"/>
      <c r="J443" s="129"/>
      <c r="K443" s="128"/>
      <c r="L443" s="128"/>
    </row>
    <row r="444" spans="9:12">
      <c r="I444" s="127"/>
      <c r="J444" s="129"/>
      <c r="K444" s="128"/>
      <c r="L444" s="128"/>
    </row>
    <row r="445" spans="9:12">
      <c r="I445" s="127"/>
      <c r="J445" s="129"/>
      <c r="K445" s="128"/>
      <c r="L445" s="128"/>
    </row>
    <row r="446" spans="9:12">
      <c r="I446" s="127"/>
      <c r="J446" s="129"/>
      <c r="K446" s="128"/>
      <c r="L446" s="128"/>
    </row>
    <row r="447" spans="9:12">
      <c r="I447" s="127"/>
      <c r="J447" s="129"/>
      <c r="K447" s="128"/>
      <c r="L447" s="128"/>
    </row>
    <row r="448" spans="9:12">
      <c r="I448" s="127"/>
      <c r="J448" s="129"/>
      <c r="K448" s="128"/>
      <c r="L448" s="128"/>
    </row>
    <row r="449" spans="9:12">
      <c r="I449" s="127"/>
      <c r="J449" s="129"/>
      <c r="K449" s="128"/>
      <c r="L449" s="128"/>
    </row>
    <row r="450" spans="9:12">
      <c r="I450" s="127"/>
      <c r="J450" s="129"/>
      <c r="K450" s="128"/>
      <c r="L450" s="128"/>
    </row>
    <row r="451" spans="9:12">
      <c r="I451" s="127"/>
      <c r="J451" s="129"/>
      <c r="K451" s="128"/>
      <c r="L451" s="128"/>
    </row>
    <row r="452" spans="9:12">
      <c r="I452" s="127"/>
      <c r="J452" s="129"/>
      <c r="K452" s="128"/>
      <c r="L452" s="128"/>
    </row>
    <row r="453" spans="9:12">
      <c r="I453" s="127"/>
      <c r="J453" s="129"/>
      <c r="K453" s="128"/>
      <c r="L453" s="128"/>
    </row>
    <row r="454" spans="9:12">
      <c r="I454" s="127"/>
      <c r="J454" s="129"/>
      <c r="K454" s="128"/>
      <c r="L454" s="128"/>
    </row>
    <row r="455" spans="9:12">
      <c r="I455" s="127"/>
      <c r="J455" s="129"/>
      <c r="K455" s="128"/>
      <c r="L455" s="128"/>
    </row>
    <row r="456" spans="9:12">
      <c r="I456" s="127"/>
      <c r="J456" s="129"/>
      <c r="K456" s="128"/>
      <c r="L456" s="128"/>
    </row>
    <row r="457" spans="9:12">
      <c r="I457" s="127"/>
      <c r="J457" s="129"/>
      <c r="K457" s="128"/>
      <c r="L457" s="128"/>
    </row>
    <row r="458" spans="9:12">
      <c r="I458" s="127"/>
      <c r="J458" s="129"/>
      <c r="K458" s="128"/>
      <c r="L458" s="128"/>
    </row>
    <row r="459" spans="9:12">
      <c r="I459" s="127"/>
      <c r="J459" s="129"/>
      <c r="K459" s="128"/>
      <c r="L459" s="128"/>
    </row>
    <row r="460" spans="9:12">
      <c r="I460" s="127"/>
      <c r="J460" s="129"/>
      <c r="K460" s="128"/>
      <c r="L460" s="128"/>
    </row>
    <row r="461" spans="9:12">
      <c r="I461" s="127"/>
      <c r="J461" s="129"/>
      <c r="K461" s="128"/>
      <c r="L461" s="128"/>
    </row>
    <row r="462" spans="9:12">
      <c r="I462" s="127"/>
      <c r="J462" s="129"/>
      <c r="K462" s="128"/>
      <c r="L462" s="128"/>
    </row>
    <row r="463" spans="9:12">
      <c r="I463" s="127"/>
      <c r="J463" s="129"/>
      <c r="K463" s="128"/>
      <c r="L463" s="128"/>
    </row>
    <row r="464" spans="9:12">
      <c r="I464" s="127"/>
      <c r="J464" s="129"/>
      <c r="K464" s="128"/>
      <c r="L464" s="128"/>
    </row>
    <row r="465" spans="9:12">
      <c r="I465" s="127"/>
      <c r="J465" s="129"/>
      <c r="K465" s="128"/>
      <c r="L465" s="128"/>
    </row>
    <row r="466" spans="9:12">
      <c r="I466" s="127"/>
      <c r="J466" s="129"/>
      <c r="K466" s="128"/>
      <c r="L466" s="128"/>
    </row>
    <row r="467" spans="9:12">
      <c r="I467" s="127"/>
      <c r="J467" s="129"/>
      <c r="K467" s="128"/>
      <c r="L467" s="128"/>
    </row>
    <row r="468" spans="9:12">
      <c r="I468" s="127"/>
      <c r="J468" s="129"/>
      <c r="K468" s="128"/>
      <c r="L468" s="128"/>
    </row>
    <row r="469" spans="9:12">
      <c r="I469" s="127"/>
      <c r="J469" s="129"/>
      <c r="K469" s="128"/>
      <c r="L469" s="128"/>
    </row>
    <row r="470" spans="9:12">
      <c r="I470" s="127"/>
      <c r="J470" s="129"/>
      <c r="K470" s="128"/>
      <c r="L470" s="128"/>
    </row>
    <row r="471" spans="9:12">
      <c r="I471" s="127"/>
      <c r="J471" s="129"/>
      <c r="K471" s="128"/>
      <c r="L471" s="128"/>
    </row>
    <row r="472" spans="9:12">
      <c r="I472" s="127"/>
      <c r="J472" s="129"/>
      <c r="K472" s="128"/>
      <c r="L472" s="128"/>
    </row>
    <row r="473" spans="9:12">
      <c r="I473" s="127"/>
      <c r="J473" s="129"/>
      <c r="K473" s="128"/>
      <c r="L473" s="128"/>
    </row>
    <row r="474" spans="9:12">
      <c r="I474" s="127"/>
      <c r="J474" s="129"/>
      <c r="K474" s="128"/>
      <c r="L474" s="128"/>
    </row>
    <row r="475" spans="9:12">
      <c r="I475" s="127"/>
      <c r="J475" s="129"/>
      <c r="K475" s="128"/>
      <c r="L475" s="128"/>
    </row>
    <row r="476" spans="9:12">
      <c r="I476" s="127"/>
      <c r="J476" s="129"/>
      <c r="K476" s="128"/>
      <c r="L476" s="128"/>
    </row>
    <row r="477" spans="9:12">
      <c r="I477" s="127"/>
      <c r="J477" s="129"/>
      <c r="K477" s="128"/>
      <c r="L477" s="128"/>
    </row>
    <row r="478" spans="9:12">
      <c r="I478" s="127"/>
      <c r="J478" s="129"/>
      <c r="K478" s="128"/>
      <c r="L478" s="128"/>
    </row>
    <row r="479" spans="9:12">
      <c r="I479" s="127"/>
      <c r="J479" s="129"/>
      <c r="K479" s="128"/>
      <c r="L479" s="128"/>
    </row>
    <row r="480" spans="9:12">
      <c r="I480" s="127"/>
      <c r="J480" s="129"/>
      <c r="K480" s="128"/>
      <c r="L480" s="128"/>
    </row>
    <row r="481" spans="9:12">
      <c r="I481" s="127"/>
      <c r="J481" s="129"/>
      <c r="K481" s="128"/>
      <c r="L481" s="128"/>
    </row>
    <row r="482" spans="9:12">
      <c r="I482" s="127"/>
      <c r="J482" s="129"/>
      <c r="K482" s="128"/>
      <c r="L482" s="128"/>
    </row>
    <row r="483" spans="9:12">
      <c r="I483" s="127"/>
      <c r="J483" s="129"/>
      <c r="K483" s="128"/>
      <c r="L483" s="128"/>
    </row>
    <row r="484" spans="9:12">
      <c r="I484" s="127"/>
      <c r="J484" s="129"/>
      <c r="K484" s="128"/>
      <c r="L484" s="128"/>
    </row>
    <row r="485" spans="9:12">
      <c r="I485" s="127"/>
      <c r="J485" s="129"/>
      <c r="K485" s="128"/>
      <c r="L485" s="128"/>
    </row>
    <row r="486" spans="9:12">
      <c r="I486" s="127"/>
      <c r="J486" s="129"/>
      <c r="K486" s="128"/>
      <c r="L486" s="128"/>
    </row>
    <row r="487" spans="9:12">
      <c r="I487" s="127"/>
      <c r="J487" s="129"/>
      <c r="K487" s="128"/>
      <c r="L487" s="128"/>
    </row>
    <row r="488" spans="9:12">
      <c r="I488" s="127"/>
      <c r="J488" s="129"/>
      <c r="K488" s="128"/>
      <c r="L488" s="128"/>
    </row>
    <row r="489" spans="9:12">
      <c r="I489" s="127"/>
      <c r="J489" s="129"/>
      <c r="K489" s="128"/>
      <c r="L489" s="128"/>
    </row>
    <row r="490" spans="9:12">
      <c r="I490" s="127"/>
      <c r="J490" s="129"/>
      <c r="K490" s="128"/>
      <c r="L490" s="128"/>
    </row>
    <row r="491" spans="9:12">
      <c r="I491" s="127"/>
      <c r="J491" s="129"/>
      <c r="K491" s="128"/>
      <c r="L491" s="128"/>
    </row>
    <row r="492" spans="9:12">
      <c r="I492" s="127"/>
      <c r="J492" s="129"/>
      <c r="K492" s="128"/>
      <c r="L492" s="128"/>
    </row>
    <row r="493" spans="9:12">
      <c r="I493" s="127"/>
      <c r="J493" s="129"/>
      <c r="K493" s="128"/>
      <c r="L493" s="128"/>
    </row>
    <row r="494" spans="9:12">
      <c r="I494" s="127"/>
      <c r="J494" s="129"/>
      <c r="K494" s="128"/>
      <c r="L494" s="128"/>
    </row>
    <row r="495" spans="9:12">
      <c r="I495" s="127"/>
      <c r="J495" s="129"/>
      <c r="K495" s="128"/>
      <c r="L495" s="128"/>
    </row>
    <row r="496" spans="9:12">
      <c r="I496" s="127"/>
      <c r="J496" s="129"/>
      <c r="K496" s="128"/>
      <c r="L496" s="128"/>
    </row>
    <row r="497" spans="9:12">
      <c r="I497" s="127"/>
      <c r="J497" s="129"/>
      <c r="K497" s="128"/>
      <c r="L497" s="128"/>
    </row>
    <row r="498" spans="9:12">
      <c r="I498" s="127"/>
      <c r="J498" s="129"/>
      <c r="K498" s="128"/>
      <c r="L498" s="128"/>
    </row>
    <row r="499" spans="9:12">
      <c r="I499" s="127"/>
      <c r="J499" s="129"/>
      <c r="K499" s="128"/>
      <c r="L499" s="128"/>
    </row>
    <row r="500" spans="9:12">
      <c r="I500" s="127"/>
      <c r="J500" s="129"/>
      <c r="K500" s="128"/>
      <c r="L500" s="128"/>
    </row>
    <row r="501" spans="9:12">
      <c r="I501" s="127"/>
      <c r="J501" s="129"/>
      <c r="K501" s="128"/>
      <c r="L501" s="128"/>
    </row>
    <row r="502" spans="9:12">
      <c r="I502" s="127"/>
      <c r="J502" s="129"/>
      <c r="K502" s="128"/>
      <c r="L502" s="128"/>
    </row>
    <row r="503" spans="9:12">
      <c r="I503" s="127"/>
      <c r="J503" s="129"/>
      <c r="K503" s="128"/>
      <c r="L503" s="128"/>
    </row>
    <row r="504" spans="9:12">
      <c r="I504" s="127"/>
      <c r="J504" s="129"/>
      <c r="K504" s="128"/>
      <c r="L504" s="128"/>
    </row>
    <row r="505" spans="9:12">
      <c r="I505" s="127"/>
      <c r="J505" s="129"/>
      <c r="K505" s="128"/>
      <c r="L505" s="128"/>
    </row>
    <row r="506" spans="9:12">
      <c r="I506" s="127"/>
      <c r="J506" s="129"/>
      <c r="K506" s="128"/>
      <c r="L506" s="128"/>
    </row>
    <row r="507" spans="9:12">
      <c r="I507" s="127"/>
      <c r="J507" s="129"/>
      <c r="K507" s="128"/>
      <c r="L507" s="128"/>
    </row>
    <row r="508" spans="9:12">
      <c r="I508" s="127"/>
      <c r="J508" s="129"/>
      <c r="K508" s="128"/>
      <c r="L508" s="128"/>
    </row>
    <row r="509" spans="9:12">
      <c r="I509" s="127"/>
      <c r="J509" s="129"/>
      <c r="K509" s="128"/>
      <c r="L509" s="128"/>
    </row>
    <row r="510" spans="9:12">
      <c r="I510" s="127"/>
      <c r="J510" s="129"/>
      <c r="K510" s="128"/>
      <c r="L510" s="128"/>
    </row>
    <row r="511" spans="9:12">
      <c r="I511" s="127"/>
      <c r="J511" s="129"/>
      <c r="K511" s="128"/>
      <c r="L511" s="128"/>
    </row>
    <row r="512" spans="9:12">
      <c r="I512" s="127"/>
      <c r="J512" s="129"/>
      <c r="K512" s="128"/>
      <c r="L512" s="128"/>
    </row>
    <row r="513" spans="9:12">
      <c r="I513" s="127"/>
      <c r="J513" s="129"/>
      <c r="K513" s="128"/>
      <c r="L513" s="128"/>
    </row>
    <row r="514" spans="9:12">
      <c r="I514" s="127"/>
      <c r="J514" s="129"/>
      <c r="K514" s="128"/>
      <c r="L514" s="128"/>
    </row>
    <row r="515" spans="9:12">
      <c r="I515" s="127"/>
      <c r="J515" s="129"/>
      <c r="K515" s="128"/>
      <c r="L515" s="128"/>
    </row>
    <row r="516" spans="9:12">
      <c r="I516" s="127"/>
      <c r="J516" s="129"/>
      <c r="K516" s="128"/>
      <c r="L516" s="128"/>
    </row>
    <row r="517" spans="9:12">
      <c r="I517" s="127"/>
      <c r="J517" s="129"/>
      <c r="K517" s="128"/>
      <c r="L517" s="128"/>
    </row>
    <row r="518" spans="9:12">
      <c r="I518" s="127"/>
      <c r="J518" s="129"/>
      <c r="K518" s="128"/>
      <c r="L518" s="128"/>
    </row>
    <row r="519" spans="9:12">
      <c r="I519" s="127"/>
      <c r="J519" s="129"/>
      <c r="K519" s="128"/>
      <c r="L519" s="128"/>
    </row>
    <row r="520" spans="9:12">
      <c r="I520" s="127"/>
      <c r="J520" s="129"/>
      <c r="K520" s="128"/>
      <c r="L520" s="128"/>
    </row>
    <row r="521" spans="9:12">
      <c r="I521" s="127"/>
      <c r="J521" s="129"/>
      <c r="K521" s="128"/>
      <c r="L521" s="128"/>
    </row>
    <row r="522" spans="9:12">
      <c r="I522" s="127"/>
      <c r="J522" s="129"/>
      <c r="K522" s="128"/>
      <c r="L522" s="128"/>
    </row>
    <row r="523" spans="9:12">
      <c r="I523" s="127"/>
      <c r="J523" s="129"/>
      <c r="K523" s="128"/>
      <c r="L523" s="128"/>
    </row>
    <row r="524" spans="9:12">
      <c r="I524" s="127"/>
      <c r="J524" s="129"/>
      <c r="K524" s="128"/>
      <c r="L524" s="128"/>
    </row>
    <row r="525" spans="9:12">
      <c r="I525" s="127"/>
      <c r="J525" s="129"/>
      <c r="K525" s="128"/>
      <c r="L525" s="128"/>
    </row>
    <row r="526" spans="9:12">
      <c r="I526" s="127"/>
      <c r="J526" s="129"/>
      <c r="K526" s="128"/>
      <c r="L526" s="128"/>
    </row>
    <row r="527" spans="9:12">
      <c r="I527" s="127"/>
      <c r="J527" s="129"/>
      <c r="K527" s="128"/>
      <c r="L527" s="128"/>
    </row>
    <row r="528" spans="9:12">
      <c r="I528" s="127"/>
      <c r="J528" s="129"/>
      <c r="K528" s="128"/>
      <c r="L528" s="128"/>
    </row>
    <row r="529" spans="9:12">
      <c r="I529" s="127"/>
      <c r="J529" s="129"/>
      <c r="K529" s="128"/>
      <c r="L529" s="128"/>
    </row>
    <row r="530" spans="9:12">
      <c r="I530" s="127"/>
      <c r="J530" s="129"/>
      <c r="K530" s="128"/>
      <c r="L530" s="128"/>
    </row>
    <row r="531" spans="9:12">
      <c r="I531" s="127"/>
      <c r="J531" s="129"/>
      <c r="K531" s="128"/>
      <c r="L531" s="128"/>
    </row>
    <row r="532" spans="9:12">
      <c r="I532" s="127"/>
      <c r="J532" s="129"/>
      <c r="K532" s="128"/>
      <c r="L532" s="128"/>
    </row>
    <row r="533" spans="9:12">
      <c r="I533" s="127"/>
      <c r="J533" s="129"/>
      <c r="K533" s="128"/>
      <c r="L533" s="128"/>
    </row>
    <row r="534" spans="9:12">
      <c r="I534" s="127"/>
      <c r="J534" s="129"/>
      <c r="K534" s="128"/>
      <c r="L534" s="128"/>
    </row>
    <row r="535" spans="9:12">
      <c r="I535" s="127"/>
      <c r="J535" s="129"/>
      <c r="K535" s="128"/>
      <c r="L535" s="128"/>
    </row>
    <row r="536" spans="9:12">
      <c r="I536" s="127"/>
      <c r="J536" s="129"/>
      <c r="K536" s="128"/>
      <c r="L536" s="128"/>
    </row>
    <row r="537" spans="9:12">
      <c r="I537" s="127"/>
      <c r="J537" s="129"/>
      <c r="K537" s="128"/>
      <c r="L537" s="128"/>
    </row>
    <row r="538" spans="9:12">
      <c r="I538" s="127"/>
      <c r="J538" s="129"/>
      <c r="K538" s="128"/>
      <c r="L538" s="128"/>
    </row>
    <row r="539" spans="9:12">
      <c r="I539" s="127"/>
      <c r="J539" s="129"/>
      <c r="K539" s="128"/>
      <c r="L539" s="128"/>
    </row>
    <row r="540" spans="9:12">
      <c r="I540" s="127"/>
      <c r="J540" s="129"/>
      <c r="K540" s="128"/>
      <c r="L540" s="128"/>
    </row>
    <row r="541" spans="9:12">
      <c r="I541" s="127"/>
      <c r="J541" s="129"/>
      <c r="K541" s="128"/>
      <c r="L541" s="128"/>
    </row>
    <row r="542" spans="9:12">
      <c r="I542" s="127"/>
      <c r="J542" s="129"/>
      <c r="K542" s="128"/>
      <c r="L542" s="128"/>
    </row>
    <row r="543" spans="9:12">
      <c r="I543" s="127"/>
      <c r="J543" s="129"/>
      <c r="K543" s="128"/>
      <c r="L543" s="128"/>
    </row>
    <row r="544" spans="9:12">
      <c r="I544" s="127"/>
      <c r="J544" s="129"/>
      <c r="K544" s="128"/>
      <c r="L544" s="128"/>
    </row>
    <row r="545" spans="9:12">
      <c r="I545" s="127"/>
      <c r="J545" s="129"/>
      <c r="K545" s="128"/>
      <c r="L545" s="128"/>
    </row>
    <row r="546" spans="9:12">
      <c r="I546" s="127"/>
      <c r="J546" s="129"/>
      <c r="K546" s="128"/>
      <c r="L546" s="128"/>
    </row>
    <row r="547" spans="9:12">
      <c r="I547" s="127"/>
      <c r="J547" s="129"/>
      <c r="K547" s="128"/>
      <c r="L547" s="128"/>
    </row>
    <row r="548" spans="9:12">
      <c r="I548" s="127"/>
      <c r="J548" s="129"/>
      <c r="K548" s="128"/>
      <c r="L548" s="128"/>
    </row>
    <row r="549" spans="9:12">
      <c r="I549" s="127"/>
      <c r="J549" s="129"/>
      <c r="K549" s="128"/>
      <c r="L549" s="128"/>
    </row>
    <row r="550" spans="9:12">
      <c r="I550" s="127"/>
      <c r="J550" s="129"/>
      <c r="K550" s="128"/>
      <c r="L550" s="128"/>
    </row>
    <row r="551" spans="9:12">
      <c r="I551" s="127"/>
      <c r="J551" s="129"/>
      <c r="K551" s="128"/>
      <c r="L551" s="128"/>
    </row>
    <row r="552" spans="9:12">
      <c r="I552" s="127"/>
      <c r="J552" s="129"/>
      <c r="K552" s="128"/>
      <c r="L552" s="128"/>
    </row>
    <row r="553" spans="9:12">
      <c r="I553" s="127"/>
      <c r="J553" s="129"/>
      <c r="K553" s="128"/>
      <c r="L553" s="128"/>
    </row>
    <row r="554" spans="9:12">
      <c r="I554" s="127"/>
      <c r="J554" s="129"/>
      <c r="K554" s="128"/>
      <c r="L554" s="128"/>
    </row>
    <row r="555" spans="9:12">
      <c r="I555" s="127"/>
      <c r="J555" s="129"/>
      <c r="K555" s="128"/>
      <c r="L555" s="128"/>
    </row>
    <row r="556" spans="9:12">
      <c r="I556" s="127"/>
      <c r="J556" s="129"/>
      <c r="K556" s="128"/>
      <c r="L556" s="128"/>
    </row>
    <row r="557" spans="9:12">
      <c r="I557" s="127"/>
      <c r="J557" s="129"/>
      <c r="K557" s="128"/>
      <c r="L557" s="128"/>
    </row>
    <row r="558" spans="9:12">
      <c r="I558" s="127"/>
      <c r="J558" s="129"/>
      <c r="K558" s="128"/>
      <c r="L558" s="128"/>
    </row>
    <row r="559" spans="9:12">
      <c r="I559" s="127"/>
      <c r="J559" s="129"/>
      <c r="K559" s="128"/>
      <c r="L559" s="128"/>
    </row>
    <row r="560" spans="9:12">
      <c r="I560" s="127"/>
      <c r="J560" s="129"/>
      <c r="K560" s="128"/>
      <c r="L560" s="128"/>
    </row>
    <row r="561" spans="9:12">
      <c r="I561" s="127"/>
      <c r="J561" s="129"/>
      <c r="K561" s="128"/>
      <c r="L561" s="128"/>
    </row>
    <row r="562" spans="9:12">
      <c r="I562" s="127"/>
      <c r="J562" s="129"/>
      <c r="K562" s="128"/>
      <c r="L562" s="128"/>
    </row>
    <row r="563" spans="9:12">
      <c r="I563" s="127"/>
      <c r="J563" s="129"/>
      <c r="K563" s="128"/>
      <c r="L563" s="128"/>
    </row>
    <row r="564" spans="9:12">
      <c r="I564" s="127"/>
      <c r="J564" s="129"/>
      <c r="K564" s="128"/>
      <c r="L564" s="128"/>
    </row>
    <row r="565" spans="9:12">
      <c r="I565" s="127"/>
      <c r="J565" s="129"/>
      <c r="K565" s="128"/>
      <c r="L565" s="128"/>
    </row>
    <row r="566" spans="9:12">
      <c r="I566" s="127"/>
      <c r="J566" s="129"/>
      <c r="K566" s="128"/>
      <c r="L566" s="128"/>
    </row>
    <row r="567" spans="9:12">
      <c r="I567" s="127"/>
      <c r="J567" s="129"/>
      <c r="K567" s="128"/>
      <c r="L567" s="128"/>
    </row>
    <row r="568" spans="9:12">
      <c r="I568" s="127"/>
      <c r="J568" s="129"/>
      <c r="K568" s="128"/>
      <c r="L568" s="128"/>
    </row>
    <row r="569" spans="9:12">
      <c r="I569" s="127"/>
      <c r="J569" s="129"/>
      <c r="K569" s="128"/>
      <c r="L569" s="128"/>
    </row>
  </sheetData>
  <mergeCells count="6">
    <mergeCell ref="O10:R10"/>
    <mergeCell ref="P15:Q15"/>
    <mergeCell ref="C1:D1"/>
    <mergeCell ref="F1:G1"/>
    <mergeCell ref="I1:L1"/>
    <mergeCell ref="O1:T1"/>
  </mergeCells>
  <conditionalFormatting sqref="C3:C8 C10:C30 C35:C81">
    <cfRule type="expression" dxfId="227" priority="169" stopIfTrue="1">
      <formula>AND(D3&gt;=100,D3&lt;=199)</formula>
    </cfRule>
    <cfRule type="expression" dxfId="226" priority="170" stopIfTrue="1">
      <formula>AND(D3&gt;=200,D3&lt;=299)</formula>
    </cfRule>
    <cfRule type="expression" dxfId="225" priority="171" stopIfTrue="1">
      <formula>AND(D3&gt;=300,D3&lt;=399)</formula>
    </cfRule>
    <cfRule type="expression" dxfId="224" priority="172" stopIfTrue="1">
      <formula>AND(D3&gt;=900,D3&lt;=999)</formula>
    </cfRule>
    <cfRule type="expression" dxfId="223" priority="173" stopIfTrue="1">
      <formula>AND(D3&gt;=400,D3&lt;=499)</formula>
    </cfRule>
    <cfRule type="expression" dxfId="222" priority="174" stopIfTrue="1">
      <formula>AND(D3&gt;=1000,D3&lt;=1999)</formula>
    </cfRule>
  </conditionalFormatting>
  <conditionalFormatting sqref="C9">
    <cfRule type="expression" dxfId="221" priority="163" stopIfTrue="1">
      <formula>AND(D9&gt;=100,D9&lt;=199)</formula>
    </cfRule>
    <cfRule type="expression" dxfId="220" priority="164" stopIfTrue="1">
      <formula>AND(D9&gt;=200,D9&lt;=299)</formula>
    </cfRule>
    <cfRule type="expression" dxfId="219" priority="165" stopIfTrue="1">
      <formula>AND(D9&gt;=300,D9&lt;=399)</formula>
    </cfRule>
    <cfRule type="expression" dxfId="218" priority="166" stopIfTrue="1">
      <formula>AND(D9&gt;=900,D9&lt;=999)</formula>
    </cfRule>
    <cfRule type="expression" dxfId="217" priority="167" stopIfTrue="1">
      <formula>AND(D9&gt;=400,D9&lt;=499)</formula>
    </cfRule>
    <cfRule type="expression" dxfId="216" priority="168" stopIfTrue="1">
      <formula>AND(D9&gt;=1000,D9&lt;=1999)</formula>
    </cfRule>
  </conditionalFormatting>
  <conditionalFormatting sqref="F3:F8 F13:F17 F19:F69 F153:F199 F74:F84 F86:F151">
    <cfRule type="expression" dxfId="215" priority="157" stopIfTrue="1">
      <formula>AND(G3&gt;=100,G3&lt;=199)</formula>
    </cfRule>
    <cfRule type="expression" dxfId="214" priority="158" stopIfTrue="1">
      <formula>AND(G3&gt;=200,G3&lt;=299)</formula>
    </cfRule>
    <cfRule type="expression" dxfId="213" priority="159" stopIfTrue="1">
      <formula>AND(G3&gt;=300,G3&lt;=399)</formula>
    </cfRule>
    <cfRule type="expression" dxfId="212" priority="160" stopIfTrue="1">
      <formula>AND(G3&gt;=900,G3&lt;=999)</formula>
    </cfRule>
    <cfRule type="expression" dxfId="211" priority="161" stopIfTrue="1">
      <formula>AND(G3&gt;=400,G3&lt;=499)</formula>
    </cfRule>
    <cfRule type="expression" dxfId="210" priority="162" stopIfTrue="1">
      <formula>AND(G3&gt;=1000,G3&lt;=1999)</formula>
    </cfRule>
  </conditionalFormatting>
  <conditionalFormatting sqref="F70:F73">
    <cfRule type="expression" dxfId="209" priority="151" stopIfTrue="1">
      <formula>AND(G70&gt;=100,G70&lt;=199)</formula>
    </cfRule>
    <cfRule type="expression" dxfId="208" priority="152" stopIfTrue="1">
      <formula>AND(G70&gt;=200,G70&lt;=299)</formula>
    </cfRule>
    <cfRule type="expression" dxfId="207" priority="153" stopIfTrue="1">
      <formula>AND(G70&gt;=300,G70&lt;=399)</formula>
    </cfRule>
    <cfRule type="expression" dxfId="206" priority="154" stopIfTrue="1">
      <formula>AND(G70&gt;=900,G70&lt;=999)</formula>
    </cfRule>
    <cfRule type="expression" dxfId="205" priority="155" stopIfTrue="1">
      <formula>AND(G70&gt;=400,G70&lt;=499)</formula>
    </cfRule>
    <cfRule type="expression" dxfId="204" priority="156" stopIfTrue="1">
      <formula>AND(G70&gt;=1000,G70&lt;=1999)</formula>
    </cfRule>
  </conditionalFormatting>
  <conditionalFormatting sqref="F9 F11:F12">
    <cfRule type="expression" dxfId="203" priority="145" stopIfTrue="1">
      <formula>AND(G9&gt;=100,G9&lt;=199)</formula>
    </cfRule>
    <cfRule type="expression" dxfId="202" priority="146" stopIfTrue="1">
      <formula>AND(G9&gt;=200,G9&lt;=299)</formula>
    </cfRule>
    <cfRule type="expression" dxfId="201" priority="147" stopIfTrue="1">
      <formula>AND(G9&gt;=300,G9&lt;=399)</formula>
    </cfRule>
    <cfRule type="expression" dxfId="200" priority="148" stopIfTrue="1">
      <formula>AND(G9&gt;=900,G9&lt;=999)</formula>
    </cfRule>
    <cfRule type="expression" dxfId="199" priority="149" stopIfTrue="1">
      <formula>AND(G9&gt;=400,G9&lt;=499)</formula>
    </cfRule>
    <cfRule type="expression" dxfId="198" priority="150" stopIfTrue="1">
      <formula>AND(G9&gt;=1000,G9&lt;=1999)</formula>
    </cfRule>
  </conditionalFormatting>
  <conditionalFormatting sqref="F18">
    <cfRule type="expression" dxfId="197" priority="139" stopIfTrue="1">
      <formula>AND(G18&gt;=100,G18&lt;=199)</formula>
    </cfRule>
    <cfRule type="expression" dxfId="196" priority="140" stopIfTrue="1">
      <formula>AND(G18&gt;=200,G18&lt;=299)</formula>
    </cfRule>
    <cfRule type="expression" dxfId="195" priority="141" stopIfTrue="1">
      <formula>AND(G18&gt;=300,G18&lt;=399)</formula>
    </cfRule>
    <cfRule type="expression" dxfId="194" priority="142" stopIfTrue="1">
      <formula>AND(G18&gt;=900,G18&lt;=999)</formula>
    </cfRule>
    <cfRule type="expression" dxfId="193" priority="143" stopIfTrue="1">
      <formula>AND(G18&gt;=400,G18&lt;=499)</formula>
    </cfRule>
    <cfRule type="expression" dxfId="192" priority="144" stopIfTrue="1">
      <formula>AND(G18&gt;=1000,G18&lt;=1999)</formula>
    </cfRule>
  </conditionalFormatting>
  <conditionalFormatting sqref="F152">
    <cfRule type="expression" dxfId="191" priority="133" stopIfTrue="1">
      <formula>AND(G152&gt;=100,G152&lt;=199)</formula>
    </cfRule>
    <cfRule type="expression" dxfId="190" priority="134" stopIfTrue="1">
      <formula>AND(G152&gt;=200,G152&lt;=299)</formula>
    </cfRule>
    <cfRule type="expression" dxfId="189" priority="135" stopIfTrue="1">
      <formula>AND(G152&gt;=300,G152&lt;=399)</formula>
    </cfRule>
    <cfRule type="expression" dxfId="188" priority="136" stopIfTrue="1">
      <formula>AND(G152&gt;=900,G152&lt;=999)</formula>
    </cfRule>
    <cfRule type="expression" dxfId="187" priority="137" stopIfTrue="1">
      <formula>AND(G152&gt;=400,G152&lt;=499)</formula>
    </cfRule>
    <cfRule type="expression" dxfId="186" priority="138" stopIfTrue="1">
      <formula>AND(G152&gt;=1000,G152&lt;=1999)</formula>
    </cfRule>
  </conditionalFormatting>
  <conditionalFormatting sqref="F85">
    <cfRule type="expression" dxfId="185" priority="127" stopIfTrue="1">
      <formula>AND(G85&gt;=100,G85&lt;=199)</formula>
    </cfRule>
    <cfRule type="expression" dxfId="184" priority="128" stopIfTrue="1">
      <formula>AND(G85&gt;=200,G85&lt;=299)</formula>
    </cfRule>
    <cfRule type="expression" dxfId="183" priority="129" stopIfTrue="1">
      <formula>AND(G85&gt;=300,G85&lt;=399)</formula>
    </cfRule>
    <cfRule type="expression" dxfId="182" priority="130" stopIfTrue="1">
      <formula>AND(G85&gt;=900,G85&lt;=999)</formula>
    </cfRule>
    <cfRule type="expression" dxfId="181" priority="131" stopIfTrue="1">
      <formula>AND(G85&gt;=400,G85&lt;=499)</formula>
    </cfRule>
    <cfRule type="expression" dxfId="180" priority="132" stopIfTrue="1">
      <formula>AND(G85&gt;=1000,G85&lt;=1999)</formula>
    </cfRule>
  </conditionalFormatting>
  <conditionalFormatting sqref="I14:I15 I3:I12 I61:I87 I89:I103 I219 I221:I568 I24:I26 I38:I55 I136:I217">
    <cfRule type="expression" dxfId="179" priority="121" stopIfTrue="1">
      <formula>AND(J3&gt;=100,J3&lt;=199)</formula>
    </cfRule>
    <cfRule type="expression" dxfId="178" priority="122" stopIfTrue="1">
      <formula>AND(J3&gt;=200,J3&lt;=299)</formula>
    </cfRule>
    <cfRule type="expression" dxfId="177" priority="123" stopIfTrue="1">
      <formula>AND(J3&gt;=300,J3&lt;=399)</formula>
    </cfRule>
    <cfRule type="expression" dxfId="176" priority="124" stopIfTrue="1">
      <formula>AND(J3&gt;=900,J3&lt;=999)</formula>
    </cfRule>
    <cfRule type="expression" dxfId="175" priority="125" stopIfTrue="1">
      <formula>AND(J3&gt;=400,J3&lt;=499)</formula>
    </cfRule>
    <cfRule type="expression" dxfId="174" priority="126" stopIfTrue="1">
      <formula>AND(J3&gt;=1000,J3&lt;=1999)</formula>
    </cfRule>
  </conditionalFormatting>
  <conditionalFormatting sqref="I569">
    <cfRule type="expression" dxfId="173" priority="115" stopIfTrue="1">
      <formula>AND(J569&gt;=100,J569&lt;=199)</formula>
    </cfRule>
    <cfRule type="expression" dxfId="172" priority="116" stopIfTrue="1">
      <formula>AND(J569&gt;=200,J569&lt;=299)</formula>
    </cfRule>
    <cfRule type="expression" dxfId="171" priority="117" stopIfTrue="1">
      <formula>AND(J569&gt;=300,J569&lt;=399)</formula>
    </cfRule>
    <cfRule type="expression" dxfId="170" priority="118" stopIfTrue="1">
      <formula>AND(J569&gt;=900,J569&lt;=999)</formula>
    </cfRule>
    <cfRule type="expression" dxfId="169" priority="119" stopIfTrue="1">
      <formula>AND(J569&gt;=400,J569&lt;=499)</formula>
    </cfRule>
    <cfRule type="expression" dxfId="168" priority="120" stopIfTrue="1">
      <formula>AND(J569&gt;=1000,J569&lt;=1999)</formula>
    </cfRule>
  </conditionalFormatting>
  <conditionalFormatting sqref="I88">
    <cfRule type="expression" dxfId="167" priority="109" stopIfTrue="1">
      <formula>AND(J88&gt;=100,J88&lt;=199)</formula>
    </cfRule>
    <cfRule type="expression" dxfId="166" priority="110" stopIfTrue="1">
      <formula>AND(J88&gt;=200,J88&lt;=299)</formula>
    </cfRule>
    <cfRule type="expression" dxfId="165" priority="111" stopIfTrue="1">
      <formula>AND(J88&gt;=300,J88&lt;=399)</formula>
    </cfRule>
    <cfRule type="expression" dxfId="164" priority="112" stopIfTrue="1">
      <formula>AND(J88&gt;=900,J88&lt;=999)</formula>
    </cfRule>
    <cfRule type="expression" dxfId="163" priority="113" stopIfTrue="1">
      <formula>AND(J88&gt;=400,J88&lt;=499)</formula>
    </cfRule>
    <cfRule type="expression" dxfId="162" priority="114" stopIfTrue="1">
      <formula>AND(J88&gt;=1000,J88&lt;=1999)</formula>
    </cfRule>
  </conditionalFormatting>
  <conditionalFormatting sqref="I23">
    <cfRule type="expression" dxfId="161" priority="103" stopIfTrue="1">
      <formula>AND(J23&gt;=100,J23&lt;=199)</formula>
    </cfRule>
    <cfRule type="expression" dxfId="160" priority="104" stopIfTrue="1">
      <formula>AND(J23&gt;=200,J23&lt;=299)</formula>
    </cfRule>
    <cfRule type="expression" dxfId="159" priority="105" stopIfTrue="1">
      <formula>AND(J23&gt;=300,J23&lt;=399)</formula>
    </cfRule>
    <cfRule type="expression" dxfId="158" priority="106" stopIfTrue="1">
      <formula>AND(J23&gt;=900,J23&lt;=999)</formula>
    </cfRule>
    <cfRule type="expression" dxfId="157" priority="107" stopIfTrue="1">
      <formula>AND(J23&gt;=400,J23&lt;=499)</formula>
    </cfRule>
    <cfRule type="expression" dxfId="156" priority="108" stopIfTrue="1">
      <formula>AND(J23&gt;=1000,J23&lt;=1999)</formula>
    </cfRule>
  </conditionalFormatting>
  <conditionalFormatting sqref="I22">
    <cfRule type="expression" dxfId="155" priority="97" stopIfTrue="1">
      <formula>AND(J22&gt;=100,J22&lt;=199)</formula>
    </cfRule>
    <cfRule type="expression" dxfId="154" priority="98" stopIfTrue="1">
      <formula>AND(J22&gt;=200,J22&lt;=299)</formula>
    </cfRule>
    <cfRule type="expression" dxfId="153" priority="99" stopIfTrue="1">
      <formula>AND(J22&gt;=300,J22&lt;=399)</formula>
    </cfRule>
    <cfRule type="expression" dxfId="152" priority="100" stopIfTrue="1">
      <formula>AND(J22&gt;=900,J22&lt;=999)</formula>
    </cfRule>
    <cfRule type="expression" dxfId="151" priority="101" stopIfTrue="1">
      <formula>AND(J22&gt;=400,J22&lt;=499)</formula>
    </cfRule>
    <cfRule type="expression" dxfId="150" priority="102" stopIfTrue="1">
      <formula>AND(J22&gt;=1000,J22&lt;=1999)</formula>
    </cfRule>
  </conditionalFormatting>
  <conditionalFormatting sqref="I21">
    <cfRule type="expression" dxfId="149" priority="91" stopIfTrue="1">
      <formula>AND(J21&gt;=100,J21&lt;=199)</formula>
    </cfRule>
    <cfRule type="expression" dxfId="148" priority="92" stopIfTrue="1">
      <formula>AND(J21&gt;=200,J21&lt;=299)</formula>
    </cfRule>
    <cfRule type="expression" dxfId="147" priority="93" stopIfTrue="1">
      <formula>AND(J21&gt;=300,J21&lt;=399)</formula>
    </cfRule>
    <cfRule type="expression" dxfId="146" priority="94" stopIfTrue="1">
      <formula>AND(J21&gt;=900,J21&lt;=999)</formula>
    </cfRule>
    <cfRule type="expression" dxfId="145" priority="95" stopIfTrue="1">
      <formula>AND(J21&gt;=400,J21&lt;=499)</formula>
    </cfRule>
    <cfRule type="expression" dxfId="144" priority="96" stopIfTrue="1">
      <formula>AND(J21&gt;=1000,J21&lt;=1999)</formula>
    </cfRule>
  </conditionalFormatting>
  <conditionalFormatting sqref="I20">
    <cfRule type="expression" dxfId="143" priority="85" stopIfTrue="1">
      <formula>AND(J20&gt;=100,J20&lt;=199)</formula>
    </cfRule>
    <cfRule type="expression" dxfId="142" priority="86" stopIfTrue="1">
      <formula>AND(J20&gt;=200,J20&lt;=299)</formula>
    </cfRule>
    <cfRule type="expression" dxfId="141" priority="87" stopIfTrue="1">
      <formula>AND(J20&gt;=300,J20&lt;=399)</formula>
    </cfRule>
    <cfRule type="expression" dxfId="140" priority="88" stopIfTrue="1">
      <formula>AND(J20&gt;=900,J20&lt;=999)</formula>
    </cfRule>
    <cfRule type="expression" dxfId="139" priority="89" stopIfTrue="1">
      <formula>AND(J20&gt;=400,J20&lt;=499)</formula>
    </cfRule>
    <cfRule type="expression" dxfId="138" priority="90" stopIfTrue="1">
      <formula>AND(J20&gt;=1000,J20&lt;=1999)</formula>
    </cfRule>
  </conditionalFormatting>
  <conditionalFormatting sqref="I19">
    <cfRule type="expression" dxfId="137" priority="79" stopIfTrue="1">
      <formula>AND(J19&gt;=100,J19&lt;=199)</formula>
    </cfRule>
    <cfRule type="expression" dxfId="136" priority="80" stopIfTrue="1">
      <formula>AND(J19&gt;=200,J19&lt;=299)</formula>
    </cfRule>
    <cfRule type="expression" dxfId="135" priority="81" stopIfTrue="1">
      <formula>AND(J19&gt;=300,J19&lt;=399)</formula>
    </cfRule>
    <cfRule type="expression" dxfId="134" priority="82" stopIfTrue="1">
      <formula>AND(J19&gt;=900,J19&lt;=999)</formula>
    </cfRule>
    <cfRule type="expression" dxfId="133" priority="83" stopIfTrue="1">
      <formula>AND(J19&gt;=400,J19&lt;=499)</formula>
    </cfRule>
    <cfRule type="expression" dxfId="132" priority="84" stopIfTrue="1">
      <formula>AND(J19&gt;=1000,J19&lt;=1999)</formula>
    </cfRule>
  </conditionalFormatting>
  <conditionalFormatting sqref="I18">
    <cfRule type="expression" dxfId="131" priority="73" stopIfTrue="1">
      <formula>AND(J18&gt;=100,J18&lt;=199)</formula>
    </cfRule>
    <cfRule type="expression" dxfId="130" priority="74" stopIfTrue="1">
      <formula>AND(J18&gt;=200,J18&lt;=299)</formula>
    </cfRule>
    <cfRule type="expression" dxfId="129" priority="75" stopIfTrue="1">
      <formula>AND(J18&gt;=300,J18&lt;=399)</formula>
    </cfRule>
    <cfRule type="expression" dxfId="128" priority="76" stopIfTrue="1">
      <formula>AND(J18&gt;=900,J18&lt;=999)</formula>
    </cfRule>
    <cfRule type="expression" dxfId="127" priority="77" stopIfTrue="1">
      <formula>AND(J18&gt;=400,J18&lt;=499)</formula>
    </cfRule>
    <cfRule type="expression" dxfId="126" priority="78" stopIfTrue="1">
      <formula>AND(J18&gt;=1000,J18&lt;=1999)</formula>
    </cfRule>
  </conditionalFormatting>
  <conditionalFormatting sqref="I16">
    <cfRule type="expression" dxfId="125" priority="67" stopIfTrue="1">
      <formula>AND(J16&gt;=100,J16&lt;=199)</formula>
    </cfRule>
    <cfRule type="expression" dxfId="124" priority="68" stopIfTrue="1">
      <formula>AND(J16&gt;=200,J16&lt;=299)</formula>
    </cfRule>
    <cfRule type="expression" dxfId="123" priority="69" stopIfTrue="1">
      <formula>AND(J16&gt;=300,J16&lt;=399)</formula>
    </cfRule>
    <cfRule type="expression" dxfId="122" priority="70" stopIfTrue="1">
      <formula>AND(J16&gt;=900,J16&lt;=999)</formula>
    </cfRule>
    <cfRule type="expression" dxfId="121" priority="71" stopIfTrue="1">
      <formula>AND(J16&gt;=400,J16&lt;=499)</formula>
    </cfRule>
    <cfRule type="expression" dxfId="120" priority="72" stopIfTrue="1">
      <formula>AND(J16&gt;=1000,J16&lt;=1999)</formula>
    </cfRule>
  </conditionalFormatting>
  <conditionalFormatting sqref="I17">
    <cfRule type="expression" dxfId="119" priority="61" stopIfTrue="1">
      <formula>AND(J17&gt;=100,J17&lt;=199)</formula>
    </cfRule>
    <cfRule type="expression" dxfId="118" priority="62" stopIfTrue="1">
      <formula>AND(J17&gt;=200,J17&lt;=299)</formula>
    </cfRule>
    <cfRule type="expression" dxfId="117" priority="63" stopIfTrue="1">
      <formula>AND(J17&gt;=300,J17&lt;=399)</formula>
    </cfRule>
    <cfRule type="expression" dxfId="116" priority="64" stopIfTrue="1">
      <formula>AND(J17&gt;=900,J17&lt;=999)</formula>
    </cfRule>
    <cfRule type="expression" dxfId="115" priority="65" stopIfTrue="1">
      <formula>AND(J17&gt;=400,J17&lt;=499)</formula>
    </cfRule>
    <cfRule type="expression" dxfId="114" priority="66" stopIfTrue="1">
      <formula>AND(J17&gt;=1000,J17&lt;=1999)</formula>
    </cfRule>
  </conditionalFormatting>
  <conditionalFormatting sqref="I13">
    <cfRule type="expression" dxfId="113" priority="55" stopIfTrue="1">
      <formula>AND(J13&gt;=100,J13&lt;=199)</formula>
    </cfRule>
    <cfRule type="expression" dxfId="112" priority="56" stopIfTrue="1">
      <formula>AND(J13&gt;=200,J13&lt;=299)</formula>
    </cfRule>
    <cfRule type="expression" dxfId="111" priority="57" stopIfTrue="1">
      <formula>AND(J13&gt;=300,J13&lt;=399)</formula>
    </cfRule>
    <cfRule type="expression" dxfId="110" priority="58" stopIfTrue="1">
      <formula>AND(J13&gt;=900,J13&lt;=999)</formula>
    </cfRule>
    <cfRule type="expression" dxfId="109" priority="59" stopIfTrue="1">
      <formula>AND(J13&gt;=400,J13&lt;=499)</formula>
    </cfRule>
    <cfRule type="expression" dxfId="108" priority="60" stopIfTrue="1">
      <formula>AND(J13&gt;=1000,J13&lt;=1999)</formula>
    </cfRule>
  </conditionalFormatting>
  <conditionalFormatting sqref="I56:I60">
    <cfRule type="expression" dxfId="107" priority="49" stopIfTrue="1">
      <formula>AND(J56&gt;=100,J56&lt;=199)</formula>
    </cfRule>
    <cfRule type="expression" dxfId="106" priority="50" stopIfTrue="1">
      <formula>AND(J56&gt;=200,J56&lt;=299)</formula>
    </cfRule>
    <cfRule type="expression" dxfId="105" priority="51" stopIfTrue="1">
      <formula>AND(J56&gt;=300,J56&lt;=399)</formula>
    </cfRule>
    <cfRule type="expression" dxfId="104" priority="52" stopIfTrue="1">
      <formula>AND(J56&gt;=900,J56&lt;=999)</formula>
    </cfRule>
    <cfRule type="expression" dxfId="103" priority="53" stopIfTrue="1">
      <formula>AND(J56&gt;=400,J56&lt;=499)</formula>
    </cfRule>
    <cfRule type="expression" dxfId="102" priority="54" stopIfTrue="1">
      <formula>AND(J56&gt;=1000,J56&lt;=1999)</formula>
    </cfRule>
  </conditionalFormatting>
  <conditionalFormatting sqref="I218">
    <cfRule type="expression" dxfId="101" priority="43" stopIfTrue="1">
      <formula>AND(J218&gt;=100,J218&lt;=199)</formula>
    </cfRule>
    <cfRule type="expression" dxfId="100" priority="44" stopIfTrue="1">
      <formula>AND(J218&gt;=200,J218&lt;=299)</formula>
    </cfRule>
    <cfRule type="expression" dxfId="99" priority="45" stopIfTrue="1">
      <formula>AND(J218&gt;=300,J218&lt;=399)</formula>
    </cfRule>
    <cfRule type="expression" dxfId="98" priority="46" stopIfTrue="1">
      <formula>AND(J218&gt;=900,J218&lt;=999)</formula>
    </cfRule>
    <cfRule type="expression" dxfId="97" priority="47" stopIfTrue="1">
      <formula>AND(J218&gt;=400,J218&lt;=499)</formula>
    </cfRule>
    <cfRule type="expression" dxfId="96" priority="48" stopIfTrue="1">
      <formula>AND(J218&gt;=1000,J218&lt;=1999)</formula>
    </cfRule>
  </conditionalFormatting>
  <conditionalFormatting sqref="I220">
    <cfRule type="expression" dxfId="95" priority="37" stopIfTrue="1">
      <formula>AND(J220&gt;=100,J220&lt;=199)</formula>
    </cfRule>
    <cfRule type="expression" dxfId="94" priority="38" stopIfTrue="1">
      <formula>AND(J220&gt;=200,J220&lt;=299)</formula>
    </cfRule>
    <cfRule type="expression" dxfId="93" priority="39" stopIfTrue="1">
      <formula>AND(J220&gt;=300,J220&lt;=399)</formula>
    </cfRule>
    <cfRule type="expression" dxfId="92" priority="40" stopIfTrue="1">
      <formula>AND(J220&gt;=900,J220&lt;=999)</formula>
    </cfRule>
    <cfRule type="expression" dxfId="91" priority="41" stopIfTrue="1">
      <formula>AND(J220&gt;=400,J220&lt;=499)</formula>
    </cfRule>
    <cfRule type="expression" dxfId="90" priority="42" stopIfTrue="1">
      <formula>AND(J220&gt;=1000,J220&lt;=1999)</formula>
    </cfRule>
  </conditionalFormatting>
  <conditionalFormatting sqref="I27:I37">
    <cfRule type="expression" dxfId="89" priority="31" stopIfTrue="1">
      <formula>AND(J27&gt;=100,J27&lt;=199)</formula>
    </cfRule>
    <cfRule type="expression" dxfId="88" priority="32" stopIfTrue="1">
      <formula>AND(J27&gt;=200,J27&lt;=299)</formula>
    </cfRule>
    <cfRule type="expression" dxfId="87" priority="33" stopIfTrue="1">
      <formula>AND(J27&gt;=300,J27&lt;=399)</formula>
    </cfRule>
    <cfRule type="expression" dxfId="86" priority="34" stopIfTrue="1">
      <formula>AND(J27&gt;=900,J27&lt;=999)</formula>
    </cfRule>
    <cfRule type="expression" dxfId="85" priority="35" stopIfTrue="1">
      <formula>AND(J27&gt;=400,J27&lt;=499)</formula>
    </cfRule>
    <cfRule type="expression" dxfId="84" priority="36" stopIfTrue="1">
      <formula>AND(J27&gt;=1000,J27&lt;=1999)</formula>
    </cfRule>
  </conditionalFormatting>
  <conditionalFormatting sqref="I104 I106:I109 I111:I114 I116:I119 I121:I124 I126:I129 I131:I132">
    <cfRule type="expression" dxfId="83" priority="25" stopIfTrue="1">
      <formula>AND(J104&gt;=100,J104&lt;=199)</formula>
    </cfRule>
    <cfRule type="expression" dxfId="82" priority="26" stopIfTrue="1">
      <formula>AND(J104&gt;=200,J104&lt;=299)</formula>
    </cfRule>
    <cfRule type="expression" dxfId="81" priority="27" stopIfTrue="1">
      <formula>AND(J104&gt;=300,J104&lt;=399)</formula>
    </cfRule>
    <cfRule type="expression" dxfId="80" priority="28" stopIfTrue="1">
      <formula>AND(J104&gt;=900,J104&lt;=999)</formula>
    </cfRule>
    <cfRule type="expression" dxfId="79" priority="29" stopIfTrue="1">
      <formula>AND(J104&gt;=400,J104&lt;=499)</formula>
    </cfRule>
    <cfRule type="expression" dxfId="78" priority="30" stopIfTrue="1">
      <formula>AND(J104&gt;=1000,J104&lt;=1999)</formula>
    </cfRule>
  </conditionalFormatting>
  <conditionalFormatting sqref="I105 I110 I115 I120 I125 I130">
    <cfRule type="expression" dxfId="77" priority="19" stopIfTrue="1">
      <formula>AND(J105&gt;=100,J105&lt;=199)</formula>
    </cfRule>
    <cfRule type="expression" dxfId="76" priority="20" stopIfTrue="1">
      <formula>AND(J105&gt;=200,J105&lt;=299)</formula>
    </cfRule>
    <cfRule type="expression" dxfId="75" priority="21" stopIfTrue="1">
      <formula>AND(J105&gt;=300,J105&lt;=399)</formula>
    </cfRule>
    <cfRule type="expression" dxfId="74" priority="22" stopIfTrue="1">
      <formula>AND(J105&gt;=900,J105&lt;=999)</formula>
    </cfRule>
    <cfRule type="expression" dxfId="73" priority="23" stopIfTrue="1">
      <formula>AND(J105&gt;=400,J105&lt;=499)</formula>
    </cfRule>
    <cfRule type="expression" dxfId="72" priority="24" stopIfTrue="1">
      <formula>AND(J105&gt;=1000,J105&lt;=1999)</formula>
    </cfRule>
  </conditionalFormatting>
  <conditionalFormatting sqref="I135">
    <cfRule type="expression" dxfId="71" priority="7" stopIfTrue="1">
      <formula>AND(J135&gt;=100,J135&lt;=199)</formula>
    </cfRule>
    <cfRule type="expression" dxfId="70" priority="8" stopIfTrue="1">
      <formula>AND(J135&gt;=200,J135&lt;=299)</formula>
    </cfRule>
    <cfRule type="expression" dxfId="69" priority="9" stopIfTrue="1">
      <formula>AND(J135&gt;=300,J135&lt;=399)</formula>
    </cfRule>
    <cfRule type="expression" dxfId="68" priority="10" stopIfTrue="1">
      <formula>AND(J135&gt;=900,J135&lt;=999)</formula>
    </cfRule>
    <cfRule type="expression" dxfId="67" priority="11" stopIfTrue="1">
      <formula>AND(J135&gt;=400,J135&lt;=499)</formula>
    </cfRule>
    <cfRule type="expression" dxfId="66" priority="12" stopIfTrue="1">
      <formula>AND(J135&gt;=1000,J135&lt;=1999)</formula>
    </cfRule>
  </conditionalFormatting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B6F31"/>
  </sheetPr>
  <dimension ref="A1:AT105"/>
  <sheetViews>
    <sheetView showGridLines="0" tabSelected="1" zoomScale="55" zoomScaleNormal="55" workbookViewId="0"/>
  </sheetViews>
  <sheetFormatPr defaultColWidth="8.88671875" defaultRowHeight="18" outlineLevelRow="1" outlineLevelCol="1"/>
  <cols>
    <col min="1" max="1" width="10.6640625" style="1" customWidth="1"/>
    <col min="2" max="2" width="1.6640625" style="1" customWidth="1"/>
    <col min="3" max="3" width="54.6640625" style="1" customWidth="1"/>
    <col min="4" max="4" width="0.88671875" style="1" customWidth="1"/>
    <col min="5" max="7" width="18.6640625" style="1" customWidth="1"/>
    <col min="8" max="8" width="0.88671875" style="1" customWidth="1"/>
    <col min="9" max="11" width="18.6640625" style="1" customWidth="1"/>
    <col min="12" max="12" width="0.88671875" style="1" customWidth="1"/>
    <col min="13" max="15" width="18.6640625" style="1" customWidth="1"/>
    <col min="16" max="16" width="0.88671875" style="1" customWidth="1"/>
    <col min="17" max="19" width="18.6640625" style="1" hidden="1" customWidth="1" outlineLevel="1"/>
    <col min="20" max="20" width="0.88671875" style="1" hidden="1" customWidth="1" outlineLevel="1"/>
    <col min="21" max="21" width="18.6640625" style="1" customWidth="1" collapsed="1"/>
    <col min="22" max="23" width="18.6640625" style="1" customWidth="1"/>
    <col min="24" max="24" width="67.109375" style="1" bestFit="1" customWidth="1"/>
    <col min="25" max="25" width="13.33203125" style="1" customWidth="1"/>
    <col min="26" max="26" width="16.77734375" style="92" customWidth="1"/>
    <col min="27" max="27" width="14" style="112" bestFit="1" customWidth="1"/>
    <col min="28" max="28" width="40.88671875" style="1" customWidth="1"/>
    <col min="29" max="29" width="49.77734375" style="1" customWidth="1"/>
    <col min="30" max="30" width="49.6640625" style="1" customWidth="1"/>
    <col min="31" max="31" width="36.77734375" style="1" customWidth="1"/>
    <col min="32" max="32" width="44.77734375" style="1" customWidth="1"/>
    <col min="33" max="33" width="32.44140625" style="1" customWidth="1"/>
    <col min="34" max="16384" width="8.88671875" style="1"/>
  </cols>
  <sheetData>
    <row r="1" spans="1:33">
      <c r="A1" s="12" t="s">
        <v>373</v>
      </c>
      <c r="B1" s="3"/>
      <c r="C1" s="91"/>
      <c r="D1" s="3"/>
      <c r="E1" s="90">
        <v>41640</v>
      </c>
      <c r="F1" s="90">
        <v>42004</v>
      </c>
      <c r="G1" s="89">
        <v>2014</v>
      </c>
      <c r="H1" s="3"/>
      <c r="I1" s="90">
        <v>42005</v>
      </c>
      <c r="J1" s="90">
        <v>42369</v>
      </c>
      <c r="K1" s="89" t="s">
        <v>39</v>
      </c>
      <c r="L1" s="3"/>
      <c r="M1" s="90">
        <v>42186</v>
      </c>
      <c r="N1" s="90">
        <v>42551</v>
      </c>
      <c r="O1" s="89" t="s">
        <v>497</v>
      </c>
      <c r="P1" s="3"/>
      <c r="Q1" s="90">
        <v>42370</v>
      </c>
      <c r="R1" s="90">
        <v>42551</v>
      </c>
      <c r="S1" s="89" t="s">
        <v>40</v>
      </c>
      <c r="T1" s="3"/>
      <c r="U1" s="90">
        <v>42736</v>
      </c>
      <c r="V1" s="90">
        <v>43100</v>
      </c>
      <c r="W1" s="89" t="s">
        <v>501</v>
      </c>
      <c r="X1" s="3"/>
      <c r="Y1" s="3"/>
      <c r="AA1" s="93"/>
      <c r="AB1" s="75" t="s">
        <v>38</v>
      </c>
    </row>
    <row r="2" spans="1:33" ht="19.2">
      <c r="A2" s="12"/>
      <c r="B2" s="3"/>
      <c r="C2" s="88"/>
      <c r="D2" s="3"/>
      <c r="E2" s="87"/>
      <c r="F2" s="86">
        <v>2014</v>
      </c>
      <c r="G2" s="85"/>
      <c r="H2" s="3"/>
      <c r="I2" s="87"/>
      <c r="J2" s="86" t="s">
        <v>39</v>
      </c>
      <c r="K2" s="85"/>
      <c r="L2" s="3"/>
      <c r="M2" s="87"/>
      <c r="N2" s="86" t="s">
        <v>562</v>
      </c>
      <c r="O2" s="85"/>
      <c r="P2" s="3"/>
      <c r="Q2" s="87"/>
      <c r="R2" s="86" t="s">
        <v>40</v>
      </c>
      <c r="S2" s="85"/>
      <c r="T2" s="3"/>
      <c r="U2" s="87"/>
      <c r="V2" s="86" t="s">
        <v>501</v>
      </c>
      <c r="W2" s="85"/>
      <c r="X2" s="3"/>
      <c r="Y2" s="3"/>
      <c r="Z2" s="94"/>
      <c r="AA2" s="93"/>
      <c r="AB2" s="76" t="s">
        <v>373</v>
      </c>
    </row>
    <row r="3" spans="1:33">
      <c r="A3" s="12"/>
      <c r="B3" s="3"/>
      <c r="C3" s="84"/>
      <c r="D3" s="3"/>
      <c r="E3" s="83"/>
      <c r="F3" s="82" t="s">
        <v>41</v>
      </c>
      <c r="G3" s="81"/>
      <c r="H3" s="3"/>
      <c r="I3" s="83"/>
      <c r="J3" s="82" t="s">
        <v>42</v>
      </c>
      <c r="K3" s="81"/>
      <c r="L3" s="3"/>
      <c r="M3" s="83"/>
      <c r="N3" s="82" t="s">
        <v>500</v>
      </c>
      <c r="O3" s="81"/>
      <c r="P3" s="3"/>
      <c r="Q3" s="83"/>
      <c r="R3" s="82" t="s">
        <v>500</v>
      </c>
      <c r="S3" s="81"/>
      <c r="T3" s="3"/>
      <c r="U3" s="83"/>
      <c r="V3" s="82" t="s">
        <v>561</v>
      </c>
      <c r="W3" s="81"/>
      <c r="X3" s="3"/>
      <c r="Y3" s="3"/>
      <c r="Z3" s="94"/>
      <c r="AA3" s="93"/>
      <c r="AB3" s="75" t="s">
        <v>43</v>
      </c>
      <c r="AC3" s="75" t="s">
        <v>44</v>
      </c>
    </row>
    <row r="4" spans="1:33">
      <c r="A4" s="12"/>
      <c r="B4" s="3"/>
      <c r="C4" s="80"/>
      <c r="D4" s="3"/>
      <c r="E4" s="79"/>
      <c r="F4" s="78"/>
      <c r="G4" s="77"/>
      <c r="H4" s="3"/>
      <c r="I4" s="79"/>
      <c r="J4" s="78"/>
      <c r="K4" s="77"/>
      <c r="L4" s="3"/>
      <c r="M4" s="79"/>
      <c r="N4" s="78"/>
      <c r="O4" s="77"/>
      <c r="P4" s="3"/>
      <c r="Q4" s="79"/>
      <c r="R4" s="78"/>
      <c r="S4" s="77"/>
      <c r="T4" s="3"/>
      <c r="U4" s="79"/>
      <c r="V4" s="78"/>
      <c r="W4" s="77"/>
      <c r="X4" s="3"/>
      <c r="Y4" s="3"/>
      <c r="Z4" s="94"/>
      <c r="AA4" s="93"/>
      <c r="AB4" s="76"/>
      <c r="AC4" s="76">
        <v>101</v>
      </c>
    </row>
    <row r="5" spans="1:33">
      <c r="A5" s="12"/>
      <c r="B5" s="3"/>
      <c r="C5" s="95" t="s">
        <v>602</v>
      </c>
      <c r="D5" s="15"/>
      <c r="E5" s="74"/>
      <c r="F5" s="73">
        <f>$AC$4</f>
        <v>101</v>
      </c>
      <c r="G5" s="72"/>
      <c r="H5" s="15"/>
      <c r="I5" s="74"/>
      <c r="J5" s="73">
        <f>$AC$4</f>
        <v>101</v>
      </c>
      <c r="K5" s="72"/>
      <c r="L5" s="15"/>
      <c r="M5" s="74"/>
      <c r="N5" s="73">
        <v>101</v>
      </c>
      <c r="O5" s="72"/>
      <c r="P5" s="15"/>
      <c r="Q5" s="74"/>
      <c r="R5" s="73">
        <v>101</v>
      </c>
      <c r="S5" s="72"/>
      <c r="T5" s="15"/>
      <c r="U5" s="74"/>
      <c r="V5" s="73">
        <v>101</v>
      </c>
      <c r="W5" s="72"/>
      <c r="X5" s="15"/>
      <c r="Y5" s="15"/>
      <c r="Z5" s="94"/>
      <c r="AA5" s="93"/>
      <c r="AB5" s="228"/>
      <c r="AC5" s="228"/>
    </row>
    <row r="6" spans="1:33">
      <c r="A6" s="12"/>
      <c r="B6" s="3"/>
      <c r="C6" s="95" t="s">
        <v>603</v>
      </c>
      <c r="D6" s="15"/>
      <c r="E6" s="74"/>
      <c r="F6" s="73">
        <v>85</v>
      </c>
      <c r="G6" s="72"/>
      <c r="H6" s="15"/>
      <c r="I6" s="74"/>
      <c r="J6" s="73">
        <v>85</v>
      </c>
      <c r="K6" s="72"/>
      <c r="L6" s="15"/>
      <c r="M6" s="74"/>
      <c r="N6" s="73">
        <v>85</v>
      </c>
      <c r="O6" s="72"/>
      <c r="P6" s="15"/>
      <c r="Q6" s="74"/>
      <c r="R6" s="73">
        <v>85</v>
      </c>
      <c r="S6" s="72"/>
      <c r="T6" s="15"/>
      <c r="U6" s="74"/>
      <c r="V6" s="73">
        <v>85</v>
      </c>
      <c r="W6" s="72"/>
      <c r="X6" s="15"/>
      <c r="Y6" s="15"/>
      <c r="Z6" s="94"/>
      <c r="AA6" s="93"/>
      <c r="AB6" s="229"/>
      <c r="AC6" s="229"/>
    </row>
    <row r="7" spans="1:33">
      <c r="A7" s="12"/>
      <c r="B7" s="3"/>
      <c r="C7" s="71"/>
      <c r="D7" s="3"/>
      <c r="E7" s="96"/>
      <c r="F7" s="97"/>
      <c r="G7" s="98"/>
      <c r="H7" s="3"/>
      <c r="I7" s="96"/>
      <c r="J7" s="97"/>
      <c r="K7" s="98"/>
      <c r="L7" s="3"/>
      <c r="M7" s="96"/>
      <c r="N7" s="97"/>
      <c r="O7" s="98"/>
      <c r="P7" s="3"/>
      <c r="Q7" s="96"/>
      <c r="R7" s="97"/>
      <c r="S7" s="98"/>
      <c r="T7" s="3"/>
      <c r="U7" s="96"/>
      <c r="V7" s="97"/>
      <c r="W7" s="98"/>
      <c r="X7" s="15"/>
      <c r="Y7" s="15"/>
      <c r="Z7" s="94"/>
      <c r="AA7" s="93"/>
    </row>
    <row r="8" spans="1:33" ht="19.8">
      <c r="A8" s="12"/>
      <c r="B8" s="3"/>
      <c r="C8" s="71" t="s">
        <v>36</v>
      </c>
      <c r="D8" s="3"/>
      <c r="E8" s="70" t="s">
        <v>607</v>
      </c>
      <c r="F8" s="57" t="s">
        <v>608</v>
      </c>
      <c r="G8" s="38" t="s">
        <v>34</v>
      </c>
      <c r="H8" s="58"/>
      <c r="I8" s="70" t="s">
        <v>35</v>
      </c>
      <c r="J8" s="57" t="s">
        <v>20</v>
      </c>
      <c r="K8" s="38" t="s">
        <v>34</v>
      </c>
      <c r="L8" s="58"/>
      <c r="M8" s="70" t="s">
        <v>35</v>
      </c>
      <c r="N8" s="57" t="s">
        <v>20</v>
      </c>
      <c r="O8" s="38" t="s">
        <v>34</v>
      </c>
      <c r="P8" s="58"/>
      <c r="Q8" s="70" t="s">
        <v>35</v>
      </c>
      <c r="R8" s="57" t="s">
        <v>20</v>
      </c>
      <c r="S8" s="38" t="s">
        <v>34</v>
      </c>
      <c r="T8" s="58"/>
      <c r="U8" s="70" t="s">
        <v>35</v>
      </c>
      <c r="V8" s="57" t="s">
        <v>20</v>
      </c>
      <c r="W8" s="38" t="s">
        <v>34</v>
      </c>
      <c r="X8" s="15"/>
      <c r="Y8" s="15"/>
      <c r="Z8" s="94"/>
      <c r="AA8" s="93"/>
      <c r="AB8" s="75"/>
      <c r="AC8" s="75" t="s">
        <v>37</v>
      </c>
      <c r="AD8" s="75" t="s">
        <v>489</v>
      </c>
      <c r="AE8" s="75" t="s">
        <v>490</v>
      </c>
      <c r="AF8" s="75" t="s">
        <v>499</v>
      </c>
      <c r="AG8" s="75" t="s">
        <v>498</v>
      </c>
    </row>
    <row r="9" spans="1:33">
      <c r="A9" s="99">
        <v>101</v>
      </c>
      <c r="B9" s="3"/>
      <c r="C9" s="55" t="s">
        <v>30</v>
      </c>
      <c r="D9" s="3"/>
      <c r="E9" s="69">
        <f t="array" aca="1" ref="E9" ca="1">SUM(IF($A9=INDIRECT($AC$11),INDIRECT(AD$11),""))/E$74</f>
        <v>9.2547945205479447</v>
      </c>
      <c r="F9" s="19">
        <f ca="1">F20</f>
        <v>133.43740378922442</v>
      </c>
      <c r="G9" s="18">
        <f t="shared" ref="G9:G14" ca="1" si="0">IFERROR(E9/E$15,0)</f>
        <v>0.13078829177636672</v>
      </c>
      <c r="H9" s="3"/>
      <c r="I9" s="69">
        <f t="array" aca="1" ref="I9" ca="1">SUM(IF($A9=INDIRECT($AC$11),INDIRECT(AE$11),""))/I$74</f>
        <v>8.7534246575342465</v>
      </c>
      <c r="J9" s="19">
        <f ca="1">J20</f>
        <v>126.20579029733959</v>
      </c>
      <c r="K9" s="18">
        <f t="shared" ref="K9:K14" ca="1" si="1">IFERROR(I9/I$15,0)</f>
        <v>0.16746160700246346</v>
      </c>
      <c r="L9" s="3"/>
      <c r="M9" s="69">
        <f t="array" aca="1" ref="M9" ca="1">SUM(IF($A9=INDIRECT($AC$11),INDIRECT(AF$11),""))/M$74</f>
        <v>9.5355191256830594</v>
      </c>
      <c r="N9" s="19">
        <f ca="1">N20</f>
        <v>132.23851002865331</v>
      </c>
      <c r="O9" s="18">
        <f t="shared" ref="O9:O14" ca="1" si="2">IFERROR(M9/M$15,0)</f>
        <v>0.17858970422679357</v>
      </c>
      <c r="P9" s="3"/>
      <c r="Q9" s="69">
        <f t="array" aca="1" ref="Q9" ca="1">SUM(IF($A9=INDIRECT($AC$11),INDIRECT(AG$11),""))/Q$74</f>
        <v>9.1593406593406588</v>
      </c>
      <c r="R9" s="19">
        <f ca="1">R20</f>
        <v>138.99406718656269</v>
      </c>
      <c r="S9" s="18">
        <f t="shared" ref="S9:S14" ca="1" si="3">IFERROR(Q9/Q$15,0)</f>
        <v>0.16081420027011384</v>
      </c>
      <c r="T9" s="3"/>
      <c r="U9" s="69">
        <v>9</v>
      </c>
      <c r="V9" s="19">
        <f>V20</f>
        <v>140</v>
      </c>
      <c r="W9" s="18">
        <f t="shared" ref="W9:W14" si="4">IFERROR(U9/U$15,0)</f>
        <v>0.140625</v>
      </c>
      <c r="X9" s="15"/>
      <c r="Y9" s="15"/>
      <c r="Z9" s="94"/>
      <c r="AA9" s="93"/>
      <c r="AB9" s="76"/>
      <c r="AC9" s="76" t="s">
        <v>555</v>
      </c>
      <c r="AD9" s="76" t="s">
        <v>556</v>
      </c>
      <c r="AE9" s="76" t="s">
        <v>557</v>
      </c>
      <c r="AF9" s="76" t="s">
        <v>558</v>
      </c>
      <c r="AG9" s="76" t="s">
        <v>559</v>
      </c>
    </row>
    <row r="10" spans="1:33">
      <c r="A10" s="99">
        <v>102</v>
      </c>
      <c r="B10" s="3"/>
      <c r="C10" s="55" t="s">
        <v>29</v>
      </c>
      <c r="D10" s="3"/>
      <c r="E10" s="69">
        <f t="array" aca="1" ref="E10" ca="1">SUM(IF($A10=INDIRECT($AC$11),INDIRECT(AD$11),""))/E$74</f>
        <v>7.3561643835616435</v>
      </c>
      <c r="F10" s="19">
        <f t="shared" ref="F10:F13" ca="1" si="5">F21</f>
        <v>468.72612662942271</v>
      </c>
      <c r="G10" s="18">
        <f t="shared" ca="1" si="0"/>
        <v>0.10395694595013164</v>
      </c>
      <c r="H10" s="3"/>
      <c r="I10" s="69">
        <f t="array" aca="1" ref="I10" ca="1">SUM(IF($A10=INDIRECT($AC$11),INDIRECT(AE$11),""))/I$74</f>
        <v>3.2931506849315069</v>
      </c>
      <c r="J10" s="19">
        <f t="shared" ref="J10:J13" ca="1" si="6">J21</f>
        <v>427.24647254575706</v>
      </c>
      <c r="K10" s="18">
        <f t="shared" ca="1" si="1"/>
        <v>6.3001205513915831E-2</v>
      </c>
      <c r="L10" s="3"/>
      <c r="M10" s="69">
        <f t="array" aca="1" ref="M10" ca="1">SUM(IF($A10=INDIRECT($AC$11),INDIRECT(AF$11),""))/M$74</f>
        <v>5.527322404371585</v>
      </c>
      <c r="N10" s="19">
        <f t="shared" ref="N10:N13" ca="1" si="7">N21</f>
        <v>415.98325259515565</v>
      </c>
      <c r="O10" s="18">
        <f t="shared" ca="1" si="2"/>
        <v>0.10352062224951389</v>
      </c>
      <c r="P10" s="3"/>
      <c r="Q10" s="69">
        <f t="array" aca="1" ref="Q10" ca="1">SUM(IF($A10=INDIRECT($AC$11),INDIRECT(AG$11),""))/Q$74</f>
        <v>7.813186813186813</v>
      </c>
      <c r="R10" s="19">
        <f t="shared" ref="R10:R13" ca="1" si="8">R21</f>
        <v>417.22513361462728</v>
      </c>
      <c r="S10" s="18">
        <f t="shared" ca="1" si="3"/>
        <v>0.13717923982249663</v>
      </c>
      <c r="T10" s="3"/>
      <c r="U10" s="69">
        <v>7.5</v>
      </c>
      <c r="V10" s="19">
        <f t="shared" ref="V10:V13" si="9">V21</f>
        <v>450</v>
      </c>
      <c r="W10" s="18">
        <f t="shared" si="4"/>
        <v>0.1171875</v>
      </c>
      <c r="X10" s="266" t="s">
        <v>604</v>
      </c>
      <c r="Y10" s="3"/>
      <c r="Z10" s="94"/>
      <c r="AA10" s="93"/>
      <c r="AB10" s="75"/>
      <c r="AC10" s="75" t="s">
        <v>47</v>
      </c>
      <c r="AD10" s="75" t="s">
        <v>488</v>
      </c>
      <c r="AE10" s="75" t="s">
        <v>491</v>
      </c>
      <c r="AF10" s="75" t="s">
        <v>492</v>
      </c>
      <c r="AG10" s="75" t="s">
        <v>492</v>
      </c>
    </row>
    <row r="11" spans="1:33">
      <c r="A11" s="99">
        <v>103</v>
      </c>
      <c r="B11" s="3"/>
      <c r="C11" s="55" t="s">
        <v>28</v>
      </c>
      <c r="D11" s="3"/>
      <c r="E11" s="69">
        <f t="array" aca="1" ref="E11" ca="1">SUM(IF($A11=INDIRECT($AC$11),INDIRECT(AD$11),""))/E$74</f>
        <v>48.347945205479455</v>
      </c>
      <c r="F11" s="19">
        <f t="shared" ca="1" si="5"/>
        <v>144.87433784779284</v>
      </c>
      <c r="G11" s="18">
        <f t="shared" ca="1" si="0"/>
        <v>0.68325073563574423</v>
      </c>
      <c r="H11" s="3"/>
      <c r="I11" s="69">
        <f t="array" aca="1" ref="I11" ca="1">SUM(IF($A11=INDIRECT($AC$11),INDIRECT(AE$11),""))/I$74</f>
        <v>36.736986301369861</v>
      </c>
      <c r="J11" s="19">
        <f t="shared" ca="1" si="6"/>
        <v>143.27686031769707</v>
      </c>
      <c r="K11" s="18">
        <f t="shared" ca="1" si="1"/>
        <v>0.70281461292520575</v>
      </c>
      <c r="L11" s="3"/>
      <c r="M11" s="69">
        <f t="array" aca="1" ref="M11" ca="1">SUM(IF($A11=INDIRECT($AC$11),INDIRECT(AF$11),""))/M$74</f>
        <v>34.158469945355193</v>
      </c>
      <c r="N11" s="19">
        <f t="shared" ca="1" si="7"/>
        <v>133.84845144776835</v>
      </c>
      <c r="O11" s="18">
        <f t="shared" ca="1" si="2"/>
        <v>0.63975028144509272</v>
      </c>
      <c r="P11" s="3"/>
      <c r="Q11" s="69">
        <f t="array" aca="1" ref="Q11" ca="1">SUM(IF($A11=INDIRECT($AC$11),INDIRECT(AG$11),""))/Q$74</f>
        <v>35.054945054945058</v>
      </c>
      <c r="R11" s="19">
        <f t="shared" ca="1" si="8"/>
        <v>128.34970532915358</v>
      </c>
      <c r="S11" s="18">
        <f t="shared" ca="1" si="3"/>
        <v>0.61547366390121561</v>
      </c>
      <c r="T11" s="3"/>
      <c r="U11" s="69">
        <v>43</v>
      </c>
      <c r="V11" s="19">
        <f t="shared" si="9"/>
        <v>140</v>
      </c>
      <c r="W11" s="18">
        <f t="shared" si="4"/>
        <v>0.671875</v>
      </c>
      <c r="X11" s="58"/>
      <c r="Y11" s="58"/>
      <c r="Z11" s="94"/>
      <c r="AA11" s="93"/>
      <c r="AB11" s="75"/>
      <c r="AC11" s="75" t="str">
        <f>"'"&amp;$AB2&amp;"'"&amp;"!"&amp;AC9</f>
        <v>'Willow Springs'!$B$2:$B$250</v>
      </c>
      <c r="AD11" s="75" t="str">
        <f>"'"&amp;$AB2&amp;"'"&amp;"!"&amp;AD9</f>
        <v>'Willow Springs'!$J$2:$U$250</v>
      </c>
      <c r="AE11" s="75" t="str">
        <f>"'"&amp;$AB2&amp;"'"&amp;"!"&amp;AE9</f>
        <v>'Willow Springs'!$V$2:$AG$250</v>
      </c>
      <c r="AF11" s="75" t="str">
        <f>"'"&amp;$AB2&amp;"'"&amp;"!"&amp;AF9</f>
        <v>'Willow Springs'!$AB$2:$AM$250</v>
      </c>
      <c r="AG11" s="75" t="str">
        <f>"'"&amp;$AB2&amp;"'"&amp;"!"&amp;AG9</f>
        <v>'Willow Springs'!$AH$2:$AM$250</v>
      </c>
    </row>
    <row r="12" spans="1:33">
      <c r="A12" s="99">
        <v>104</v>
      </c>
      <c r="B12" s="3"/>
      <c r="C12" s="55" t="s">
        <v>27</v>
      </c>
      <c r="D12" s="3"/>
      <c r="E12" s="69">
        <f t="array" aca="1" ref="E12" ca="1">SUM(IF($A12=INDIRECT($AC$11),INDIRECT(AD$11),""))/E$74</f>
        <v>4.8520547945205479</v>
      </c>
      <c r="F12" s="19">
        <f t="shared" ca="1" si="5"/>
        <v>138.98399209486166</v>
      </c>
      <c r="G12" s="18">
        <f t="shared" ca="1" si="0"/>
        <v>6.8568994889267459E-2</v>
      </c>
      <c r="H12" s="3"/>
      <c r="I12" s="69">
        <f t="array" aca="1" ref="I12" ca="1">SUM(IF($A12=INDIRECT($AC$11),INDIRECT(AE$11),""))/I$74</f>
        <v>3.1205479452054794</v>
      </c>
      <c r="J12" s="19">
        <f t="shared" ca="1" si="6"/>
        <v>144.01914837576822</v>
      </c>
      <c r="K12" s="18">
        <f t="shared" ca="1" si="1"/>
        <v>5.9699145657529221E-2</v>
      </c>
      <c r="L12" s="3"/>
      <c r="M12" s="69">
        <f t="array" aca="1" ref="M12" ca="1">SUM(IF($A12=INDIRECT($AC$11),INDIRECT(AF$11),""))/M$74</f>
        <v>3.8497267759562841</v>
      </c>
      <c r="N12" s="19">
        <f t="shared" ca="1" si="7"/>
        <v>134.87051100070971</v>
      </c>
      <c r="O12" s="18">
        <f t="shared" ca="1" si="2"/>
        <v>7.2101115546003486E-2</v>
      </c>
      <c r="P12" s="3"/>
      <c r="Q12" s="69">
        <f t="array" aca="1" ref="Q12" ca="1">SUM(IF($A12=INDIRECT($AC$11),INDIRECT(AG$11),""))/Q$74</f>
        <v>4.5109890109890109</v>
      </c>
      <c r="R12" s="19">
        <f t="shared" ca="1" si="8"/>
        <v>132.14512789281363</v>
      </c>
      <c r="S12" s="18">
        <f t="shared" ca="1" si="3"/>
        <v>7.9201234806096865E-2</v>
      </c>
      <c r="T12" s="3"/>
      <c r="U12" s="69">
        <v>4</v>
      </c>
      <c r="V12" s="19">
        <f t="shared" si="9"/>
        <v>140</v>
      </c>
      <c r="W12" s="18">
        <f t="shared" si="4"/>
        <v>6.25E-2</v>
      </c>
      <c r="X12" s="221"/>
      <c r="Y12" s="58"/>
      <c r="Z12" s="94"/>
      <c r="AA12" s="93"/>
    </row>
    <row r="13" spans="1:33">
      <c r="A13" s="99">
        <v>105</v>
      </c>
      <c r="B13" s="3"/>
      <c r="C13" s="55" t="s">
        <v>48</v>
      </c>
      <c r="D13" s="3"/>
      <c r="E13" s="69">
        <f t="array" aca="1" ref="E13" ca="1">SUM(IF($A13=INDIRECT($AC$11),INDIRECT(AD$11),""))/E$74</f>
        <v>0.9506849315068493</v>
      </c>
      <c r="F13" s="19">
        <f t="shared" ca="1" si="5"/>
        <v>515.62302593659945</v>
      </c>
      <c r="G13" s="18">
        <f t="shared" ca="1" si="0"/>
        <v>1.343503174849001E-2</v>
      </c>
      <c r="H13" s="3"/>
      <c r="I13" s="69">
        <f t="array" aca="1" ref="I13" ca="1">SUM(IF($A13=INDIRECT($AC$11),INDIRECT(AE$11),""))/I$74</f>
        <v>0.36712328767123287</v>
      </c>
      <c r="J13" s="19">
        <f t="shared" ca="1" si="6"/>
        <v>518.39895522388076</v>
      </c>
      <c r="K13" s="18">
        <f t="shared" ca="1" si="1"/>
        <v>7.0234289008857913E-3</v>
      </c>
      <c r="L13" s="3"/>
      <c r="M13" s="69">
        <f t="array" aca="1" ref="M13" ca="1">SUM(IF($A13=INDIRECT($AC$11),INDIRECT(AF$11),""))/M$74</f>
        <v>0.32240437158469948</v>
      </c>
      <c r="N13" s="19">
        <f t="shared" ca="1" si="7"/>
        <v>500.81737288135599</v>
      </c>
      <c r="O13" s="18">
        <f t="shared" ca="1" si="2"/>
        <v>6.0382765325964595E-3</v>
      </c>
      <c r="P13" s="3"/>
      <c r="Q13" s="69">
        <f t="array" aca="1" ref="Q13" ca="1">SUM(IF($A13=INDIRECT($AC$11),INDIRECT(AG$11),""))/Q$74</f>
        <v>0.4175824175824176</v>
      </c>
      <c r="R13" s="19">
        <f t="shared" ca="1" si="8"/>
        <v>432.37828947368416</v>
      </c>
      <c r="S13" s="18">
        <f t="shared" ca="1" si="3"/>
        <v>7.3316612000771768E-3</v>
      </c>
      <c r="T13" s="3"/>
      <c r="U13" s="69">
        <v>0.5</v>
      </c>
      <c r="V13" s="19">
        <f t="shared" si="9"/>
        <v>525</v>
      </c>
      <c r="W13" s="18">
        <f t="shared" si="4"/>
        <v>7.8125E-3</v>
      </c>
      <c r="X13" s="3"/>
      <c r="Y13" s="3"/>
      <c r="Z13" s="94"/>
      <c r="AA13" s="93"/>
    </row>
    <row r="14" spans="1:33">
      <c r="A14" s="99"/>
      <c r="B14" s="3"/>
      <c r="C14" s="54" t="s">
        <v>49</v>
      </c>
      <c r="D14" s="3"/>
      <c r="E14" s="102">
        <f ca="1">SUM(E9:E13)</f>
        <v>70.761643835616439</v>
      </c>
      <c r="F14" s="52">
        <f ca="1">F25</f>
        <v>181.62228898869449</v>
      </c>
      <c r="G14" s="51">
        <f t="shared" ca="1" si="0"/>
        <v>1</v>
      </c>
      <c r="H14" s="3"/>
      <c r="I14" s="102">
        <f ca="1">SUM(I9:I13)</f>
        <v>52.271232876712325</v>
      </c>
      <c r="J14" s="52">
        <f ca="1">J25</f>
        <v>160.98749672414695</v>
      </c>
      <c r="K14" s="51">
        <f t="shared" ca="1" si="1"/>
        <v>1</v>
      </c>
      <c r="L14" s="3"/>
      <c r="M14" s="102">
        <f ca="1">SUM(M9:M13)</f>
        <v>53.393442622950815</v>
      </c>
      <c r="N14" s="52">
        <f ca="1">N25</f>
        <v>165.05725411933273</v>
      </c>
      <c r="O14" s="51">
        <f t="shared" ca="1" si="2"/>
        <v>1</v>
      </c>
      <c r="P14" s="3"/>
      <c r="Q14" s="102">
        <f ca="1">SUM(Q9:Q13)</f>
        <v>56.956043956043949</v>
      </c>
      <c r="R14" s="52">
        <f ca="1">R25</f>
        <v>172.21881825197764</v>
      </c>
      <c r="S14" s="51">
        <f t="shared" ca="1" si="3"/>
        <v>1</v>
      </c>
      <c r="T14" s="3"/>
      <c r="U14" s="102">
        <f>SUM(U9:U13)</f>
        <v>64</v>
      </c>
      <c r="V14" s="52">
        <f>V25</f>
        <v>179.3359375</v>
      </c>
      <c r="W14" s="51">
        <f t="shared" si="4"/>
        <v>1</v>
      </c>
      <c r="X14" s="3"/>
      <c r="Y14" s="3"/>
      <c r="Z14" s="94"/>
      <c r="AA14" s="93"/>
      <c r="AB14" s="100"/>
      <c r="AC14" s="100"/>
      <c r="AD14" s="100"/>
    </row>
    <row r="15" spans="1:33">
      <c r="A15" s="99"/>
      <c r="B15" s="3"/>
      <c r="C15" s="103" t="s">
        <v>33</v>
      </c>
      <c r="D15" s="3"/>
      <c r="E15" s="68">
        <f ca="1">SUM(E14)</f>
        <v>70.761643835616439</v>
      </c>
      <c r="F15" s="67">
        <f ca="1">F$25</f>
        <v>181.62228898869449</v>
      </c>
      <c r="G15" s="66">
        <f ca="1">E15/E$15</f>
        <v>1</v>
      </c>
      <c r="H15" s="3"/>
      <c r="I15" s="68">
        <f ca="1">SUM(I14)</f>
        <v>52.271232876712325</v>
      </c>
      <c r="J15" s="67">
        <f ca="1">J$25</f>
        <v>160.98749672414695</v>
      </c>
      <c r="K15" s="66">
        <f ca="1">I15/I$15</f>
        <v>1</v>
      </c>
      <c r="L15" s="3"/>
      <c r="M15" s="68">
        <f ca="1">SUM(M14)</f>
        <v>53.393442622950815</v>
      </c>
      <c r="N15" s="67">
        <f ca="1">N$25</f>
        <v>165.05725411933273</v>
      </c>
      <c r="O15" s="66">
        <f ca="1">M15/M$15</f>
        <v>1</v>
      </c>
      <c r="P15" s="3"/>
      <c r="Q15" s="68">
        <f ca="1">SUM(Q14)</f>
        <v>56.956043956043949</v>
      </c>
      <c r="R15" s="67">
        <f ca="1">R$25</f>
        <v>172.21881825197764</v>
      </c>
      <c r="S15" s="66">
        <f ca="1">Q15/Q$15</f>
        <v>1</v>
      </c>
      <c r="T15" s="3"/>
      <c r="U15" s="68">
        <f>SUM(U14)</f>
        <v>64</v>
      </c>
      <c r="V15" s="67">
        <f>V$25</f>
        <v>179.3359375</v>
      </c>
      <c r="W15" s="66">
        <f>U15/U$15</f>
        <v>1</v>
      </c>
      <c r="X15" s="3"/>
      <c r="Y15" s="3"/>
      <c r="Z15" s="94"/>
      <c r="AA15" s="93"/>
      <c r="AB15" s="100"/>
      <c r="AC15" s="100"/>
      <c r="AD15" s="100"/>
    </row>
    <row r="16" spans="1:33">
      <c r="A16" s="12"/>
      <c r="B16" s="3"/>
      <c r="C16" s="56" t="s">
        <v>32</v>
      </c>
      <c r="D16" s="3"/>
      <c r="E16" s="65">
        <f ca="1">E15/F6</f>
        <v>0.83248992747784045</v>
      </c>
      <c r="F16" s="64"/>
      <c r="G16" s="63"/>
      <c r="H16" s="3"/>
      <c r="I16" s="65">
        <f ca="1">I15/J6</f>
        <v>0.61495568090249797</v>
      </c>
      <c r="J16" s="64"/>
      <c r="K16" s="63"/>
      <c r="L16" s="3"/>
      <c r="M16" s="65">
        <f ca="1">M15/N6</f>
        <v>0.62815814850530372</v>
      </c>
      <c r="N16" s="64"/>
      <c r="O16" s="63"/>
      <c r="P16" s="3"/>
      <c r="Q16" s="65">
        <f ca="1">Q15/R6</f>
        <v>0.67007110536522296</v>
      </c>
      <c r="R16" s="64"/>
      <c r="S16" s="63"/>
      <c r="T16" s="3"/>
      <c r="U16" s="65">
        <f>U15/V6</f>
        <v>0.75294117647058822</v>
      </c>
      <c r="V16" s="64"/>
      <c r="W16" s="63"/>
      <c r="X16" s="3"/>
      <c r="Y16" s="3"/>
      <c r="Z16" s="94"/>
      <c r="AA16" s="93"/>
      <c r="AB16" s="100"/>
      <c r="AC16" s="100"/>
      <c r="AD16" s="100"/>
      <c r="AE16" s="100"/>
    </row>
    <row r="17" spans="1:31" ht="19.2">
      <c r="A17" s="12"/>
      <c r="B17" s="3"/>
      <c r="C17" s="56" t="s">
        <v>609</v>
      </c>
      <c r="D17" s="3"/>
      <c r="E17" s="65">
        <f ca="1">1-SUM(E11)/E15</f>
        <v>0.31674926436425577</v>
      </c>
      <c r="F17" s="64"/>
      <c r="G17" s="104"/>
      <c r="H17" s="3"/>
      <c r="I17" s="65">
        <f ca="1">1-SUM(I11)/I15</f>
        <v>0.29718538707479425</v>
      </c>
      <c r="J17" s="64"/>
      <c r="K17" s="104"/>
      <c r="L17" s="3"/>
      <c r="M17" s="65">
        <f ca="1">1-SUM(M11)/M15</f>
        <v>0.36024971855490728</v>
      </c>
      <c r="N17" s="64"/>
      <c r="O17" s="104"/>
      <c r="P17" s="3"/>
      <c r="Q17" s="65">
        <f ca="1">1-SUM(Q11)/Q15</f>
        <v>0.38452633609878439</v>
      </c>
      <c r="R17" s="64"/>
      <c r="S17" s="104"/>
      <c r="T17" s="3"/>
      <c r="U17" s="65">
        <f>1-SUM(U11)/U15</f>
        <v>0.328125</v>
      </c>
      <c r="V17" s="64"/>
      <c r="W17" s="104"/>
      <c r="X17" s="3"/>
      <c r="Y17" s="3"/>
      <c r="Z17" s="94"/>
      <c r="AA17" s="93"/>
      <c r="AB17" s="100"/>
      <c r="AC17" s="100"/>
      <c r="AD17" s="100"/>
      <c r="AE17" s="100"/>
    </row>
    <row r="18" spans="1:31">
      <c r="A18" s="12"/>
      <c r="B18" s="3"/>
      <c r="C18" s="62"/>
      <c r="D18" s="15"/>
      <c r="E18" s="61"/>
      <c r="F18" s="60"/>
      <c r="G18" s="59"/>
      <c r="H18" s="15"/>
      <c r="I18" s="61"/>
      <c r="J18" s="60"/>
      <c r="K18" s="59"/>
      <c r="L18" s="15"/>
      <c r="M18" s="61"/>
      <c r="N18" s="60"/>
      <c r="O18" s="59"/>
      <c r="P18" s="15"/>
      <c r="Q18" s="61"/>
      <c r="R18" s="60"/>
      <c r="S18" s="59"/>
      <c r="T18" s="15"/>
      <c r="U18" s="61"/>
      <c r="V18" s="60"/>
      <c r="W18" s="59"/>
      <c r="X18" s="3"/>
      <c r="Y18" s="3"/>
      <c r="Z18" s="94"/>
      <c r="AA18" s="93"/>
      <c r="AB18" s="100"/>
      <c r="AC18" s="100"/>
      <c r="AD18" s="100"/>
      <c r="AE18" s="100"/>
    </row>
    <row r="19" spans="1:31">
      <c r="A19" s="12"/>
      <c r="B19" s="3"/>
      <c r="C19" s="40" t="s">
        <v>31</v>
      </c>
      <c r="D19" s="3"/>
      <c r="E19" s="39">
        <f>G$1</f>
        <v>2014</v>
      </c>
      <c r="F19" s="57" t="s">
        <v>20</v>
      </c>
      <c r="G19" s="38" t="s">
        <v>19</v>
      </c>
      <c r="H19" s="58"/>
      <c r="I19" s="39" t="str">
        <f>K$1</f>
        <v>2015</v>
      </c>
      <c r="J19" s="57" t="s">
        <v>20</v>
      </c>
      <c r="K19" s="38" t="s">
        <v>19</v>
      </c>
      <c r="L19" s="58"/>
      <c r="M19" s="39" t="str">
        <f>O$1</f>
        <v>TTM</v>
      </c>
      <c r="N19" s="57" t="s">
        <v>20</v>
      </c>
      <c r="O19" s="38" t="s">
        <v>19</v>
      </c>
      <c r="P19" s="58"/>
      <c r="Q19" s="39" t="str">
        <f>S$1</f>
        <v>T6A</v>
      </c>
      <c r="R19" s="57" t="s">
        <v>20</v>
      </c>
      <c r="S19" s="38" t="s">
        <v>19</v>
      </c>
      <c r="T19" s="58"/>
      <c r="U19" s="39" t="str">
        <f>W$1</f>
        <v>Pro Forma</v>
      </c>
      <c r="V19" s="57" t="s">
        <v>20</v>
      </c>
      <c r="W19" s="38" t="s">
        <v>19</v>
      </c>
      <c r="X19" s="3"/>
      <c r="Y19" s="3"/>
      <c r="Z19" s="94"/>
      <c r="AA19" s="93"/>
      <c r="AB19" s="101"/>
      <c r="AC19" s="101"/>
      <c r="AD19" s="101"/>
    </row>
    <row r="20" spans="1:31">
      <c r="A20" s="99">
        <v>201</v>
      </c>
      <c r="B20" s="3"/>
      <c r="C20" s="55" t="s">
        <v>30</v>
      </c>
      <c r="D20" s="3"/>
      <c r="E20" s="20">
        <f t="array" aca="1" ref="E20" ca="1">SUM(IF($A20=INDIRECT($AC$11),INDIRECT(AD$11),""))*E$75</f>
        <v>450751.55000000005</v>
      </c>
      <c r="F20" s="19">
        <f t="shared" ref="F20:F25" ca="1" si="10">IFERROR(E20/(E9*E$74*E$75),0)</f>
        <v>133.43740378922442</v>
      </c>
      <c r="G20" s="18">
        <f t="shared" ref="G20:G26" ca="1" si="11">IFERROR(E20/E$34,0)</f>
        <v>8.4253324132210372E-2</v>
      </c>
      <c r="H20" s="3"/>
      <c r="I20" s="20">
        <f t="array" aca="1" ref="I20" ca="1">SUM(IF($A20=INDIRECT($AC$11),INDIRECT(AE$11),""))*I$75</f>
        <v>403227.5</v>
      </c>
      <c r="J20" s="19">
        <f t="shared" ref="J20:J25" ca="1" si="12">IFERROR(I20/(I9*I$74*I$75),0)</f>
        <v>126.20579029733959</v>
      </c>
      <c r="K20" s="18">
        <f ca="1">IFERROR(I20/I$34,0)</f>
        <v>0.1235409016871353</v>
      </c>
      <c r="L20" s="3"/>
      <c r="M20" s="20">
        <f t="array" aca="1" ref="M20" ca="1">SUM(IF($A20=INDIRECT($AC$11),INDIRECT(AF$11),""))*M$75</f>
        <v>461512.39999999997</v>
      </c>
      <c r="N20" s="19">
        <f t="shared" ref="N20:N25" ca="1" si="13">IFERROR(M20/(M9*M$74*M$75),0)</f>
        <v>132.23851002865331</v>
      </c>
      <c r="O20" s="18">
        <f ca="1">IFERROR(M20/M$34,0)</f>
        <v>0.13507556639768092</v>
      </c>
      <c r="P20" s="3"/>
      <c r="Q20" s="20">
        <f t="array" aca="1" ref="Q20" ca="1">SUM(IF($A20=INDIRECT($AC$11),INDIRECT(AG$11),""))*Q$75</f>
        <v>464679.31401098898</v>
      </c>
      <c r="R20" s="19">
        <f t="shared" ref="R20:R25" ca="1" si="14">IFERROR(Q20/(Q9*Q$74*Q$75),0)</f>
        <v>138.99406718656269</v>
      </c>
      <c r="S20" s="18">
        <f ca="1">IFERROR(Q20/Q$34,0)</f>
        <v>0.123378888002233</v>
      </c>
      <c r="T20" s="3"/>
      <c r="U20" s="20">
        <f>V20*U9*(U$74*U$75)</f>
        <v>459900</v>
      </c>
      <c r="V20" s="19">
        <v>140</v>
      </c>
      <c r="W20" s="18">
        <f t="shared" ref="W20:W28" ca="1" si="15">IFERROR(U20/U$34,0)</f>
        <v>0.10442337649495645</v>
      </c>
      <c r="X20" s="3"/>
      <c r="Y20" s="3"/>
      <c r="AA20" s="93"/>
      <c r="AB20" s="101"/>
      <c r="AC20" s="101"/>
      <c r="AD20" s="101"/>
    </row>
    <row r="21" spans="1:31">
      <c r="A21" s="99">
        <v>202</v>
      </c>
      <c r="B21" s="3"/>
      <c r="C21" s="55" t="s">
        <v>29</v>
      </c>
      <c r="D21" s="3"/>
      <c r="E21" s="20">
        <f t="array" aca="1" ref="E21" ca="1">SUM(IF($A21=INDIRECT($AC$11),INDIRECT(AD$11),""))*E$75</f>
        <v>1258529.6499999999</v>
      </c>
      <c r="F21" s="19">
        <f t="shared" ca="1" si="10"/>
        <v>468.72612662942271</v>
      </c>
      <c r="G21" s="18">
        <f t="shared" ca="1" si="11"/>
        <v>0.23524113567983793</v>
      </c>
      <c r="H21" s="3"/>
      <c r="I21" s="20">
        <f t="array" aca="1" ref="I21" ca="1">SUM(IF($A21=INDIRECT($AC$11),INDIRECT(AE$11),""))*I$75</f>
        <v>513550.26</v>
      </c>
      <c r="J21" s="19">
        <f t="shared" ca="1" si="12"/>
        <v>427.24647254575706</v>
      </c>
      <c r="K21" s="18">
        <f t="shared" ref="K21:K24" ca="1" si="16">IFERROR(I21/I$34,0)</f>
        <v>0.15734160537677311</v>
      </c>
      <c r="L21" s="3"/>
      <c r="M21" s="20">
        <f t="array" aca="1" ref="M21" ca="1">SUM(IF($A21=INDIRECT($AC$11),INDIRECT(AF$11),""))*M$75</f>
        <v>841534.11999999988</v>
      </c>
      <c r="N21" s="19">
        <f t="shared" ca="1" si="13"/>
        <v>415.98325259515565</v>
      </c>
      <c r="O21" s="18">
        <f t="shared" ref="O21:O24" ca="1" si="17">IFERROR(M21/M$34,0)</f>
        <v>0.24630041988465309</v>
      </c>
      <c r="P21" s="3"/>
      <c r="Q21" s="20">
        <f t="array" aca="1" ref="Q21" ca="1">SUM(IF($A21=INDIRECT($AC$11),INDIRECT(AG$11),""))*Q$75</f>
        <v>1189848.1379120878</v>
      </c>
      <c r="R21" s="19">
        <f t="shared" ca="1" si="14"/>
        <v>417.22513361462728</v>
      </c>
      <c r="S21" s="18">
        <f t="shared" ref="S21:S24" ca="1" si="18">IFERROR(Q21/Q$34,0)</f>
        <v>0.31592140153596188</v>
      </c>
      <c r="T21" s="3"/>
      <c r="U21" s="20">
        <f>V21*U10*(U$74*U$75)</f>
        <v>1231875</v>
      </c>
      <c r="V21" s="19">
        <v>450</v>
      </c>
      <c r="W21" s="18">
        <f t="shared" ca="1" si="15"/>
        <v>0.27970547275434765</v>
      </c>
      <c r="X21" s="15"/>
      <c r="Y21" s="15"/>
      <c r="AA21" s="93"/>
      <c r="AB21" s="101"/>
      <c r="AC21" s="101"/>
      <c r="AD21" s="101"/>
    </row>
    <row r="22" spans="1:31">
      <c r="A22" s="99">
        <v>203</v>
      </c>
      <c r="B22" s="3"/>
      <c r="C22" s="55" t="s">
        <v>28</v>
      </c>
      <c r="D22" s="3"/>
      <c r="E22" s="20">
        <f t="array" aca="1" ref="E22" ca="1">SUM(IF($A22=INDIRECT($AC$11),INDIRECT(AD$11),""))*E$75</f>
        <v>2556597.4400000004</v>
      </c>
      <c r="F22" s="19">
        <f t="shared" ca="1" si="10"/>
        <v>144.87433784779284</v>
      </c>
      <c r="G22" s="18">
        <f t="shared" ca="1" si="11"/>
        <v>0.47787263912436739</v>
      </c>
      <c r="H22" s="3"/>
      <c r="I22" s="20">
        <f t="array" aca="1" ref="I22" ca="1">SUM(IF($A22=INDIRECT($AC$11),INDIRECT(AE$11),""))*I$75</f>
        <v>1921199.42</v>
      </c>
      <c r="J22" s="19">
        <f t="shared" ca="1" si="12"/>
        <v>143.27686031769707</v>
      </c>
      <c r="K22" s="18">
        <f t="shared" ca="1" si="16"/>
        <v>0.58861736530271713</v>
      </c>
      <c r="L22" s="3"/>
      <c r="M22" s="20">
        <f t="array" aca="1" ref="M22" ca="1">SUM(IF($A22=INDIRECT($AC$11),INDIRECT(AF$11),""))*M$75</f>
        <v>1673373.34</v>
      </c>
      <c r="N22" s="19">
        <f t="shared" ca="1" si="13"/>
        <v>133.84845144776835</v>
      </c>
      <c r="O22" s="18">
        <f t="shared" ca="1" si="17"/>
        <v>0.48976333397602989</v>
      </c>
      <c r="P22" s="3"/>
      <c r="Q22" s="20">
        <f t="array" aca="1" ref="Q22" ca="1">SUM(IF($A22=INDIRECT($AC$11),INDIRECT(AG$11),""))*Q$75</f>
        <v>1642241.5318681316</v>
      </c>
      <c r="R22" s="19">
        <f t="shared" ca="1" si="14"/>
        <v>128.34970532915358</v>
      </c>
      <c r="S22" s="18">
        <f t="shared" ca="1" si="18"/>
        <v>0.43603820510973329</v>
      </c>
      <c r="T22" s="3"/>
      <c r="U22" s="20">
        <f>V22*U11*(U$74*U$75)</f>
        <v>2197300</v>
      </c>
      <c r="V22" s="19">
        <v>140</v>
      </c>
      <c r="W22" s="18">
        <f t="shared" ca="1" si="15"/>
        <v>0.49891168769812527</v>
      </c>
      <c r="X22" s="58"/>
      <c r="Y22" s="58"/>
      <c r="AA22" s="105"/>
      <c r="AB22" s="100"/>
      <c r="AC22" s="101"/>
      <c r="AD22" s="101"/>
    </row>
    <row r="23" spans="1:31">
      <c r="A23" s="99">
        <v>204</v>
      </c>
      <c r="B23" s="3"/>
      <c r="C23" s="55" t="s">
        <v>27</v>
      </c>
      <c r="D23" s="3"/>
      <c r="E23" s="20">
        <f t="array" aca="1" ref="E23" ca="1">SUM(IF($A23=INDIRECT($AC$11),INDIRECT(AD$11),""))*E$75</f>
        <v>246140.65000000002</v>
      </c>
      <c r="F23" s="19">
        <f t="shared" ca="1" si="10"/>
        <v>138.98399209486166</v>
      </c>
      <c r="G23" s="18">
        <f t="shared" ca="1" si="11"/>
        <v>4.6007979266101125E-2</v>
      </c>
      <c r="H23" s="3"/>
      <c r="I23" s="20">
        <f t="array" aca="1" ref="I23" ca="1">SUM(IF($A23=INDIRECT($AC$11),INDIRECT(AE$11),""))*I$75</f>
        <v>164037.81</v>
      </c>
      <c r="J23" s="19">
        <f t="shared" ca="1" si="12"/>
        <v>144.01914837576822</v>
      </c>
      <c r="K23" s="18">
        <f t="shared" ca="1" si="16"/>
        <v>5.0257928732993111E-2</v>
      </c>
      <c r="L23" s="3"/>
      <c r="M23" s="20">
        <f t="array" aca="1" ref="M23" ca="1">SUM(IF($A23=INDIRECT($AC$11),INDIRECT(AF$11),""))*M$75</f>
        <v>190032.55</v>
      </c>
      <c r="N23" s="19">
        <f t="shared" ca="1" si="13"/>
        <v>134.87051100070971</v>
      </c>
      <c r="O23" s="18">
        <f t="shared" ca="1" si="17"/>
        <v>5.5618774978192606E-2</v>
      </c>
      <c r="P23" s="3"/>
      <c r="Q23" s="20">
        <f t="array" aca="1" ref="Q23" ca="1">SUM(IF($A23=INDIRECT($AC$11),INDIRECT(AG$11),""))*Q$75</f>
        <v>217578.40521978019</v>
      </c>
      <c r="R23" s="19">
        <f t="shared" ca="1" si="14"/>
        <v>132.14512789281363</v>
      </c>
      <c r="S23" s="18">
        <f t="shared" ca="1" si="18"/>
        <v>5.7770124212331291E-2</v>
      </c>
      <c r="T23" s="3"/>
      <c r="U23" s="20">
        <f>V23*U12*(U$74*U$75)</f>
        <v>204400</v>
      </c>
      <c r="V23" s="19">
        <v>140</v>
      </c>
      <c r="W23" s="18">
        <f t="shared" ca="1" si="15"/>
        <v>4.6410389553313981E-2</v>
      </c>
      <c r="X23" s="266"/>
      <c r="Y23" s="3"/>
      <c r="Z23" s="109"/>
      <c r="AA23" s="105"/>
      <c r="AB23" s="100"/>
      <c r="AC23" s="100"/>
      <c r="AD23" s="100"/>
    </row>
    <row r="24" spans="1:31">
      <c r="A24" s="99">
        <v>205</v>
      </c>
      <c r="B24" s="3"/>
      <c r="C24" s="55" t="s">
        <v>48</v>
      </c>
      <c r="D24" s="3"/>
      <c r="E24" s="20">
        <f t="array" aca="1" ref="E24" ca="1">SUM(IF($A24=INDIRECT($AC$11),INDIRECT(AD$11),""))*E$75</f>
        <v>178921.19</v>
      </c>
      <c r="F24" s="19">
        <f t="shared" ca="1" si="10"/>
        <v>515.62302593659945</v>
      </c>
      <c r="G24" s="18">
        <f t="shared" ca="1" si="11"/>
        <v>3.3443490133735078E-2</v>
      </c>
      <c r="H24" s="3"/>
      <c r="I24" s="20">
        <f t="array" aca="1" ref="I24" ca="1">SUM(IF($A24=INDIRECT($AC$11),INDIRECT(AE$11),""))*I$75</f>
        <v>69465.460000000021</v>
      </c>
      <c r="J24" s="19">
        <f t="shared" ca="1" si="12"/>
        <v>518.39895522388076</v>
      </c>
      <c r="K24" s="18">
        <f t="shared" ca="1" si="16"/>
        <v>2.1282838012069198E-2</v>
      </c>
      <c r="L24" s="3"/>
      <c r="M24" s="20">
        <f t="array" aca="1" ref="M24" ca="1">SUM(IF($A24=INDIRECT($AC$11),INDIRECT(AF$11),""))*M$75</f>
        <v>59096.450000000012</v>
      </c>
      <c r="N24" s="19">
        <f t="shared" ca="1" si="13"/>
        <v>500.81737288135599</v>
      </c>
      <c r="O24" s="18">
        <f t="shared" ca="1" si="17"/>
        <v>1.7296363989011417E-2</v>
      </c>
      <c r="P24" s="3"/>
      <c r="Q24" s="20">
        <f t="array" aca="1" ref="Q24" ca="1">SUM(IF($A24=INDIRECT($AC$11),INDIRECT(AG$11),""))*Q$75</f>
        <v>65902.053571428565</v>
      </c>
      <c r="R24" s="19">
        <f t="shared" ca="1" si="14"/>
        <v>432.37828947368416</v>
      </c>
      <c r="S24" s="18">
        <f t="shared" ca="1" si="18"/>
        <v>1.7497921343910223E-2</v>
      </c>
      <c r="T24" s="3"/>
      <c r="U24" s="20">
        <f>V24*U13*(U$74*U$75)</f>
        <v>95812.5</v>
      </c>
      <c r="V24" s="19">
        <v>525</v>
      </c>
      <c r="W24" s="18">
        <f t="shared" ca="1" si="15"/>
        <v>2.1754870103115928E-2</v>
      </c>
      <c r="X24" s="3"/>
      <c r="Y24" s="3"/>
      <c r="Z24" s="94"/>
      <c r="AA24" s="219"/>
      <c r="AB24" s="100"/>
      <c r="AC24" s="100"/>
      <c r="AD24" s="100"/>
    </row>
    <row r="25" spans="1:31">
      <c r="A25" s="47"/>
      <c r="B25" s="3"/>
      <c r="C25" s="54" t="s">
        <v>495</v>
      </c>
      <c r="D25" s="3"/>
      <c r="E25" s="53">
        <f ca="1">SUM(E20:E24)</f>
        <v>4690940.4800000014</v>
      </c>
      <c r="F25" s="52">
        <f t="shared" ca="1" si="10"/>
        <v>181.62228898869449</v>
      </c>
      <c r="G25" s="51">
        <f t="shared" ca="1" si="11"/>
        <v>0.87681856833625205</v>
      </c>
      <c r="H25" s="3"/>
      <c r="I25" s="53">
        <f ca="1">SUM(I20:I24)</f>
        <v>3071480.4499999997</v>
      </c>
      <c r="J25" s="52">
        <f t="shared" ca="1" si="12"/>
        <v>160.98749672414695</v>
      </c>
      <c r="K25" s="51">
        <f ca="1">IFERROR(I25/I$34,0)</f>
        <v>0.94104063911168778</v>
      </c>
      <c r="L25" s="3"/>
      <c r="M25" s="53">
        <f ca="1">SUM(M20:M24)</f>
        <v>3225548.86</v>
      </c>
      <c r="N25" s="52">
        <f t="shared" ca="1" si="13"/>
        <v>165.05725411933273</v>
      </c>
      <c r="O25" s="51">
        <f ca="1">IFERROR(M25/M$34,0)</f>
        <v>0.94405445922556797</v>
      </c>
      <c r="P25" s="3"/>
      <c r="Q25" s="53">
        <f ca="1">SUM(Q20:Q24)</f>
        <v>3580249.4425824173</v>
      </c>
      <c r="R25" s="52">
        <f t="shared" ca="1" si="14"/>
        <v>172.21881825197764</v>
      </c>
      <c r="S25" s="51">
        <f ca="1">IFERROR(Q25/Q$34,0)</f>
        <v>0.95060654020416968</v>
      </c>
      <c r="T25" s="3"/>
      <c r="U25" s="53">
        <f>SUM(U20:U24)</f>
        <v>4189287.5</v>
      </c>
      <c r="V25" s="52">
        <f>IFERROR(U25/(U14*U$74*U$75),0)</f>
        <v>179.3359375</v>
      </c>
      <c r="W25" s="51">
        <f t="shared" ca="1" si="15"/>
        <v>0.95120579660385929</v>
      </c>
      <c r="X25" s="300"/>
      <c r="Z25" s="94"/>
      <c r="AA25" s="219"/>
      <c r="AB25" s="110"/>
      <c r="AC25" s="100"/>
      <c r="AD25" s="100"/>
    </row>
    <row r="26" spans="1:31">
      <c r="A26" s="99">
        <v>206</v>
      </c>
      <c r="B26" s="3"/>
      <c r="C26" s="46" t="s">
        <v>50</v>
      </c>
      <c r="D26" s="3"/>
      <c r="E26" s="20">
        <f t="array" aca="1" ref="E26" ca="1">SUM(IF($A26=INDIRECT($AC$11),INDIRECT(AD$11),""))*E$75</f>
        <v>658875.19999999995</v>
      </c>
      <c r="F26" s="19">
        <f ca="1">IFERROR(E26/(E$15*E$74*E$75),0)</f>
        <v>25.510113055598573</v>
      </c>
      <c r="G26" s="18">
        <f t="shared" ca="1" si="11"/>
        <v>0.1231552632226665</v>
      </c>
      <c r="H26" s="3"/>
      <c r="I26" s="20">
        <f t="array" aca="1" ref="I26" ca="1">SUM(IF($A26=INDIRECT($AC$11),INDIRECT(AE$11),""))*I$75</f>
        <v>192428.58</v>
      </c>
      <c r="J26" s="19">
        <f ca="1">IFERROR(I26/(I$15*I$74*I$75),0)</f>
        <v>10.085883956182188</v>
      </c>
      <c r="K26" s="18">
        <f t="shared" ref="K26" ca="1" si="19">IFERROR(I26/I$34,0)</f>
        <v>5.8956297086818356E-2</v>
      </c>
      <c r="L26" s="3"/>
      <c r="M26" s="20">
        <f t="array" aca="1" ref="M26" ca="1">SUM(IF($A26=INDIRECT($AC$11),INDIRECT(AF$11),""))*M$75</f>
        <v>191141.51</v>
      </c>
      <c r="N26" s="19">
        <f ca="1">IFERROR(M26/(M$15*M$74*M$75),0)</f>
        <v>9.7810618155767077</v>
      </c>
      <c r="O26" s="18">
        <f t="shared" ref="O26:O27" ca="1" si="20">IFERROR(M26/M$34,0)</f>
        <v>5.5943345672527962E-2</v>
      </c>
      <c r="P26" s="3"/>
      <c r="Q26" s="20">
        <f t="array" aca="1" ref="Q26" ca="1">SUM(IF($A26=INDIRECT($AC$11),INDIRECT(AG$11),""))*Q$75</f>
        <v>186029.55</v>
      </c>
      <c r="R26" s="19">
        <f ca="1">IFERROR(Q26/(Q$15*Q$74*Q$75),0)</f>
        <v>8.9484796449932471</v>
      </c>
      <c r="S26" s="18">
        <f t="shared" ref="S26:S28" ca="1" si="21">IFERROR(Q26/Q$34,0)</f>
        <v>4.9393459795830333E-2</v>
      </c>
      <c r="T26" s="3"/>
      <c r="U26" s="20">
        <f ca="1">SUM(U9:U10,U13)*Therapies_PPD*U74</f>
        <v>214898.76017338844</v>
      </c>
      <c r="V26" s="19">
        <f ca="1">IFERROR(U26/(U$15*U$74*U$75),0)</f>
        <v>9.199433226600533</v>
      </c>
      <c r="W26" s="18">
        <f t="shared" ca="1" si="15"/>
        <v>4.879420339614067E-2</v>
      </c>
      <c r="X26" s="3"/>
      <c r="Z26" s="94"/>
      <c r="AA26" s="219"/>
      <c r="AB26" s="100"/>
      <c r="AC26" s="100"/>
      <c r="AD26" s="100"/>
    </row>
    <row r="27" spans="1:31">
      <c r="A27" s="99">
        <v>207</v>
      </c>
      <c r="B27" s="3"/>
      <c r="C27" s="46" t="s">
        <v>25</v>
      </c>
      <c r="D27" s="3"/>
      <c r="E27" s="20">
        <f t="array" aca="1" ref="E27" ca="1">SUM(IF($A27=INDIRECT($AC$11),INDIRECT(AD$11),""))*E$75</f>
        <v>140</v>
      </c>
      <c r="F27" s="19">
        <f ca="1">IFERROR(E27/(E$15*E$74*E$75),0)</f>
        <v>5.4204739042899176E-3</v>
      </c>
      <c r="G27" s="18">
        <f t="shared" ref="G27:G28" ca="1" si="22">IFERROR(E27/E$34,0)</f>
        <v>2.6168441081366111E-5</v>
      </c>
      <c r="H27" s="3"/>
      <c r="I27" s="20">
        <f t="array" aca="1" ref="I27" ca="1">SUM(IF($A27=INDIRECT($AC$11),INDIRECT(AE$11),""))*I$75</f>
        <v>10</v>
      </c>
      <c r="J27" s="19">
        <f ca="1">IFERROR(I27/(I$15*I$74*I$75),0)</f>
        <v>5.2413648514073067E-4</v>
      </c>
      <c r="K27" s="18">
        <f t="shared" ref="K27:K28" ca="1" si="23">IFERROR(I27/I$34,0)</f>
        <v>3.0638014938746814E-6</v>
      </c>
      <c r="L27" s="3"/>
      <c r="M27" s="20">
        <f t="array" aca="1" ref="M27" ca="1">SUM(IF($A27=INDIRECT($AC$11),INDIRECT(AF$11),""))*M$75</f>
        <v>7.5</v>
      </c>
      <c r="N27" s="19">
        <f ca="1">IFERROR(M27/(M$15*M$74*M$75),0)</f>
        <v>3.8378876266502914E-4</v>
      </c>
      <c r="O27" s="18">
        <f t="shared" ca="1" si="20"/>
        <v>2.1951019040498302E-6</v>
      </c>
      <c r="P27" s="3"/>
      <c r="Q27" s="20">
        <f t="array" aca="1" ref="Q27" ca="1">SUM(IF($A27=INDIRECT($AC$11),INDIRECT(AG$11),""))*Q$75</f>
        <v>0</v>
      </c>
      <c r="R27" s="19">
        <f ca="1">IFERROR(Q27/(Q$15*Q$74*Q$75),0)</f>
        <v>0</v>
      </c>
      <c r="S27" s="18">
        <f t="shared" ca="1" si="21"/>
        <v>0</v>
      </c>
      <c r="T27" s="3"/>
      <c r="U27" s="20">
        <v>0</v>
      </c>
      <c r="V27" s="19">
        <f>IFERROR(U27/(U$15*U$74*U$75),0)</f>
        <v>0</v>
      </c>
      <c r="W27" s="18">
        <f t="shared" ca="1" si="15"/>
        <v>0</v>
      </c>
      <c r="X27" s="3"/>
      <c r="Y27" s="3"/>
      <c r="Z27" s="94"/>
      <c r="AA27" s="105"/>
      <c r="AB27" s="100"/>
      <c r="AC27" s="100"/>
      <c r="AD27" s="100"/>
    </row>
    <row r="28" spans="1:31">
      <c r="A28" s="99">
        <v>208</v>
      </c>
      <c r="B28" s="3"/>
      <c r="C28" s="46" t="s">
        <v>24</v>
      </c>
      <c r="D28" s="3"/>
      <c r="E28" s="20">
        <f t="array" aca="1" ref="E28" ca="1">SUM(IF($A28=INDIRECT($AC$11),INDIRECT(AD$11),""))*E$75</f>
        <v>0</v>
      </c>
      <c r="F28" s="19">
        <f ca="1">IFERROR(E28/(E$15*E$74*E$75),0)</f>
        <v>0</v>
      </c>
      <c r="G28" s="18">
        <f t="shared" ca="1" si="22"/>
        <v>0</v>
      </c>
      <c r="H28" s="3"/>
      <c r="I28" s="20">
        <f t="array" aca="1" ref="I28" ca="1">SUM(IF($A28=INDIRECT($AC$11),INDIRECT(AE$11),""))*I$75</f>
        <v>0</v>
      </c>
      <c r="J28" s="19">
        <f ca="1">IFERROR(I28/(I$15*I$74*I$75),0)</f>
        <v>0</v>
      </c>
      <c r="K28" s="18">
        <f t="shared" ca="1" si="23"/>
        <v>0</v>
      </c>
      <c r="L28" s="3"/>
      <c r="M28" s="20">
        <f t="array" aca="1" ref="M28" ca="1">IFERROR(-SUM(IF($A28=INDIRECT($AC$11),IF(M$1&lt;=INDIRECT($AB$11),IF(N$1&gt;=INDIRECT($AB$11),INDIRECT($AD$11)*M$75,""),""),"")),0)</f>
        <v>0</v>
      </c>
      <c r="N28" s="19">
        <f ca="1">IFERROR(M28/(M$15*M$74*M$75),0)</f>
        <v>0</v>
      </c>
      <c r="O28" s="18">
        <f t="shared" ref="O28" ca="1" si="24">IFERROR(M28/M$34,0)</f>
        <v>0</v>
      </c>
      <c r="P28" s="3"/>
      <c r="Q28" s="20">
        <f t="array" aca="1" ref="Q28" ca="1">SUM(IF($A28=INDIRECT($AC$11),INDIRECT(AG$11),""))*Q$75</f>
        <v>0</v>
      </c>
      <c r="R28" s="19">
        <f ca="1">IFERROR(Q28/(Q$15*Q$74*Q$75),0)</f>
        <v>0</v>
      </c>
      <c r="S28" s="18">
        <f t="shared" ca="1" si="21"/>
        <v>0</v>
      </c>
      <c r="T28" s="3"/>
      <c r="U28" s="20">
        <f ca="1">U17*F28*$U$74</f>
        <v>0</v>
      </c>
      <c r="V28" s="19">
        <f ca="1">IFERROR(U28/(U$15*U$74*U$75),0)</f>
        <v>0</v>
      </c>
      <c r="W28" s="18">
        <f t="shared" ca="1" si="15"/>
        <v>0</v>
      </c>
      <c r="X28" s="3"/>
      <c r="Y28" s="3"/>
      <c r="Z28" s="94"/>
      <c r="AA28" s="105"/>
      <c r="AB28" s="100"/>
      <c r="AC28" s="110"/>
      <c r="AD28" s="110"/>
    </row>
    <row r="29" spans="1:31" hidden="1" outlineLevel="1">
      <c r="A29" s="3"/>
      <c r="B29" s="3"/>
      <c r="C29" s="16"/>
      <c r="D29" s="3"/>
      <c r="E29" s="14"/>
      <c r="F29" s="15"/>
      <c r="G29" s="13"/>
      <c r="H29" s="3"/>
      <c r="I29" s="14"/>
      <c r="J29" s="15"/>
      <c r="K29" s="13"/>
      <c r="L29" s="3"/>
      <c r="M29" s="14"/>
      <c r="N29" s="15"/>
      <c r="O29" s="13"/>
      <c r="P29" s="3"/>
      <c r="Q29" s="14"/>
      <c r="R29" s="15"/>
      <c r="S29" s="13"/>
      <c r="T29" s="3"/>
      <c r="U29" s="14"/>
      <c r="V29" s="15"/>
      <c r="W29" s="13"/>
      <c r="X29" s="3"/>
      <c r="Y29" s="3"/>
      <c r="Z29" s="94"/>
      <c r="AA29" s="93"/>
      <c r="AB29" s="100"/>
      <c r="AC29" s="100"/>
      <c r="AD29" s="100"/>
    </row>
    <row r="30" spans="1:31" hidden="1" outlineLevel="1">
      <c r="A30" s="99"/>
      <c r="B30" s="32"/>
      <c r="C30" s="50" t="s">
        <v>51</v>
      </c>
      <c r="D30" s="32"/>
      <c r="E30" s="35">
        <f t="array" aca="1" ref="E30" ca="1">IFERROR(-SUM(IF($A30=INDIRECT($AC$11),IF(E$1&lt;=INDIRECT($AB$11),IF(F$1&gt;=INDIRECT($AB$11),INDIRECT($AD$11)*E$75,""),""),"")),0)</f>
        <v>0</v>
      </c>
      <c r="F30" s="34">
        <f ca="1">IFERROR(E30/(E$15*E$74*E$75),0)</f>
        <v>0</v>
      </c>
      <c r="G30" s="33">
        <f ca="1">IFERROR(E30/E$32,0)</f>
        <v>0</v>
      </c>
      <c r="H30" s="32"/>
      <c r="I30" s="35">
        <f t="array" aca="1" ref="I30" ca="1">IFERROR(-SUM(IF($A30=INDIRECT($AC$11),IF(I$1&lt;=INDIRECT($AB$11),IF(J$1&gt;=INDIRECT($AB$11),INDIRECT($AD$11)*I$75,""),""),"")),0)</f>
        <v>0</v>
      </c>
      <c r="J30" s="34">
        <f ca="1">IFERROR(I30/(I$15*I$74*I$75),0)</f>
        <v>0</v>
      </c>
      <c r="K30" s="33">
        <f ca="1">IFERROR(I30/I$32,0)</f>
        <v>0</v>
      </c>
      <c r="L30" s="32"/>
      <c r="M30" s="35">
        <f t="array" aca="1" ref="M30" ca="1">IFERROR(-SUM(IF($A30=INDIRECT($AC$11),IF(M$1&lt;=INDIRECT($AB$11),IF(N$1&gt;=INDIRECT($AB$11),INDIRECT($AD$11)*M$75,""),""),"")),0)</f>
        <v>0</v>
      </c>
      <c r="N30" s="34">
        <f ca="1">IFERROR(M30/(M$15*M$74*M$75),0)</f>
        <v>0</v>
      </c>
      <c r="O30" s="33">
        <f ca="1">IFERROR(M30/M$32,0)</f>
        <v>0</v>
      </c>
      <c r="P30" s="32"/>
      <c r="Q30" s="35">
        <f t="array" aca="1" ref="Q30" ca="1">IFERROR(-SUM(IF($A30=INDIRECT($AC$11),IF(Q$1&lt;=INDIRECT($AB$11),IF(R$1&gt;=INDIRECT($AB$11),INDIRECT($AD$11)*Q$75,""),""),"")),0)</f>
        <v>0</v>
      </c>
      <c r="R30" s="34">
        <f ca="1">IFERROR(Q30/(Q$15*Q$74*Q$75),0)</f>
        <v>0</v>
      </c>
      <c r="S30" s="33">
        <f ca="1">IFERROR(Q30/Q$32,0)</f>
        <v>0</v>
      </c>
      <c r="T30" s="32"/>
      <c r="U30" s="35">
        <f t="array" aca="1" ref="U30" ca="1">IFERROR(-SUM(IF($A30=INDIRECT($AC$11),IF(U$1&lt;=INDIRECT($AB$11),IF(V$1&gt;=INDIRECT($AB$11),INDIRECT($AD$11)*U$75,""),""),"")),0)</f>
        <v>0</v>
      </c>
      <c r="V30" s="34">
        <f ca="1">IFERROR(U30/(U$15*U$74*U$75),0)</f>
        <v>0</v>
      </c>
      <c r="W30" s="33">
        <f ca="1">IFERROR(U30/U$32,0)</f>
        <v>0</v>
      </c>
      <c r="X30" s="3"/>
      <c r="Y30" s="3"/>
      <c r="Z30" s="94"/>
      <c r="AA30" s="93"/>
      <c r="AB30" s="100"/>
      <c r="AC30" s="100"/>
      <c r="AD30" s="100"/>
    </row>
    <row r="31" spans="1:31" hidden="1" outlineLevel="1">
      <c r="A31" s="99">
        <v>1000</v>
      </c>
      <c r="B31" s="3"/>
      <c r="C31" s="49" t="s">
        <v>52</v>
      </c>
      <c r="D31" s="3"/>
      <c r="E31" s="29">
        <f t="array" aca="1" ref="E31" ca="1">IFERROR(-SUM(IF($A31=INDIRECT($AC$11),IF(E$1&lt;=INDIRECT($AB$11),IF(F$1&gt;=INDIRECT($AB$11),INDIRECT($AD$11)*E$75,""),""),"")),0)</f>
        <v>0</v>
      </c>
      <c r="F31" s="28">
        <f ca="1">IFERROR(E31/(E$15*E$74*E$75),0)</f>
        <v>0</v>
      </c>
      <c r="G31" s="27">
        <f t="shared" ref="G31:G32" ca="1" si="25">IFERROR(E31/E$32,0)</f>
        <v>0</v>
      </c>
      <c r="H31" s="3"/>
      <c r="I31" s="29">
        <f t="array" aca="1" ref="I31" ca="1">IFERROR(-SUM(IF($A31=INDIRECT($AC$11),IF(I$1&lt;=INDIRECT($AB$11),IF(J$1&gt;=INDIRECT($AB$11),INDIRECT($AD$11)*I$75,""),""),"")),0)</f>
        <v>0</v>
      </c>
      <c r="J31" s="28">
        <f ca="1">IFERROR(I31/(I$15*I$74*I$75),0)</f>
        <v>0</v>
      </c>
      <c r="K31" s="27">
        <f t="shared" ref="K31:K32" ca="1" si="26">IFERROR(I31/I$32,0)</f>
        <v>0</v>
      </c>
      <c r="L31" s="3"/>
      <c r="M31" s="29">
        <f t="array" aca="1" ref="M31" ca="1">IFERROR(-SUM(IF($A31=INDIRECT($AC$11),IF(M$1&lt;=INDIRECT($AB$11),IF(N$1&gt;=INDIRECT($AB$11),INDIRECT($AD$11)*M$75,""),""),"")),0)</f>
        <v>0</v>
      </c>
      <c r="N31" s="28">
        <f ca="1">IFERROR(M31/(M$15*M$74*M$75),0)</f>
        <v>0</v>
      </c>
      <c r="O31" s="27">
        <f t="shared" ref="O31:O32" ca="1" si="27">IFERROR(M31/M$32,0)</f>
        <v>0</v>
      </c>
      <c r="P31" s="3"/>
      <c r="Q31" s="29">
        <f t="array" aca="1" ref="Q31" ca="1">IFERROR(-SUM(IF($A31=INDIRECT($AC$11),IF(Q$1&lt;=INDIRECT($AB$11),IF(R$1&gt;=INDIRECT($AB$11),INDIRECT($AD$11)*Q$75,""),""),"")),0)</f>
        <v>0</v>
      </c>
      <c r="R31" s="28">
        <f ca="1">IFERROR(Q31/(Q$15*Q$74*Q$75),0)</f>
        <v>0</v>
      </c>
      <c r="S31" s="27">
        <f t="shared" ref="S31:S32" ca="1" si="28">IFERROR(Q31/Q$32,0)</f>
        <v>0</v>
      </c>
      <c r="T31" s="3"/>
      <c r="U31" s="29">
        <f t="array" aca="1" ref="U31" ca="1">IFERROR(-SUM(IF($A31=INDIRECT($AC$11),IF(U$1&lt;=INDIRECT($AB$11),IF(V$1&gt;=INDIRECT($AB$11),INDIRECT($AD$11)*U$75,""),""),"")),0)</f>
        <v>0</v>
      </c>
      <c r="V31" s="28">
        <f ca="1">IFERROR(U31/(U$15*U$74*U$75),0)</f>
        <v>0</v>
      </c>
      <c r="W31" s="27">
        <f t="shared" ref="W31:W32" ca="1" si="29">IFERROR(U31/U$32,0)</f>
        <v>0</v>
      </c>
      <c r="X31" s="3"/>
      <c r="Y31" s="3"/>
      <c r="Z31" s="94"/>
      <c r="AA31" s="93"/>
      <c r="AB31" s="100"/>
      <c r="AC31" s="100"/>
      <c r="AD31" s="100"/>
    </row>
    <row r="32" spans="1:31" hidden="1" outlineLevel="1">
      <c r="A32" s="12"/>
      <c r="B32" s="3"/>
      <c r="C32" s="48" t="s">
        <v>23</v>
      </c>
      <c r="D32" s="3"/>
      <c r="E32" s="25">
        <f ca="1">SUM(E25,E26:E31)</f>
        <v>5349955.6800000016</v>
      </c>
      <c r="F32" s="24">
        <f ca="1">IFERROR(E32/(E$15*E$74*E$75),0)</f>
        <v>207.13782251819737</v>
      </c>
      <c r="G32" s="23">
        <f t="shared" ca="1" si="25"/>
        <v>1</v>
      </c>
      <c r="H32" s="3"/>
      <c r="I32" s="25">
        <f ca="1">SUM(I25,I26:I31)</f>
        <v>3263919.03</v>
      </c>
      <c r="J32" s="24">
        <f ca="1">IFERROR(I32/(I$15*I$74*I$75),0)</f>
        <v>171.07390481681429</v>
      </c>
      <c r="K32" s="23">
        <f t="shared" ca="1" si="26"/>
        <v>1</v>
      </c>
      <c r="L32" s="3"/>
      <c r="M32" s="25">
        <f ca="1">SUM(M25,M26:M31)</f>
        <v>3416697.87</v>
      </c>
      <c r="N32" s="24">
        <f ca="1">IFERROR(M32/(M$15*M$74*M$75),0)</f>
        <v>174.83869972367211</v>
      </c>
      <c r="O32" s="23">
        <f t="shared" ca="1" si="27"/>
        <v>1</v>
      </c>
      <c r="P32" s="3"/>
      <c r="Q32" s="25">
        <f ca="1">SUM(Q25,Q26:Q31)</f>
        <v>3766278.9925824171</v>
      </c>
      <c r="R32" s="24">
        <f ca="1">IFERROR(Q32/(Q$15*Q$74*Q$75),0)</f>
        <v>181.16729789697087</v>
      </c>
      <c r="S32" s="23">
        <f t="shared" ca="1" si="28"/>
        <v>1</v>
      </c>
      <c r="T32" s="3"/>
      <c r="U32" s="25">
        <f ca="1">SUM(U25,U26:U31)</f>
        <v>4404186.2601733888</v>
      </c>
      <c r="V32" s="24">
        <f ca="1">IFERROR(U32/(U$15*U$74*U$75),0)</f>
        <v>188.53537072660055</v>
      </c>
      <c r="W32" s="23">
        <f t="shared" ca="1" si="29"/>
        <v>1</v>
      </c>
      <c r="X32" s="3"/>
      <c r="Y32" s="3"/>
      <c r="Z32" s="94"/>
      <c r="AA32" s="93"/>
      <c r="AB32" s="100"/>
      <c r="AC32" s="100"/>
      <c r="AD32" s="100"/>
    </row>
    <row r="33" spans="1:46" hidden="1" outlineLevel="1">
      <c r="A33" s="47"/>
      <c r="B33" s="3"/>
      <c r="C33" s="46"/>
      <c r="D33" s="3"/>
      <c r="E33" s="20"/>
      <c r="F33" s="45"/>
      <c r="G33" s="18"/>
      <c r="H33" s="3"/>
      <c r="I33" s="20"/>
      <c r="J33" s="45"/>
      <c r="K33" s="18"/>
      <c r="L33" s="3"/>
      <c r="M33" s="20"/>
      <c r="N33" s="45"/>
      <c r="O33" s="18"/>
      <c r="P33" s="3"/>
      <c r="Q33" s="20"/>
      <c r="R33" s="45"/>
      <c r="S33" s="18"/>
      <c r="T33" s="3"/>
      <c r="U33" s="20"/>
      <c r="V33" s="45"/>
      <c r="W33" s="18"/>
      <c r="X33" s="3"/>
      <c r="Y33" s="3"/>
      <c r="Z33" s="94"/>
      <c r="AA33" s="93"/>
      <c r="AB33" s="100"/>
      <c r="AC33" s="100"/>
      <c r="AD33" s="100"/>
    </row>
    <row r="34" spans="1:46" s="31" customFormat="1" collapsed="1">
      <c r="A34" s="12"/>
      <c r="B34" s="3"/>
      <c r="C34" s="11" t="s">
        <v>22</v>
      </c>
      <c r="D34" s="3"/>
      <c r="E34" s="10">
        <f ca="1">SUM(E25,E26:E28)</f>
        <v>5349955.6800000016</v>
      </c>
      <c r="F34" s="9">
        <f ca="1">IFERROR(E34/(E$15*E$74*E$75),0)</f>
        <v>207.13782251819737</v>
      </c>
      <c r="G34" s="8">
        <f ca="1">IFERROR(E34/E$34,0)</f>
        <v>1</v>
      </c>
      <c r="H34" s="3"/>
      <c r="I34" s="10">
        <f ca="1">SUM(I25,I26:I28)</f>
        <v>3263919.03</v>
      </c>
      <c r="J34" s="9">
        <f ca="1">IFERROR(I34/(I$15*I$74*I$75),0)</f>
        <v>171.07390481681429</v>
      </c>
      <c r="K34" s="8">
        <f ca="1">IFERROR(I34/I$34,0)</f>
        <v>1</v>
      </c>
      <c r="L34" s="3"/>
      <c r="M34" s="10">
        <f ca="1">SUM(M25,M26:M28)</f>
        <v>3416697.87</v>
      </c>
      <c r="N34" s="9">
        <f ca="1">IFERROR(M34/(M$15*M$74*M$75),0)</f>
        <v>174.83869972367211</v>
      </c>
      <c r="O34" s="8">
        <f ca="1">IFERROR(M34/M$34,0)</f>
        <v>1</v>
      </c>
      <c r="P34" s="3"/>
      <c r="Q34" s="10">
        <f ca="1">SUM(Q25,Q26:Q28)</f>
        <v>3766278.9925824171</v>
      </c>
      <c r="R34" s="9">
        <f ca="1">IFERROR(Q34/(Q$15*Q$74*Q$75),0)</f>
        <v>181.16729789697087</v>
      </c>
      <c r="S34" s="8">
        <f ca="1">IFERROR(Q34/Q$34,0)</f>
        <v>1</v>
      </c>
      <c r="T34" s="3"/>
      <c r="U34" s="10">
        <f ca="1">SUM(U25,U26:U28)</f>
        <v>4404186.2601733888</v>
      </c>
      <c r="V34" s="9">
        <f ca="1">IFERROR(U34/(U$15*U$74*U$75),0)</f>
        <v>188.53537072660055</v>
      </c>
      <c r="W34" s="8">
        <f ca="1">IFERROR(U34/U$34,0)</f>
        <v>1</v>
      </c>
      <c r="X34" s="32"/>
      <c r="Y34" s="32"/>
      <c r="Z34" s="92"/>
      <c r="AA34" s="93"/>
      <c r="AB34" s="100"/>
      <c r="AC34" s="100"/>
      <c r="AD34" s="10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32"/>
      <c r="AS34" s="32"/>
      <c r="AT34" s="32"/>
    </row>
    <row r="35" spans="1:46">
      <c r="A35" s="12"/>
      <c r="B35" s="3"/>
      <c r="C35" s="44"/>
      <c r="D35" s="3"/>
      <c r="E35" s="43"/>
      <c r="F35" s="42"/>
      <c r="G35" s="111"/>
      <c r="H35" s="3"/>
      <c r="I35" s="43"/>
      <c r="J35" s="42"/>
      <c r="K35" s="111"/>
      <c r="L35" s="3"/>
      <c r="M35" s="43"/>
      <c r="N35" s="42"/>
      <c r="O35" s="41"/>
      <c r="P35" s="3"/>
      <c r="Q35" s="43"/>
      <c r="R35" s="42"/>
      <c r="S35" s="41"/>
      <c r="T35" s="3"/>
      <c r="U35" s="43"/>
      <c r="V35" s="42"/>
      <c r="W35" s="111"/>
      <c r="X35" s="3"/>
      <c r="Y35" s="3"/>
      <c r="AA35" s="93"/>
      <c r="AB35" s="100"/>
      <c r="AC35" s="100"/>
      <c r="AD35" s="101"/>
    </row>
    <row r="36" spans="1:46">
      <c r="A36" s="12"/>
      <c r="B36" s="3"/>
      <c r="C36" s="40" t="s">
        <v>21</v>
      </c>
      <c r="D36" s="3"/>
      <c r="E36" s="39">
        <f>G$1</f>
        <v>2014</v>
      </c>
      <c r="F36" s="57" t="s">
        <v>20</v>
      </c>
      <c r="G36" s="38" t="s">
        <v>19</v>
      </c>
      <c r="H36" s="3"/>
      <c r="I36" s="39" t="str">
        <f>K$1</f>
        <v>2015</v>
      </c>
      <c r="J36" s="57" t="s">
        <v>20</v>
      </c>
      <c r="K36" s="38" t="s">
        <v>19</v>
      </c>
      <c r="L36" s="3"/>
      <c r="M36" s="39" t="str">
        <f>O$1</f>
        <v>TTM</v>
      </c>
      <c r="N36" s="57" t="s">
        <v>20</v>
      </c>
      <c r="O36" s="38" t="s">
        <v>19</v>
      </c>
      <c r="P36" s="3"/>
      <c r="Q36" s="39" t="str">
        <f>S$1</f>
        <v>T6A</v>
      </c>
      <c r="R36" s="57" t="s">
        <v>20</v>
      </c>
      <c r="S36" s="38" t="s">
        <v>19</v>
      </c>
      <c r="T36" s="3"/>
      <c r="U36" s="39" t="str">
        <f>W$1</f>
        <v>Pro Forma</v>
      </c>
      <c r="V36" s="57" t="s">
        <v>20</v>
      </c>
      <c r="W36" s="38" t="s">
        <v>19</v>
      </c>
      <c r="X36" s="3"/>
      <c r="Y36" s="93"/>
      <c r="Z36" s="100"/>
      <c r="AC36" s="100"/>
      <c r="AD36" s="101"/>
    </row>
    <row r="37" spans="1:46">
      <c r="A37" s="99">
        <v>301</v>
      </c>
      <c r="B37" s="3"/>
      <c r="C37" s="37" t="s">
        <v>53</v>
      </c>
      <c r="D37" s="3"/>
      <c r="E37" s="20">
        <f t="array" aca="1" ref="E37" ca="1">SUM(IF(LEFT($A37,3)=LEFT(INDIRECT($AC$11),3),INDIRECT($AD$11),""))*E$75</f>
        <v>1614629.2899999991</v>
      </c>
      <c r="F37" s="19">
        <f t="shared" ref="F37:F55" ca="1" si="30">IFERROR(E37/(E$15*E$74*E$75),0)</f>
        <v>62.514685225336812</v>
      </c>
      <c r="G37" s="18">
        <f ca="1">IFERROR(E37/E$34,0)</f>
        <v>0.30180236745437838</v>
      </c>
      <c r="H37" s="3"/>
      <c r="I37" s="20">
        <f t="array" aca="1" ref="I37" ca="1">SUM(IF(LEFT($A37,3)=LEFT(INDIRECT($AC$11),3),INDIRECT($AE$11),""))*I$75</f>
        <v>1400074.1699999974</v>
      </c>
      <c r="J37" s="19">
        <f t="shared" ref="J37:J55" ca="1" si="31">IFERROR(I37/(I$15*I$74*I$75),0)</f>
        <v>73.382995440012436</v>
      </c>
      <c r="K37" s="18">
        <f ca="1">IFERROR(I37/I$34,0)</f>
        <v>0.42895493335813462</v>
      </c>
      <c r="L37" s="3"/>
      <c r="M37" s="20">
        <f t="array" aca="1" ref="M37" ca="1">SUM(IF(LEFT($A37,3)=LEFT(INDIRECT($AC$11),3),INDIRECT($AF$11),""))*M$75</f>
        <v>1612074.2699999979</v>
      </c>
      <c r="N37" s="19">
        <f t="shared" ref="N37:N55" ca="1" si="32">IFERROR(M37/(M$15*M$74*M$75),0)</f>
        <v>82.492798587657248</v>
      </c>
      <c r="O37" s="18">
        <f ca="1">IFERROR(M37/M$34,0)</f>
        <v>0.47182230660623142</v>
      </c>
      <c r="P37" s="3"/>
      <c r="Q37" s="20">
        <f t="array" aca="1" ref="Q37" ca="1">SUM(IF(LEFT($A37,3)=LEFT(INDIRECT($AC$11),3),INDIRECT($AG$11),""))*Q$75</f>
        <v>1808915.99423077</v>
      </c>
      <c r="R37" s="19">
        <f t="shared" ref="R37:R55" ca="1" si="33">IFERROR(Q37/(Q$15*Q$74*Q$75),0)</f>
        <v>87.013315647308559</v>
      </c>
      <c r="S37" s="18">
        <f ca="1">IFERROR(Q37/Q$34,0)</f>
        <v>0.48029261714105098</v>
      </c>
      <c r="T37" s="3"/>
      <c r="U37" s="20">
        <f>V37*$U$15*$U$74</f>
        <v>1541052.5248800002</v>
      </c>
      <c r="V37" s="302">
        <f>VIG_NURSING_PPD*INFLATION_FACTOR^2</f>
        <v>65.96971425000001</v>
      </c>
      <c r="W37" s="18">
        <f ca="1">IFERROR(U37/U$34,0)</f>
        <v>0.34990630137866385</v>
      </c>
      <c r="X37" s="3" t="s">
        <v>593</v>
      </c>
      <c r="Y37" s="93"/>
      <c r="Z37" s="278"/>
      <c r="AC37" s="100"/>
      <c r="AD37" s="101"/>
    </row>
    <row r="38" spans="1:46">
      <c r="A38" s="99">
        <v>302</v>
      </c>
      <c r="B38" s="3"/>
      <c r="C38" s="37" t="s">
        <v>54</v>
      </c>
      <c r="D38" s="3"/>
      <c r="E38" s="20">
        <f t="array" aca="1" ref="E38" ca="1">SUM(IF(LEFT($A38,3)=LEFT(INDIRECT($AC$11),3),INDIRECT($AD$11),""))*E$75</f>
        <v>218062.38</v>
      </c>
      <c r="F38" s="19">
        <f t="shared" ca="1" si="30"/>
        <v>8.4428674306953688</v>
      </c>
      <c r="G38" s="18">
        <f t="shared" ref="G38:G55" ca="1" si="34">IFERROR(E38/E$34,0)</f>
        <v>4.0759661022089055E-2</v>
      </c>
      <c r="H38" s="3"/>
      <c r="I38" s="20">
        <f t="array" aca="1" ref="I38" ca="1">SUM(IF(LEFT($A38,3)=LEFT(INDIRECT($AC$11),3),INDIRECT($AE$11),""))*I$75</f>
        <v>187991.45999999996</v>
      </c>
      <c r="J38" s="19">
        <f t="shared" ca="1" si="31"/>
        <v>9.8533183080874238</v>
      </c>
      <c r="K38" s="18">
        <f t="shared" ref="K38:K55" ca="1" si="35">IFERROR(I38/I$34,0)</f>
        <v>5.7596851598368227E-2</v>
      </c>
      <c r="L38" s="3"/>
      <c r="M38" s="20">
        <f t="array" aca="1" ref="M38" ca="1">SUM(IF(LEFT($A38,3)=LEFT(INDIRECT($AC$11),3),INDIRECT($AF$11),""))*M$75</f>
        <v>198552.98000000004</v>
      </c>
      <c r="N38" s="19">
        <f t="shared" ca="1" si="32"/>
        <v>10.16032033568724</v>
      </c>
      <c r="O38" s="18">
        <f t="shared" ref="O38:O55" ca="1" si="36">IFERROR(M38/M$34,0)</f>
        <v>5.8112536593702399E-2</v>
      </c>
      <c r="P38" s="3"/>
      <c r="Q38" s="20">
        <f t="array" aca="1" ref="Q38" ca="1">SUM(IF(LEFT($A38,3)=LEFT(INDIRECT($AC$11),3),INDIRECT($AG$11),""))*Q$75</f>
        <v>207042.82060439562</v>
      </c>
      <c r="R38" s="19">
        <f t="shared" ca="1" si="33"/>
        <v>9.9592697279567837</v>
      </c>
      <c r="S38" s="18">
        <f t="shared" ref="S38:S55" ca="1" si="37">IFERROR(Q38/Q$34,0)</f>
        <v>5.4972778440514035E-2</v>
      </c>
      <c r="T38" s="3"/>
      <c r="U38" s="20">
        <f ca="1">M38*INFLATION_FACTOR</f>
        <v>202027.65715000004</v>
      </c>
      <c r="V38" s="302">
        <f ca="1">F38</f>
        <v>8.4428674306953688</v>
      </c>
      <c r="W38" s="18">
        <f t="shared" ref="W38:W55" ca="1" si="38">IFERROR(U38/U$34,0)</f>
        <v>4.5871733213673486E-2</v>
      </c>
      <c r="X38" s="3" t="s">
        <v>591</v>
      </c>
      <c r="Y38" s="3"/>
      <c r="AA38" s="93"/>
      <c r="AB38" s="100"/>
      <c r="AC38" s="100"/>
      <c r="AD38" s="101"/>
    </row>
    <row r="39" spans="1:46">
      <c r="A39" s="99">
        <v>304</v>
      </c>
      <c r="B39" s="3"/>
      <c r="C39" s="37" t="s">
        <v>583</v>
      </c>
      <c r="D39" s="3"/>
      <c r="E39" s="20">
        <f t="array" aca="1" ref="E39" ca="1">SUM(IF(LEFT($A39,3)=LEFT(INDIRECT($AC$11),3),INDIRECT($AD$11),""))*E$75</f>
        <v>841716.29000000015</v>
      </c>
      <c r="F39" s="19">
        <f t="shared" ca="1" si="30"/>
        <v>32.589294176862325</v>
      </c>
      <c r="G39" s="18">
        <f t="shared" ca="1" si="34"/>
        <v>0.15733145101493623</v>
      </c>
      <c r="H39" s="3"/>
      <c r="I39" s="20">
        <f t="array" aca="1" ref="I39" ca="1">SUM(IF(LEFT($A39,3)=LEFT(INDIRECT($AC$11),3),INDIRECT($AE$11),""))*I$75</f>
        <v>288073.67000000016</v>
      </c>
      <c r="J39" s="19">
        <f t="shared" ca="1" si="31"/>
        <v>15.098992085539082</v>
      </c>
      <c r="K39" s="18">
        <f t="shared" ca="1" si="35"/>
        <v>8.8260054049196249E-2</v>
      </c>
      <c r="L39" s="3"/>
      <c r="M39" s="20">
        <f t="array" aca="1" ref="M39" ca="1">SUM(IF(LEFT($A39,3)=LEFT(INDIRECT($AC$11),3),INDIRECT($AF$11),""))*M$75</f>
        <v>340855.1399999999</v>
      </c>
      <c r="N39" s="19">
        <f t="shared" ca="1" si="32"/>
        <v>17.442182990482035</v>
      </c>
      <c r="O39" s="18">
        <f t="shared" ca="1" si="36"/>
        <v>9.9761568909222831E-2</v>
      </c>
      <c r="P39" s="3"/>
      <c r="Q39" s="20">
        <f t="array" aca="1" ref="Q39" ca="1">SUM(IF(LEFT($A39,3)=LEFT(INDIRECT($AC$11),3),INDIRECT($AG$11),""))*Q$75</f>
        <v>423715.2035714286</v>
      </c>
      <c r="R39" s="19">
        <f t="shared" ca="1" si="33"/>
        <v>20.381745128304075</v>
      </c>
      <c r="S39" s="18">
        <f t="shared" ca="1" si="37"/>
        <v>0.11250234101242208</v>
      </c>
      <c r="T39" s="3"/>
      <c r="U39" s="20">
        <f ca="1">V39*$U$15*$U$74</f>
        <v>414579.75906416943</v>
      </c>
      <c r="V39" s="302">
        <f ca="1">N39*INFLATION_FACTOR</f>
        <v>17.747421192815473</v>
      </c>
      <c r="W39" s="18">
        <f t="shared" ca="1" si="38"/>
        <v>9.4133112128606436E-2</v>
      </c>
      <c r="X39" s="3" t="s">
        <v>584</v>
      </c>
      <c r="Y39" s="3"/>
      <c r="AA39" s="93"/>
      <c r="AB39" s="100"/>
      <c r="AC39" s="100"/>
      <c r="AD39" s="101"/>
    </row>
    <row r="40" spans="1:46">
      <c r="A40" s="99">
        <v>305</v>
      </c>
      <c r="B40" s="3"/>
      <c r="C40" s="37" t="s">
        <v>18</v>
      </c>
      <c r="D40" s="3"/>
      <c r="E40" s="20">
        <f t="array" aca="1" ref="E40" ca="1">SUM(IF(LEFT($A40,3)=LEFT(INDIRECT($AC$11),3),INDIRECT($AD$11),""))*E$75</f>
        <v>332793.48000000004</v>
      </c>
      <c r="F40" s="19">
        <f t="shared" ca="1" si="30"/>
        <v>12.884988384698778</v>
      </c>
      <c r="G40" s="18">
        <f t="shared" ca="1" si="34"/>
        <v>6.2204904097448513E-2</v>
      </c>
      <c r="H40" s="3"/>
      <c r="I40" s="20">
        <f t="array" aca="1" ref="I40" ca="1">SUM(IF(LEFT($A40,3)=LEFT(INDIRECT($AC$11),3),INDIRECT($AE$11),""))*I$75</f>
        <v>262186.47000000009</v>
      </c>
      <c r="J40" s="19">
        <f t="shared" ca="1" si="31"/>
        <v>13.742149483725568</v>
      </c>
      <c r="K40" s="18">
        <f t="shared" ca="1" si="35"/>
        <v>8.032872984597296E-2</v>
      </c>
      <c r="L40" s="3"/>
      <c r="M40" s="20">
        <f t="array" aca="1" ref="M40" ca="1">SUM(IF(LEFT($A40,3)=LEFT(INDIRECT($AC$11),3),INDIRECT($AF$11),""))*M$75</f>
        <v>245827.79000000004</v>
      </c>
      <c r="N40" s="19">
        <f t="shared" ca="1" si="32"/>
        <v>12.57945911370382</v>
      </c>
      <c r="O40" s="18">
        <f t="shared" ca="1" si="36"/>
        <v>7.1948939986314922E-2</v>
      </c>
      <c r="P40" s="3"/>
      <c r="Q40" s="20">
        <f t="array" aca="1" ref="Q40" ca="1">SUM(IF(LEFT($A40,3)=LEFT(INDIRECT($AC$11),3),INDIRECT($AG$11),""))*Q$75</f>
        <v>234773.53516483514</v>
      </c>
      <c r="R40" s="19">
        <f t="shared" ca="1" si="33"/>
        <v>11.293185413852981</v>
      </c>
      <c r="S40" s="18">
        <f t="shared" ca="1" si="37"/>
        <v>6.2335672855679349E-2</v>
      </c>
      <c r="T40" s="3"/>
      <c r="U40" s="20">
        <f ca="1">V40*$U$15*$U$74</f>
        <v>298998.64778180339</v>
      </c>
      <c r="V40" s="302">
        <f ca="1">N40*INFLATION_FACTOR</f>
        <v>12.799599648193638</v>
      </c>
      <c r="W40" s="18">
        <f t="shared" ca="1" si="38"/>
        <v>6.7889646377043117E-2</v>
      </c>
      <c r="X40" s="3" t="s">
        <v>585</v>
      </c>
      <c r="Y40" s="3"/>
      <c r="Z40" s="94"/>
      <c r="AA40" s="93"/>
      <c r="AB40" s="100"/>
      <c r="AC40" s="100"/>
      <c r="AD40" s="101"/>
    </row>
    <row r="41" spans="1:46">
      <c r="A41" s="99">
        <v>306</v>
      </c>
      <c r="B41" s="3"/>
      <c r="C41" s="37" t="s">
        <v>15</v>
      </c>
      <c r="D41" s="3"/>
      <c r="E41" s="20">
        <f t="array" aca="1" ref="E41" ca="1">SUM(IF(LEFT($A41,3)=LEFT(INDIRECT($AC$11),3),INDIRECT($AD$11),""))*E$75</f>
        <v>41296.07</v>
      </c>
      <c r="F41" s="19">
        <f t="shared" ca="1" si="30"/>
        <v>1.5988876413194981</v>
      </c>
      <c r="G41" s="18">
        <f t="shared" ca="1" si="34"/>
        <v>7.7189555334783609E-3</v>
      </c>
      <c r="H41" s="3"/>
      <c r="I41" s="20">
        <f t="array" aca="1" ref="I41" ca="1">SUM(IF(LEFT($A41,3)=LEFT(INDIRECT($AC$11),3),INDIRECT($AE$11),""))*I$75</f>
        <v>54272.020000000004</v>
      </c>
      <c r="J41" s="19">
        <f t="shared" ca="1" si="31"/>
        <v>2.844594580428744</v>
      </c>
      <c r="K41" s="18">
        <f t="shared" ca="1" si="35"/>
        <v>1.6627869595159658E-2</v>
      </c>
      <c r="L41" s="3"/>
      <c r="M41" s="20">
        <f t="array" aca="1" ref="M41" ca="1">SUM(IF(LEFT($A41,3)=LEFT(INDIRECT($AC$11),3),INDIRECT($AF$11),""))*M$75</f>
        <v>36895.639999999992</v>
      </c>
      <c r="N41" s="19">
        <f t="shared" ca="1" si="32"/>
        <v>1.8880176031112472</v>
      </c>
      <c r="O41" s="18">
        <f t="shared" ca="1" si="36"/>
        <v>1.0798625282018276E-2</v>
      </c>
      <c r="P41" s="3"/>
      <c r="Q41" s="20">
        <f t="array" aca="1" ref="Q41" ca="1">SUM(IF(LEFT($A41,3)=LEFT(INDIRECT($AC$11),3),INDIRECT($AG$11),""))*Q$75</f>
        <v>30971.433241758245</v>
      </c>
      <c r="R41" s="19">
        <f t="shared" ca="1" si="33"/>
        <v>1.4898022380860509</v>
      </c>
      <c r="S41" s="18">
        <f t="shared" ca="1" si="37"/>
        <v>8.2233507668326294E-3</v>
      </c>
      <c r="T41" s="3"/>
      <c r="U41" s="20">
        <f ca="1">M41*INFLATION_FACTOR</f>
        <v>37541.313699999992</v>
      </c>
      <c r="V41" s="19">
        <f ca="1">IFERROR(U41/(U$15*U$74*U$75),0)</f>
        <v>1.6070767851027394</v>
      </c>
      <c r="W41" s="18">
        <f t="shared" ca="1" si="38"/>
        <v>8.5240068158520671E-3</v>
      </c>
      <c r="X41" s="3" t="s">
        <v>586</v>
      </c>
      <c r="Y41" s="3"/>
      <c r="Z41" s="94"/>
      <c r="AA41" s="93"/>
      <c r="AB41" s="100"/>
      <c r="AC41" s="100"/>
      <c r="AD41" s="101"/>
    </row>
    <row r="42" spans="1:46">
      <c r="A42" s="99">
        <v>307</v>
      </c>
      <c r="B42" s="3"/>
      <c r="C42" s="37" t="s">
        <v>14</v>
      </c>
      <c r="D42" s="3"/>
      <c r="E42" s="20">
        <f t="array" aca="1" ref="E42" ca="1">SUM(IF(LEFT($A42,3)=LEFT(INDIRECT($AC$11),3),INDIRECT($AD$11),""))*E$75</f>
        <v>40666.729999999996</v>
      </c>
      <c r="F42" s="19">
        <f t="shared" ca="1" si="30"/>
        <v>1.5745210624128851</v>
      </c>
      <c r="G42" s="18">
        <f t="shared" ca="1" si="34"/>
        <v>7.6013209141201675E-3</v>
      </c>
      <c r="H42" s="3"/>
      <c r="I42" s="20">
        <f t="array" aca="1" ref="I42" ca="1">SUM(IF(LEFT($A42,3)=LEFT(INDIRECT($AC$11),3),INDIRECT($AE$11),""))*I$75</f>
        <v>39347.939999999995</v>
      </c>
      <c r="J42" s="19">
        <f t="shared" ca="1" si="31"/>
        <v>2.0623690969128359</v>
      </c>
      <c r="K42" s="18">
        <f t="shared" ca="1" si="35"/>
        <v>1.205542773528913E-2</v>
      </c>
      <c r="L42" s="3"/>
      <c r="M42" s="20">
        <f t="array" aca="1" ref="M42" ca="1">SUM(IF(LEFT($A42,3)=LEFT(INDIRECT($AC$11),3),INDIRECT($AF$11),""))*M$75</f>
        <v>38580.6</v>
      </c>
      <c r="N42" s="19">
        <f t="shared" ca="1" si="32"/>
        <v>1.9742400982499231</v>
      </c>
      <c r="O42" s="18">
        <f t="shared" ca="1" si="36"/>
        <v>1.1291779802584652E-2</v>
      </c>
      <c r="P42" s="3"/>
      <c r="Q42" s="20">
        <f t="array" aca="1" ref="Q42" ca="1">SUM(IF(LEFT($A42,3)=LEFT(INDIRECT($AC$11),3),INDIRECT($AG$11),""))*Q$75</f>
        <v>39499.537912087908</v>
      </c>
      <c r="R42" s="19">
        <f t="shared" ca="1" si="33"/>
        <v>1.9000250819988425</v>
      </c>
      <c r="S42" s="18">
        <f t="shared" ca="1" si="37"/>
        <v>1.0487682402148424E-2</v>
      </c>
      <c r="T42" s="3"/>
      <c r="U42" s="20">
        <f ca="1">M42*INFLATION_FACTOR</f>
        <v>39255.760500000004</v>
      </c>
      <c r="V42" s="19">
        <f ca="1">IFERROR(U42/(U$15*U$74*U$75),0)</f>
        <v>1.6804691994863015</v>
      </c>
      <c r="W42" s="18">
        <f t="shared" ca="1" si="38"/>
        <v>8.9132834492005666E-3</v>
      </c>
      <c r="X42" s="3" t="s">
        <v>586</v>
      </c>
      <c r="Y42" s="3"/>
      <c r="Z42" s="94"/>
      <c r="AA42" s="93"/>
      <c r="AB42" s="100"/>
      <c r="AC42" s="100"/>
      <c r="AD42" s="101"/>
    </row>
    <row r="43" spans="1:46">
      <c r="A43" s="99">
        <v>308</v>
      </c>
      <c r="B43" s="3"/>
      <c r="C43" s="37" t="s">
        <v>17</v>
      </c>
      <c r="D43" s="3"/>
      <c r="E43" s="20">
        <f t="array" aca="1" ref="E43" ca="1">SUM(IF(LEFT($A43,3)=LEFT(INDIRECT($AC$11),3),INDIRECT($AD$11),""))*E$75</f>
        <v>134116.92000000001</v>
      </c>
      <c r="F43" s="19">
        <f t="shared" ca="1" si="30"/>
        <v>5.1926947498838478</v>
      </c>
      <c r="G43" s="18">
        <f t="shared" ca="1" si="34"/>
        <v>2.5068790850244944E-2</v>
      </c>
      <c r="H43" s="3"/>
      <c r="I43" s="20">
        <f t="array" aca="1" ref="I43" ca="1">SUM(IF(LEFT($A43,3)=LEFT(INDIRECT($AC$11),3),INDIRECT($AE$11),""))*I$75</f>
        <v>134116.92000000001</v>
      </c>
      <c r="J43" s="19">
        <f t="shared" ca="1" si="31"/>
        <v>7.0295571046700571</v>
      </c>
      <c r="K43" s="18">
        <f t="shared" ca="1" si="35"/>
        <v>4.1090761984987116E-2</v>
      </c>
      <c r="L43" s="3"/>
      <c r="M43" s="20">
        <f t="array" aca="1" ref="M43" ca="1">SUM(IF(LEFT($A43,3)=LEFT(INDIRECT($AC$11),3),INDIRECT($AF$11),""))*M$75</f>
        <v>134484.53000000003</v>
      </c>
      <c r="N43" s="19">
        <f t="shared" ca="1" si="32"/>
        <v>6.881820182171734</v>
      </c>
      <c r="O43" s="18">
        <f t="shared" ca="1" si="36"/>
        <v>3.9360966382432881E-2</v>
      </c>
      <c r="P43" s="3"/>
      <c r="Q43" s="20">
        <f t="array" aca="1" ref="Q43" ca="1">SUM(IF(LEFT($A43,3)=LEFT(INDIRECT($AC$11),3),INDIRECT($AG$11),""))*Q$75</f>
        <v>135222.61291208793</v>
      </c>
      <c r="R43" s="19">
        <f t="shared" ca="1" si="33"/>
        <v>6.5045408064827344</v>
      </c>
      <c r="S43" s="18">
        <f t="shared" ca="1" si="37"/>
        <v>3.5903504009768036E-2</v>
      </c>
      <c r="T43" s="3"/>
      <c r="U43" s="20">
        <f>V43*$U$15*$U$74</f>
        <v>104719.98482000001</v>
      </c>
      <c r="V43" s="19">
        <f>VIG_HKPNG_PPD*INFLATION_FACTOR^2</f>
        <v>4.4828760625000008</v>
      </c>
      <c r="W43" s="18">
        <f t="shared" ca="1" si="38"/>
        <v>2.3777374214840153E-2</v>
      </c>
      <c r="X43" s="3" t="s">
        <v>577</v>
      </c>
      <c r="Y43" s="3"/>
      <c r="Z43" s="94"/>
      <c r="AA43" s="93"/>
      <c r="AB43" s="100"/>
      <c r="AC43" s="100"/>
      <c r="AD43" s="101"/>
    </row>
    <row r="44" spans="1:46">
      <c r="A44" s="99">
        <v>309</v>
      </c>
      <c r="B44" s="3"/>
      <c r="C44" s="37" t="s">
        <v>16</v>
      </c>
      <c r="D44" s="3"/>
      <c r="E44" s="20">
        <f t="array" aca="1" ref="E44" ca="1">SUM(IF(LEFT($A44,3)=LEFT(INDIRECT($AC$11),3),INDIRECT($AD$11),""))*E$75</f>
        <v>91446.059999999983</v>
      </c>
      <c r="F44" s="19">
        <f t="shared" ca="1" si="30"/>
        <v>3.5405784420009287</v>
      </c>
      <c r="G44" s="18">
        <f t="shared" ca="1" si="34"/>
        <v>1.7092863094521925E-2</v>
      </c>
      <c r="H44" s="3"/>
      <c r="I44" s="20">
        <f t="array" aca="1" ref="I44" ca="1">SUM(IF(LEFT($A44,3)=LEFT(INDIRECT($AC$11),3),INDIRECT($AE$11),""))*I$75</f>
        <v>91731.849999999991</v>
      </c>
      <c r="J44" s="19">
        <f t="shared" ca="1" si="31"/>
        <v>4.8080009434456725</v>
      </c>
      <c r="K44" s="18">
        <f t="shared" ca="1" si="35"/>
        <v>2.8104817906588815E-2</v>
      </c>
      <c r="L44" s="3"/>
      <c r="M44" s="20">
        <f t="array" aca="1" ref="M44" ca="1">SUM(IF(LEFT($A44,3)=LEFT(INDIRECT($AC$11),3),INDIRECT($AF$11),""))*M$75</f>
        <v>93832.419999999984</v>
      </c>
      <c r="N44" s="19">
        <f t="shared" ca="1" si="32"/>
        <v>4.8015771159553777</v>
      </c>
      <c r="O44" s="18">
        <f t="shared" ca="1" si="36"/>
        <v>2.7462896507147113E-2</v>
      </c>
      <c r="P44" s="3"/>
      <c r="Q44" s="20">
        <f t="array" aca="1" ref="Q44" ca="1">SUM(IF(LEFT($A44,3)=LEFT(INDIRECT($AC$11),3),INDIRECT($AG$11),""))*Q$75</f>
        <v>95814.365109890088</v>
      </c>
      <c r="R44" s="19">
        <f t="shared" ca="1" si="33"/>
        <v>4.6089070036658306</v>
      </c>
      <c r="S44" s="18">
        <f t="shared" ca="1" si="37"/>
        <v>2.5440060414694144E-2</v>
      </c>
      <c r="T44" s="3"/>
      <c r="U44" s="20">
        <f>V44*$U$15*$U$74</f>
        <v>53690.153880000013</v>
      </c>
      <c r="V44" s="19">
        <f>VIG_LNDRY_PPD*INFLATION_FACTOR^2</f>
        <v>2.2983798750000006</v>
      </c>
      <c r="W44" s="18">
        <f t="shared" ca="1" si="38"/>
        <v>1.2190709181742527E-2</v>
      </c>
      <c r="X44" s="3" t="s">
        <v>577</v>
      </c>
      <c r="Y44" s="3"/>
      <c r="Z44" s="94"/>
      <c r="AA44" s="93"/>
      <c r="AB44" s="100"/>
      <c r="AC44" s="100"/>
      <c r="AD44" s="101"/>
    </row>
    <row r="45" spans="1:46">
      <c r="A45" s="99">
        <v>310</v>
      </c>
      <c r="B45" s="3"/>
      <c r="C45" s="37" t="s">
        <v>13</v>
      </c>
      <c r="D45" s="3"/>
      <c r="E45" s="20">
        <f t="array" aca="1" ref="E45" ca="1">SUM(IF(LEFT($A45,3)=LEFT(INDIRECT($AC$11),3),INDIRECT($AD$11),""))*E$75</f>
        <v>50607.970000000008</v>
      </c>
      <c r="F45" s="19">
        <f t="shared" ca="1" si="30"/>
        <v>1.9594227195291936</v>
      </c>
      <c r="G45" s="18">
        <f t="shared" ca="1" si="34"/>
        <v>9.4595120085181703E-3</v>
      </c>
      <c r="H45" s="3"/>
      <c r="I45" s="20">
        <f t="array" aca="1" ref="I45" ca="1">SUM(IF(LEFT($A45,3)=LEFT(INDIRECT($AC$11),3),INDIRECT($AE$11),""))*I$75</f>
        <v>27977.400000000005</v>
      </c>
      <c r="J45" s="19">
        <f t="shared" ca="1" si="31"/>
        <v>1.4663976099376281</v>
      </c>
      <c r="K45" s="18">
        <f t="shared" ca="1" si="35"/>
        <v>8.5717199914729526E-3</v>
      </c>
      <c r="L45" s="3"/>
      <c r="M45" s="20">
        <f t="array" aca="1" ref="M45" ca="1">SUM(IF(LEFT($A45,3)=LEFT(INDIRECT($AC$11),3),INDIRECT($AF$11),""))*M$75</f>
        <v>50601.37</v>
      </c>
      <c r="N45" s="19">
        <f t="shared" ca="1" si="32"/>
        <v>2.5893649575273772</v>
      </c>
      <c r="O45" s="18">
        <f t="shared" ca="1" si="36"/>
        <v>1.4810021817937329E-2</v>
      </c>
      <c r="P45" s="3"/>
      <c r="Q45" s="20">
        <f t="array" aca="1" ref="Q45" ca="1">SUM(IF(LEFT($A45,3)=LEFT(INDIRECT($AC$11),3),INDIRECT($AG$11),""))*Q$75</f>
        <v>61939.838186813191</v>
      </c>
      <c r="R45" s="19">
        <f t="shared" ca="1" si="33"/>
        <v>2.9794588076403632</v>
      </c>
      <c r="S45" s="18">
        <f t="shared" ca="1" si="37"/>
        <v>1.6445897478333919E-2</v>
      </c>
      <c r="T45" s="3"/>
      <c r="U45" s="20">
        <f ca="1">M45*INFLATION_FACTOR</f>
        <v>51486.893975000006</v>
      </c>
      <c r="V45" s="19">
        <f t="shared" ref="V45:V55" ca="1" si="39">IFERROR(U45/(U$15*U$74*U$75),0)</f>
        <v>2.2040622420804796</v>
      </c>
      <c r="W45" s="18">
        <f t="shared" ca="1" si="38"/>
        <v>1.1690444257680649E-2</v>
      </c>
      <c r="X45" s="3" t="s">
        <v>586</v>
      </c>
      <c r="Y45" s="3"/>
      <c r="Z45" s="94"/>
      <c r="AA45" s="93"/>
      <c r="AB45" s="100"/>
      <c r="AC45" s="100"/>
      <c r="AD45" s="101"/>
    </row>
    <row r="46" spans="1:46">
      <c r="A46" s="99">
        <v>311</v>
      </c>
      <c r="B46" s="3"/>
      <c r="C46" s="37" t="s">
        <v>12</v>
      </c>
      <c r="D46" s="3"/>
      <c r="E46" s="20">
        <f t="array" aca="1" ref="E46" ca="1">SUM(IF(LEFT($A46,3)=LEFT(INDIRECT($AC$11),3),INDIRECT($AD$11),""))*E$75</f>
        <v>242033.89000000004</v>
      </c>
      <c r="F46" s="19">
        <f t="shared" ca="1" si="30"/>
        <v>9.37098846213412</v>
      </c>
      <c r="G46" s="18">
        <f t="shared" ca="1" si="34"/>
        <v>4.5240354215420338E-2</v>
      </c>
      <c r="H46" s="3"/>
      <c r="I46" s="20">
        <f t="array" aca="1" ref="I46" ca="1">SUM(IF(LEFT($A46,3)=LEFT(INDIRECT($AC$11),3),INDIRECT($AE$11),""))*I$75</f>
        <v>255705.18000000008</v>
      </c>
      <c r="J46" s="19">
        <f t="shared" ca="1" si="31"/>
        <v>13.402441427747791</v>
      </c>
      <c r="K46" s="18">
        <f t="shared" ca="1" si="35"/>
        <v>7.8342991247549454E-2</v>
      </c>
      <c r="L46" s="3"/>
      <c r="M46" s="20">
        <f t="array" aca="1" ref="M46" ca="1">SUM(IF(LEFT($A46,3)=LEFT(INDIRECT($AC$11),3),INDIRECT($AF$11),""))*M$75</f>
        <v>247901.89000000007</v>
      </c>
      <c r="N46" s="19">
        <f t="shared" ca="1" si="32"/>
        <v>12.685594616722959</v>
      </c>
      <c r="O46" s="18">
        <f t="shared" ca="1" si="36"/>
        <v>7.2555988100873561E-2</v>
      </c>
      <c r="P46" s="3"/>
      <c r="Q46" s="20">
        <f t="array" aca="1" ref="Q46" ca="1">SUM(IF(LEFT($A46,3)=LEFT(INDIRECT($AC$11),3),INDIRECT($AG$11),""))*Q$75</f>
        <v>248599.69505494507</v>
      </c>
      <c r="R46" s="19">
        <f t="shared" ca="1" si="33"/>
        <v>11.958257765772721</v>
      </c>
      <c r="S46" s="18">
        <f t="shared" ca="1" si="37"/>
        <v>6.6006712605347434E-2</v>
      </c>
      <c r="T46" s="3"/>
      <c r="U46" s="20">
        <f ca="1">M46*INFLATION_FACTOR</f>
        <v>252240.17307500009</v>
      </c>
      <c r="V46" s="19">
        <f t="shared" ca="1" si="39"/>
        <v>10.79795261451199</v>
      </c>
      <c r="W46" s="18">
        <f t="shared" ca="1" si="38"/>
        <v>5.727282139631161E-2</v>
      </c>
      <c r="X46" s="3" t="s">
        <v>586</v>
      </c>
      <c r="Y46" s="3"/>
      <c r="Z46" s="94"/>
      <c r="AA46" s="93"/>
      <c r="AB46" s="100"/>
      <c r="AC46" s="100"/>
      <c r="AD46" s="101"/>
    </row>
    <row r="47" spans="1:46">
      <c r="A47" s="99">
        <v>312</v>
      </c>
      <c r="B47" s="3"/>
      <c r="C47" s="37" t="s">
        <v>10</v>
      </c>
      <c r="D47" s="3"/>
      <c r="E47" s="20">
        <f t="array" aca="1" ref="E47" ca="1">SUM(IF(LEFT($A47,3)=LEFT(INDIRECT($AC$11),3),INDIRECT($AD$11),""))*E$75</f>
        <v>183583.72999999995</v>
      </c>
      <c r="F47" s="19">
        <f t="shared" ca="1" si="30"/>
        <v>7.107934412265756</v>
      </c>
      <c r="G47" s="18">
        <f t="shared" ca="1" si="34"/>
        <v>3.4315000157160158E-2</v>
      </c>
      <c r="H47" s="3"/>
      <c r="I47" s="20">
        <f t="array" aca="1" ref="I47" ca="1">SUM(IF(LEFT($A47,3)=LEFT(INDIRECT($AC$11),3),INDIRECT($AE$11),""))*I$75</f>
        <v>154771.47999999998</v>
      </c>
      <c r="J47" s="19">
        <f t="shared" ca="1" si="31"/>
        <v>8.1121379527228878</v>
      </c>
      <c r="K47" s="18">
        <f t="shared" ca="1" si="35"/>
        <v>4.7418909163319527E-2</v>
      </c>
      <c r="L47" s="3"/>
      <c r="M47" s="20">
        <f t="array" aca="1" ref="M47" ca="1">SUM(IF(LEFT($A47,3)=LEFT(INDIRECT($AC$11),3),INDIRECT($AF$11),""))*M$75</f>
        <v>148008.18999999997</v>
      </c>
      <c r="N47" s="19">
        <f t="shared" ca="1" si="32"/>
        <v>7.5738506805854042</v>
      </c>
      <c r="O47" s="18">
        <f t="shared" ca="1" si="36"/>
        <v>4.3319074624529198E-2</v>
      </c>
      <c r="P47" s="3"/>
      <c r="Q47" s="20">
        <f t="array" aca="1" ref="Q47" ca="1">SUM(IF(LEFT($A47,3)=LEFT(INDIRECT($AC$11),3),INDIRECT($AG$11),""))*Q$75</f>
        <v>136444.74120879121</v>
      </c>
      <c r="R47" s="19">
        <f t="shared" ca="1" si="33"/>
        <v>6.5633281883079304</v>
      </c>
      <c r="S47" s="18">
        <f t="shared" ca="1" si="37"/>
        <v>3.622799624709571E-2</v>
      </c>
      <c r="T47" s="3"/>
      <c r="U47" s="301">
        <f ca="1">LOOKUPS!S5</f>
        <v>178381.8516585801</v>
      </c>
      <c r="V47" s="19">
        <f t="shared" ca="1" si="39"/>
        <v>7.6362094031926411</v>
      </c>
      <c r="W47" s="18">
        <f t="shared" ca="1" si="38"/>
        <v>4.050279464146854E-2</v>
      </c>
      <c r="X47" s="3" t="s">
        <v>574</v>
      </c>
      <c r="Y47" s="3"/>
      <c r="Z47" s="94"/>
      <c r="AA47" s="93"/>
      <c r="AB47" s="100"/>
      <c r="AC47" s="100"/>
      <c r="AD47" s="101"/>
    </row>
    <row r="48" spans="1:46">
      <c r="A48" s="99">
        <v>313</v>
      </c>
      <c r="B48" s="3"/>
      <c r="C48" s="37" t="s">
        <v>9</v>
      </c>
      <c r="D48" s="3"/>
      <c r="E48" s="20">
        <f t="array" aca="1" ref="E48" ca="1">SUM(IF(LEFT($A48,3)=LEFT(INDIRECT($AC$11),3),INDIRECT($AD$11),""))*E$75</f>
        <v>11673.739999999998</v>
      </c>
      <c r="F48" s="19">
        <f t="shared" ca="1" si="30"/>
        <v>0.45198002168189555</v>
      </c>
      <c r="G48" s="18">
        <f t="shared" ca="1" si="34"/>
        <v>2.1820255527799054E-3</v>
      </c>
      <c r="H48" s="3"/>
      <c r="I48" s="20">
        <f t="array" aca="1" ref="I48" ca="1">SUM(IF(LEFT($A48,3)=LEFT(INDIRECT($AC$11),3),INDIRECT($AE$11),""))*I$75</f>
        <v>8516.8699999999972</v>
      </c>
      <c r="J48" s="19">
        <f t="shared" ca="1" si="31"/>
        <v>0.4464002306200533</v>
      </c>
      <c r="K48" s="18">
        <f t="shared" ca="1" si="35"/>
        <v>2.609399902913645E-3</v>
      </c>
      <c r="L48" s="3"/>
      <c r="M48" s="20">
        <f t="array" aca="1" ref="M48" ca="1">SUM(IF(LEFT($A48,3)=LEFT(INDIRECT($AC$11),3),INDIRECT($AF$11),""))*M$75</f>
        <v>11660.329999999998</v>
      </c>
      <c r="N48" s="19">
        <f t="shared" ca="1" si="32"/>
        <v>0.59668048306212251</v>
      </c>
      <c r="O48" s="18">
        <f t="shared" ca="1" si="36"/>
        <v>3.4127483446465805E-3</v>
      </c>
      <c r="P48" s="3"/>
      <c r="Q48" s="20">
        <f t="array" aca="1" ref="Q48" ca="1">SUM(IF(LEFT($A48,3)=LEFT(INDIRECT($AC$11),3),INDIRECT($AG$11),""))*Q$75</f>
        <v>13613.597527472524</v>
      </c>
      <c r="R48" s="19">
        <f t="shared" ca="1" si="33"/>
        <v>0.65484757862241938</v>
      </c>
      <c r="S48" s="18">
        <f t="shared" ca="1" si="37"/>
        <v>3.6146014552517567E-3</v>
      </c>
      <c r="T48" s="3"/>
      <c r="U48" s="301">
        <f ca="1">LOOKUPS!S6</f>
        <v>11681.861041078202</v>
      </c>
      <c r="V48" s="19">
        <f t="shared" ca="1" si="39"/>
        <v>0.50007966785437508</v>
      </c>
      <c r="W48" s="18">
        <f t="shared" ca="1" si="38"/>
        <v>2.6524448220358187E-3</v>
      </c>
      <c r="X48" s="3" t="s">
        <v>574</v>
      </c>
      <c r="Y48" s="3"/>
      <c r="Z48" s="94"/>
      <c r="AA48" s="93"/>
      <c r="AB48" s="100"/>
      <c r="AC48" s="100"/>
      <c r="AD48" s="101"/>
    </row>
    <row r="49" spans="1:46">
      <c r="A49" s="99">
        <v>314</v>
      </c>
      <c r="B49" s="3"/>
      <c r="C49" s="37" t="s">
        <v>494</v>
      </c>
      <c r="D49" s="3"/>
      <c r="E49" s="20">
        <f t="array" aca="1" ref="E49" ca="1">SUM(IF(LEFT($A49,3)=LEFT(INDIRECT($AC$11),3),INDIRECT($AD$11),""))*E$75</f>
        <v>1780.0499999999993</v>
      </c>
      <c r="F49" s="19">
        <f t="shared" ca="1" si="30"/>
        <v>6.8919389809509027E-2</v>
      </c>
      <c r="G49" s="18">
        <f t="shared" ca="1" si="34"/>
        <v>3.3272238247775517E-4</v>
      </c>
      <c r="H49" s="3"/>
      <c r="I49" s="20">
        <f t="array" aca="1" ref="I49" ca="1">SUM(IF(LEFT($A49,3)=LEFT(INDIRECT($AC$11),3),INDIRECT($AE$11),""))*I$75</f>
        <v>-2482.2900000000004</v>
      </c>
      <c r="J49" s="19">
        <f t="shared" ca="1" si="31"/>
        <v>-0.13010587556999845</v>
      </c>
      <c r="K49" s="18">
        <f t="shared" ca="1" si="35"/>
        <v>-7.6052438102301842E-4</v>
      </c>
      <c r="L49" s="3"/>
      <c r="M49" s="20">
        <f t="array" aca="1" ref="M49" ca="1">SUM(IF(LEFT($A49,3)=LEFT(INDIRECT($AC$11),3),INDIRECT($AF$11),""))*M$75</f>
        <v>-2701.6200000000008</v>
      </c>
      <c r="N49" s="19">
        <f t="shared" ca="1" si="32"/>
        <v>-0.1382468529321462</v>
      </c>
      <c r="O49" s="18">
        <f t="shared" ca="1" si="36"/>
        <v>-7.9071082746921394E-4</v>
      </c>
      <c r="P49" s="3"/>
      <c r="Q49" s="20">
        <f t="array" aca="1" ref="Q49" ca="1">SUM(IF(LEFT($A49,3)=LEFT(INDIRECT($AC$11),3),INDIRECT($AG$11),""))*Q$75</f>
        <v>11177.423076923076</v>
      </c>
      <c r="R49" s="19">
        <f t="shared" ca="1" si="33"/>
        <v>0.53766158595408065</v>
      </c>
      <c r="S49" s="18">
        <f t="shared" ca="1" si="37"/>
        <v>2.9677629031032229E-3</v>
      </c>
      <c r="T49" s="3"/>
      <c r="U49" s="301">
        <f ca="1">WC_MULTIPLIER*'Willow Springs - LABOR'!U68*INFLATION_FACTOR</f>
        <v>22830.835308722199</v>
      </c>
      <c r="V49" s="19">
        <f t="shared" ca="1" si="39"/>
        <v>0.97734740191447766</v>
      </c>
      <c r="W49" s="18">
        <f t="shared" ca="1" si="38"/>
        <v>5.1838941316308838E-3</v>
      </c>
      <c r="X49" s="3" t="s">
        <v>590</v>
      </c>
      <c r="Y49" s="3"/>
      <c r="Z49" s="94"/>
      <c r="AA49" s="93"/>
      <c r="AB49" s="100"/>
      <c r="AC49" s="100"/>
      <c r="AD49" s="101"/>
    </row>
    <row r="50" spans="1:46">
      <c r="A50" s="99">
        <v>316</v>
      </c>
      <c r="B50" s="3"/>
      <c r="C50" s="37" t="s">
        <v>11</v>
      </c>
      <c r="D50" s="3"/>
      <c r="E50" s="20">
        <f t="array" aca="1" ref="E50" ca="1">SUM(IF(LEFT($A50,3)=LEFT(INDIRECT($AC$11),3),INDIRECT($AD$11),""))*E$75</f>
        <v>127587.70000000007</v>
      </c>
      <c r="F50" s="19">
        <f t="shared" ca="1" si="30"/>
        <v>4.9398985597026508</v>
      </c>
      <c r="G50" s="18">
        <f t="shared" ca="1" si="34"/>
        <v>2.3848365786835832E-2</v>
      </c>
      <c r="H50" s="3"/>
      <c r="I50" s="20">
        <f t="array" aca="1" ref="I50" ca="1">SUM(IF(LEFT($A50,3)=LEFT(INDIRECT($AC$11),3),INDIRECT($AE$11),""))*I$75</f>
        <v>132716.06999999992</v>
      </c>
      <c r="J50" s="19">
        <f t="shared" ca="1" si="31"/>
        <v>6.9561334451491126</v>
      </c>
      <c r="K50" s="18">
        <f t="shared" ca="1" si="35"/>
        <v>4.0661569352717655E-2</v>
      </c>
      <c r="L50" s="3"/>
      <c r="M50" s="20">
        <f t="array" aca="1" ref="M50" ca="1">SUM(IF(LEFT($A50,3)=LEFT(INDIRECT($AC$11),3),INDIRECT($AF$11),""))*M$75</f>
        <v>127338.94000000003</v>
      </c>
      <c r="N50" s="19">
        <f t="shared" ca="1" si="32"/>
        <v>6.5161672295568538</v>
      </c>
      <c r="O50" s="18">
        <f t="shared" ca="1" si="36"/>
        <v>3.7269593287158287E-2</v>
      </c>
      <c r="P50" s="3"/>
      <c r="Q50" s="20">
        <f t="array" aca="1" ref="Q50" ca="1">SUM(IF(LEFT($A50,3)=LEFT(INDIRECT($AC$11),3),INDIRECT($AG$11),""))*Q$75</f>
        <v>133528.29093406594</v>
      </c>
      <c r="R50" s="19">
        <f t="shared" ca="1" si="33"/>
        <v>6.423039745321244</v>
      </c>
      <c r="S50" s="18">
        <f t="shared" ca="1" si="37"/>
        <v>3.5453637714318628E-2</v>
      </c>
      <c r="T50" s="3"/>
      <c r="U50" s="20">
        <f ca="1">M50*INFLATION_FACTOR</f>
        <v>129567.37145000004</v>
      </c>
      <c r="V50" s="19">
        <f t="shared" ca="1" si="39"/>
        <v>5.5465484353595906</v>
      </c>
      <c r="W50" s="18">
        <f t="shared" ca="1" si="38"/>
        <v>2.9419139835584314E-2</v>
      </c>
      <c r="X50" s="3" t="s">
        <v>586</v>
      </c>
      <c r="Y50" s="3"/>
      <c r="Z50" s="94"/>
      <c r="AA50" s="93"/>
      <c r="AB50" s="100"/>
      <c r="AC50" s="100"/>
      <c r="AD50" s="101"/>
    </row>
    <row r="51" spans="1:46">
      <c r="A51" s="99">
        <v>317</v>
      </c>
      <c r="B51" s="3"/>
      <c r="C51" s="37" t="s">
        <v>55</v>
      </c>
      <c r="D51" s="3"/>
      <c r="E51" s="20">
        <f t="array" aca="1" ref="E51" ca="1">SUM(IF(LEFT($A51,3)=LEFT(INDIRECT($AC$11),3),INDIRECT($AD$11),""))*E$75</f>
        <v>40751.679999999978</v>
      </c>
      <c r="F51" s="19">
        <f t="shared" ca="1" si="30"/>
        <v>1.577810128542666</v>
      </c>
      <c r="G51" s="18">
        <f t="shared" ca="1" si="34"/>
        <v>7.6171995503334653E-3</v>
      </c>
      <c r="H51" s="3"/>
      <c r="I51" s="20">
        <f t="array" aca="1" ref="I51" ca="1">SUM(IF(LEFT($A51,3)=LEFT(INDIRECT($AC$11),3),INDIRECT($AE$11),""))*I$75</f>
        <v>39906.660000000003</v>
      </c>
      <c r="J51" s="19">
        <f t="shared" ca="1" si="31"/>
        <v>2.0916536506106191</v>
      </c>
      <c r="K51" s="18">
        <f t="shared" ca="1" si="35"/>
        <v>1.22266084523549E-2</v>
      </c>
      <c r="L51" s="3"/>
      <c r="M51" s="20">
        <f t="array" aca="1" ref="M51" ca="1">SUM(IF(LEFT($A51,3)=LEFT(INDIRECT($AC$11),3),INDIRECT($AF$11),""))*M$75</f>
        <v>39833.580000000016</v>
      </c>
      <c r="N51" s="19">
        <f t="shared" ca="1" si="32"/>
        <v>2.0383573840957947</v>
      </c>
      <c r="O51" s="18">
        <f t="shared" ca="1" si="36"/>
        <v>1.1658502307082838E-2</v>
      </c>
      <c r="P51" s="3"/>
      <c r="Q51" s="20">
        <f t="array" aca="1" ref="Q51" ca="1">SUM(IF(LEFT($A51,3)=LEFT(INDIRECT($AC$11),3),INDIRECT($AG$11),""))*Q$75</f>
        <v>40536.137912087899</v>
      </c>
      <c r="R51" s="19">
        <f t="shared" ca="1" si="33"/>
        <v>1.9498880956974722</v>
      </c>
      <c r="S51" s="18">
        <f t="shared" ca="1" si="37"/>
        <v>1.0762914269474648E-2</v>
      </c>
      <c r="T51" s="3"/>
      <c r="U51" s="20">
        <f ca="1">M51*INFLATION_FACTOR</f>
        <v>40530.667650000018</v>
      </c>
      <c r="V51" s="19">
        <f t="shared" ca="1" si="39"/>
        <v>1.7350457041952063</v>
      </c>
      <c r="W51" s="18">
        <f t="shared" ca="1" si="38"/>
        <v>9.2027596599432559E-3</v>
      </c>
      <c r="X51" s="3" t="s">
        <v>586</v>
      </c>
      <c r="Y51" s="3"/>
      <c r="AA51" s="93"/>
      <c r="AB51" s="100"/>
      <c r="AC51" s="100"/>
      <c r="AD51" s="101"/>
    </row>
    <row r="52" spans="1:46">
      <c r="A52" s="99">
        <v>318</v>
      </c>
      <c r="B52" s="3"/>
      <c r="C52" s="37" t="s">
        <v>7</v>
      </c>
      <c r="D52" s="3"/>
      <c r="E52" s="20">
        <f t="array" aca="1" ref="E52" ca="1">SUM(IF(LEFT($A52,3)=LEFT(INDIRECT($AC$11),3),INDIRECT($AD$11),""))*E$75</f>
        <v>180574.72999999995</v>
      </c>
      <c r="F52" s="19">
        <f t="shared" ca="1" si="30"/>
        <v>6.9914329409942679</v>
      </c>
      <c r="G52" s="18">
        <f t="shared" ca="1" si="34"/>
        <v>3.3752565591347088E-2</v>
      </c>
      <c r="H52" s="3"/>
      <c r="I52" s="20">
        <f t="array" aca="1" ref="I52" ca="1">SUM(IF(LEFT($A52,3)=LEFT(INDIRECT($AC$11),3),INDIRECT($AE$11),""))*I$75</f>
        <v>176427.41999999998</v>
      </c>
      <c r="J52" s="19">
        <f t="shared" ca="1" si="31"/>
        <v>9.2472047801247435</v>
      </c>
      <c r="K52" s="18">
        <f t="shared" ca="1" si="35"/>
        <v>5.405385929564558E-2</v>
      </c>
      <c r="L52" s="3"/>
      <c r="M52" s="20">
        <f t="array" aca="1" ref="M52" ca="1">SUM(IF(LEFT($A52,3)=LEFT(INDIRECT($AC$11),3),INDIRECT($AF$11),""))*M$75</f>
        <v>163832.56000000003</v>
      </c>
      <c r="N52" s="19">
        <f t="shared" ca="1" si="32"/>
        <v>8.3836127315525548</v>
      </c>
      <c r="O52" s="18">
        <f t="shared" ca="1" si="36"/>
        <v>4.7950555253514417E-2</v>
      </c>
      <c r="P52" s="3"/>
      <c r="Q52" s="20">
        <f t="array" aca="1" ref="Q52" ca="1">SUM(IF(LEFT($A52,3)=LEFT(INDIRECT($AC$11),3),INDIRECT($AG$11),""))*Q$75</f>
        <v>163659.92335164835</v>
      </c>
      <c r="R52" s="19">
        <f t="shared" ca="1" si="33"/>
        <v>7.8724454948871321</v>
      </c>
      <c r="S52" s="18">
        <f t="shared" ca="1" si="37"/>
        <v>4.3454009560622585E-2</v>
      </c>
      <c r="T52" s="3"/>
      <c r="U52" s="20">
        <f ca="1">M52*INFLATION_FACTOR</f>
        <v>166699.62980000005</v>
      </c>
      <c r="V52" s="19">
        <f t="shared" ca="1" si="39"/>
        <v>7.1361142893835643</v>
      </c>
      <c r="W52" s="18">
        <f t="shared" ca="1" si="38"/>
        <v>3.7850267893401318E-2</v>
      </c>
      <c r="X52" s="3" t="s">
        <v>586</v>
      </c>
      <c r="Y52" s="3"/>
      <c r="AA52" s="93"/>
      <c r="AB52" s="100"/>
      <c r="AC52" s="100"/>
      <c r="AD52" s="101"/>
    </row>
    <row r="53" spans="1:46">
      <c r="A53" s="99">
        <v>319</v>
      </c>
      <c r="B53" s="3"/>
      <c r="C53" s="37" t="s">
        <v>6</v>
      </c>
      <c r="D53" s="3"/>
      <c r="E53" s="20">
        <f t="array" aca="1" ref="E53" ca="1">SUM(IF(LEFT($A53,3)=LEFT(INDIRECT($AC$11),3),INDIRECT($AD$11),""))*E$75</f>
        <v>132395.25000000003</v>
      </c>
      <c r="F53" s="19">
        <f t="shared" ca="1" si="30"/>
        <v>5.1260356976924282</v>
      </c>
      <c r="G53" s="18">
        <f t="shared" ca="1" si="34"/>
        <v>2.4746980707698124E-2</v>
      </c>
      <c r="H53" s="3"/>
      <c r="I53" s="20">
        <f t="array" aca="1" ref="I53" ca="1">SUM(IF(LEFT($A53,3)=LEFT(INDIRECT($AC$11),3),INDIRECT($AE$11),""))*I$75</f>
        <v>96946.19</v>
      </c>
      <c r="J53" s="19">
        <f t="shared" ca="1" si="31"/>
        <v>5.0813035274385454</v>
      </c>
      <c r="K53" s="18">
        <f t="shared" ca="1" si="35"/>
        <v>2.970238817474587E-2</v>
      </c>
      <c r="L53" s="3"/>
      <c r="M53" s="20">
        <f t="array" aca="1" ref="M53" ca="1">SUM(IF(LEFT($A53,3)=LEFT(INDIRECT($AC$11),3),INDIRECT($AF$11),""))*M$75</f>
        <v>117798.42000000004</v>
      </c>
      <c r="N53" s="19">
        <f t="shared" ca="1" si="32"/>
        <v>6.0279613140927255</v>
      </c>
      <c r="O53" s="18">
        <f t="shared" ca="1" si="36"/>
        <v>3.4477271471474898E-2</v>
      </c>
      <c r="P53" s="3"/>
      <c r="Q53" s="20">
        <f t="array" aca="1" ref="Q53" ca="1">SUM(IF(LEFT($A53,3)=LEFT(INDIRECT($AC$11),3),INDIRECT($AG$11),""))*Q$75</f>
        <v>136112.75164835161</v>
      </c>
      <c r="R53" s="19">
        <f t="shared" ca="1" si="33"/>
        <v>6.5473586725834449</v>
      </c>
      <c r="S53" s="18">
        <f t="shared" ca="1" si="37"/>
        <v>3.613984835335405E-2</v>
      </c>
      <c r="T53" s="3"/>
      <c r="U53" s="20">
        <f ca="1">M53*INFLATION_FACTOR</f>
        <v>119859.89235000005</v>
      </c>
      <c r="V53" s="19">
        <f t="shared" ca="1" si="39"/>
        <v>5.1309885423801394</v>
      </c>
      <c r="W53" s="18">
        <f t="shared" ca="1" si="38"/>
        <v>2.7214991662337477E-2</v>
      </c>
      <c r="X53" s="3" t="s">
        <v>586</v>
      </c>
      <c r="Y53" s="3"/>
      <c r="Z53" s="94"/>
      <c r="AA53" s="93"/>
      <c r="AB53" s="100"/>
      <c r="AC53" s="100"/>
      <c r="AD53" s="101"/>
    </row>
    <row r="54" spans="1:46">
      <c r="A54" s="99">
        <v>321</v>
      </c>
      <c r="B54" s="3"/>
      <c r="C54" s="37" t="s">
        <v>337</v>
      </c>
      <c r="D54" s="3"/>
      <c r="E54" s="20">
        <f t="array" aca="1" ref="E54" ca="1">SUM(IF(LEFT($A54,3)=LEFT(INDIRECT($AC$11),3),INDIRECT($AD$11),""))*E$75</f>
        <v>141425</v>
      </c>
      <c r="F54" s="19">
        <f t="shared" ca="1" si="30"/>
        <v>5.4756465851014404</v>
      </c>
      <c r="G54" s="18">
        <f t="shared" ca="1" si="34"/>
        <v>2.6434798428087158E-2</v>
      </c>
      <c r="H54" s="3"/>
      <c r="I54" s="20">
        <f t="array" aca="1" ref="I54" ca="1">SUM(IF(LEFT($A54,3)=LEFT(INDIRECT($AC$11),3),INDIRECT($AE$11),""))*I$75</f>
        <v>9.08</v>
      </c>
      <c r="J54" s="19">
        <f t="shared" ca="1" si="31"/>
        <v>4.7591592850778345E-4</v>
      </c>
      <c r="K54" s="18">
        <f t="shared" ca="1" si="35"/>
        <v>2.7819317564382108E-6</v>
      </c>
      <c r="L54" s="3"/>
      <c r="M54" s="20">
        <f t="array" aca="1" ref="M54" ca="1">SUM(IF(LEFT($A54,3)=LEFT(INDIRECT($AC$11),3),INDIRECT($AF$11),""))*M$75</f>
        <v>6.03</v>
      </c>
      <c r="N54" s="19">
        <f t="shared" ca="1" si="32"/>
        <v>3.0856616518268348E-4</v>
      </c>
      <c r="O54" s="18">
        <f t="shared" ca="1" si="36"/>
        <v>1.7648619308560636E-6</v>
      </c>
      <c r="P54" s="3"/>
      <c r="Q54" s="20">
        <f t="array" aca="1" ref="Q54" ca="1">SUM(IF(LEFT($A54,3)=LEFT(INDIRECT($AC$11),3),INDIRECT($AF$11),""))*Q$75</f>
        <v>12.093131868131868</v>
      </c>
      <c r="R54" s="19">
        <f t="shared" ca="1" si="33"/>
        <v>5.8170943469033388E-4</v>
      </c>
      <c r="S54" s="18">
        <f t="shared" ca="1" si="37"/>
        <v>3.2108964556128101E-6</v>
      </c>
      <c r="T54" s="3"/>
      <c r="U54" s="20">
        <v>0</v>
      </c>
      <c r="V54" s="19">
        <f t="shared" si="39"/>
        <v>0</v>
      </c>
      <c r="W54" s="18">
        <f t="shared" ca="1" si="38"/>
        <v>0</v>
      </c>
      <c r="X54" s="266"/>
      <c r="Y54" s="3"/>
      <c r="Z54" s="94"/>
      <c r="AA54" s="93"/>
      <c r="AB54" s="100"/>
      <c r="AC54" s="100"/>
      <c r="AD54" s="101"/>
    </row>
    <row r="55" spans="1:46">
      <c r="A55" s="99">
        <v>320</v>
      </c>
      <c r="B55" s="3"/>
      <c r="C55" s="37" t="s">
        <v>5</v>
      </c>
      <c r="D55" s="3"/>
      <c r="E55" s="20">
        <f t="array" aca="1" ref="E55" ca="1">SUM(IF(LEFT($A55,3)=LEFT(INDIRECT($AC$11),3),INDIRECT($AD$11),""))*E$75</f>
        <v>103867.89999999998</v>
      </c>
      <c r="F55" s="19">
        <f t="shared" ca="1" si="30"/>
        <v>4.021523153167105</v>
      </c>
      <c r="G55" s="18">
        <f t="shared" ca="1" si="34"/>
        <v>1.9414721581394474E-2</v>
      </c>
      <c r="H55" s="3"/>
      <c r="I55" s="20">
        <f t="array" aca="1" ref="I55" ca="1">SUM(IF(LEFT($A55,3)=LEFT(INDIRECT($AC$11),3),INDIRECT($AE$11),""))*I$75</f>
        <v>67507.330000000016</v>
      </c>
      <c r="J55" s="19">
        <f t="shared" ca="1" si="31"/>
        <v>3.538305466743541</v>
      </c>
      <c r="K55" s="18">
        <f t="shared" ca="1" si="35"/>
        <v>2.0682905850149112E-2</v>
      </c>
      <c r="L55" s="3"/>
      <c r="M55" s="20">
        <f t="array" aca="1" ref="M55" ca="1">SUM(IF(LEFT($A55,3)=LEFT(INDIRECT($AC$11),3),INDIRECT($AF$11),""))*M$75</f>
        <v>72059.3</v>
      </c>
      <c r="N55" s="19">
        <f t="shared" ca="1" si="32"/>
        <v>3.6874066114010851</v>
      </c>
      <c r="O55" s="18">
        <f t="shared" ca="1" si="36"/>
        <v>2.1090334217933059E-2</v>
      </c>
      <c r="P55" s="3"/>
      <c r="Q55" s="20">
        <f t="array" aca="1" ref="Q55" ca="1">SUM(IF(LEFT($A55,3)=LEFT(INDIRECT($AC$11),3),INDIRECT($AF$11),""))*Q$75</f>
        <v>144514.53021978022</v>
      </c>
      <c r="R55" s="19">
        <f t="shared" ca="1" si="33"/>
        <v>6.9515049199305432</v>
      </c>
      <c r="S55" s="18">
        <f t="shared" ca="1" si="37"/>
        <v>3.8370638634152597E-2</v>
      </c>
      <c r="T55" s="3"/>
      <c r="U55" s="20">
        <f ca="1">BAD_DEBT*U34</f>
        <v>44041.86260173389</v>
      </c>
      <c r="V55" s="19">
        <f t="shared" ca="1" si="39"/>
        <v>1.8853537072660056</v>
      </c>
      <c r="W55" s="18">
        <f t="shared" ca="1" si="38"/>
        <v>0.01</v>
      </c>
      <c r="X55" s="3" t="s">
        <v>576</v>
      </c>
      <c r="Y55" s="3"/>
      <c r="Z55" s="94"/>
      <c r="AA55" s="93"/>
      <c r="AB55" s="100"/>
      <c r="AC55" s="100"/>
      <c r="AD55" s="101"/>
    </row>
    <row r="56" spans="1:46" hidden="1" outlineLevel="1">
      <c r="A56" s="3"/>
      <c r="B56" s="3"/>
      <c r="C56" s="22"/>
      <c r="D56" s="3"/>
      <c r="E56" s="14"/>
      <c r="F56" s="15"/>
      <c r="G56" s="13"/>
      <c r="H56" s="3"/>
      <c r="I56" s="14"/>
      <c r="J56" s="15"/>
      <c r="K56" s="13"/>
      <c r="L56" s="3"/>
      <c r="M56" s="14"/>
      <c r="N56" s="15"/>
      <c r="O56" s="13"/>
      <c r="P56" s="3"/>
      <c r="Q56" s="14"/>
      <c r="R56" s="15"/>
      <c r="S56" s="13"/>
      <c r="T56" s="3"/>
      <c r="U56" s="14"/>
      <c r="V56" s="15"/>
      <c r="W56" s="13"/>
      <c r="X56" s="220"/>
      <c r="Z56" s="94"/>
      <c r="AA56" s="93"/>
      <c r="AB56" s="100"/>
      <c r="AC56" s="100"/>
      <c r="AD56" s="101"/>
    </row>
    <row r="57" spans="1:46" hidden="1" outlineLevel="1">
      <c r="A57" s="99">
        <v>1010</v>
      </c>
      <c r="B57" s="32"/>
      <c r="C57" s="36" t="s">
        <v>56</v>
      </c>
      <c r="D57" s="32"/>
      <c r="E57" s="35">
        <f t="array" aca="1" ref="E57" ca="1">IFERROR(SUM(IF($A57=INDIRECT($AC$11),IF(E$1&lt;=INDIRECT($AB$11),IF(F$1&gt;=INDIRECT($AB$11),INDIRECT($AD$11)*E$75,""),""),"")),0)</f>
        <v>0</v>
      </c>
      <c r="F57" s="34">
        <f t="shared" ref="F57:F64" ca="1" si="40">IFERROR(E57/(E$15*E$74*E$75),0)</f>
        <v>0</v>
      </c>
      <c r="G57" s="33">
        <f t="shared" ref="G57:G64" ca="1" si="41">IFERROR(E57/E$32,0)</f>
        <v>0</v>
      </c>
      <c r="H57" s="32"/>
      <c r="I57" s="35">
        <f t="array" aca="1" ref="I57" ca="1">IFERROR(SUM(IF($A57=INDIRECT($AC$11),IF(I$1&lt;=INDIRECT($AB$11),IF(J$1&gt;=INDIRECT($AB$11),INDIRECT($AD$11)*I$75,""),""),"")),0)</f>
        <v>0</v>
      </c>
      <c r="J57" s="34">
        <f t="shared" ref="J57:J64" ca="1" si="42">IFERROR(I57/(I$15*I$74*I$75),0)</f>
        <v>0</v>
      </c>
      <c r="K57" s="33">
        <f t="shared" ref="K57:K64" ca="1" si="43">IFERROR(I57/I$32,0)</f>
        <v>0</v>
      </c>
      <c r="L57" s="32"/>
      <c r="M57" s="35">
        <f t="array" aca="1" ref="M57" ca="1">IFERROR(SUM(IF($A57=INDIRECT($AC$11),IF(M$1&lt;=INDIRECT($AB$11),IF(N$1&gt;=INDIRECT($AB$11),INDIRECT($AD$11)*M$75,""),""),"")),0)</f>
        <v>0</v>
      </c>
      <c r="N57" s="34">
        <f t="shared" ref="N57:N64" ca="1" si="44">IFERROR(M57/(M$15*M$74*M$75),0)</f>
        <v>0</v>
      </c>
      <c r="O57" s="33">
        <f t="shared" ref="O57" ca="1" si="45">IFERROR(M57/M$32,0)</f>
        <v>0</v>
      </c>
      <c r="P57" s="32"/>
      <c r="Q57" s="35">
        <f t="array" aca="1" ref="Q57" ca="1">IFERROR(SUM(IF($A57=INDIRECT($AC$11),IF(Q$1&lt;=INDIRECT($AB$11),IF(R$1&gt;=INDIRECT($AB$11),INDIRECT($AD$11)*Q$75,""),""),"")),0)</f>
        <v>0</v>
      </c>
      <c r="R57" s="34">
        <f t="shared" ref="R57:R64" ca="1" si="46">IFERROR(Q57/(Q$15*Q$74*Q$75),0)</f>
        <v>0</v>
      </c>
      <c r="S57" s="33">
        <f t="shared" ref="S57" ca="1" si="47">IFERROR(Q57/Q$32,0)</f>
        <v>0</v>
      </c>
      <c r="T57" s="32"/>
      <c r="U57" s="35">
        <f t="array" aca="1" ref="U57" ca="1">IFERROR(SUM(IF($A57=INDIRECT($AC$11),IF(U$1&lt;=INDIRECT($AB$11),IF(V$1&gt;=INDIRECT($AB$11),INDIRECT($AD$11)*U$75,""),""),"")),0)</f>
        <v>0</v>
      </c>
      <c r="V57" s="34">
        <f t="shared" ref="V57:V64" ca="1" si="48">IFERROR(U57/(U$15*U$74*U$75),0)</f>
        <v>0</v>
      </c>
      <c r="W57" s="33">
        <f t="shared" ref="W57:W64" ca="1" si="49">IFERROR(U57/U$32,0)</f>
        <v>0</v>
      </c>
      <c r="X57" s="3"/>
      <c r="Y57" s="3"/>
      <c r="Z57" s="94"/>
      <c r="AA57" s="93"/>
      <c r="AB57" s="100"/>
      <c r="AC57" s="100"/>
      <c r="AD57" s="101"/>
    </row>
    <row r="58" spans="1:46" hidden="1" outlineLevel="1">
      <c r="A58" s="99">
        <v>990</v>
      </c>
      <c r="B58" s="3"/>
      <c r="C58" s="30" t="s">
        <v>57</v>
      </c>
      <c r="D58" s="3"/>
      <c r="E58" s="29">
        <f t="array" aca="1" ref="E58" ca="1">SUM(IF(LEFT($A58,3)=LEFT(INDIRECT($AC$11),3),INDIRECT($AD$11),""))*E$75</f>
        <v>0</v>
      </c>
      <c r="F58" s="28">
        <f t="shared" ca="1" si="40"/>
        <v>0</v>
      </c>
      <c r="G58" s="27">
        <f t="shared" ref="G58" ca="1" si="50">IFERROR(E58/E$34,0)</f>
        <v>0</v>
      </c>
      <c r="H58" s="3"/>
      <c r="I58" s="29">
        <f t="array" aca="1" ref="I58" ca="1">SUM(IF(LEFT($A58,3)=LEFT(INDIRECT($AC$11),3),INDIRECT($AE$11),""))*I$75</f>
        <v>-0.08</v>
      </c>
      <c r="J58" s="28">
        <f t="shared" ca="1" si="42"/>
        <v>-4.1930918811258456E-6</v>
      </c>
      <c r="K58" s="27">
        <f t="shared" ref="K58:K63" ca="1" si="51">IFERROR(I58/I$34,0)</f>
        <v>-2.4510411950997451E-8</v>
      </c>
      <c r="L58" s="3"/>
      <c r="M58" s="29">
        <f t="array" aca="1" ref="M58" ca="1">SUM(IF(LEFT($A58,3)=LEFT(INDIRECT($AC$11),3),INDIRECT($AF$11),""))*M$75</f>
        <v>-0.47000000000000003</v>
      </c>
      <c r="N58" s="28">
        <f t="shared" ca="1" si="44"/>
        <v>-2.405076246034183E-5</v>
      </c>
      <c r="O58" s="27">
        <f t="shared" ref="O58:O63" ca="1" si="52">IFERROR(M58/M$34,0)</f>
        <v>-1.3755971932045605E-7</v>
      </c>
      <c r="P58" s="3"/>
      <c r="Q58" s="29">
        <f t="array" aca="1" ref="Q58" ca="1">SUM(IF(LEFT($A58,3)=LEFT(INDIRECT($AC$11),3),INDIRECT($AF$11),""))*Q$75</f>
        <v>-0.94258241758241768</v>
      </c>
      <c r="R58" s="28">
        <f t="shared" ca="1" si="46"/>
        <v>-4.5340536368898335E-5</v>
      </c>
      <c r="S58" s="27">
        <f t="shared" ref="S58:S63" ca="1" si="53">IFERROR(Q58/Q$34,0)</f>
        <v>-2.5026887796650428E-7</v>
      </c>
      <c r="T58" s="3"/>
      <c r="U58" s="29">
        <f t="array" aca="1" ref="U58" ca="1">IFERROR(SUM(IF($A58=INDIRECT($AC$11),IF(U$1&lt;=INDIRECT($AB$11),IF(V$1&gt;=INDIRECT($AB$11),INDIRECT($AD$11)*U$75,""),""),"")),0)</f>
        <v>0</v>
      </c>
      <c r="V58" s="28">
        <f t="shared" ca="1" si="48"/>
        <v>0</v>
      </c>
      <c r="W58" s="27">
        <f t="shared" ca="1" si="49"/>
        <v>0</v>
      </c>
      <c r="X58" s="3"/>
      <c r="Y58" s="3"/>
      <c r="Z58" s="94"/>
      <c r="AA58" s="93"/>
      <c r="AB58" s="100"/>
      <c r="AC58" s="100"/>
      <c r="AD58" s="101"/>
    </row>
    <row r="59" spans="1:46" hidden="1" outlineLevel="1">
      <c r="A59" s="99">
        <v>991</v>
      </c>
      <c r="B59" s="3"/>
      <c r="C59" s="30" t="s">
        <v>58</v>
      </c>
      <c r="D59" s="3"/>
      <c r="E59" s="29">
        <f t="array" aca="1" ref="E59" ca="1">SUM(IF(LEFT($A59,3)=LEFT(INDIRECT($AC$11),3),INDIRECT($AD$11),""))*E$75</f>
        <v>0</v>
      </c>
      <c r="F59" s="28">
        <f t="shared" ca="1" si="40"/>
        <v>0</v>
      </c>
      <c r="G59" s="27">
        <f t="shared" ref="G59:G63" ca="1" si="54">IFERROR(E59/E$34,0)</f>
        <v>0</v>
      </c>
      <c r="H59" s="3"/>
      <c r="I59" s="29">
        <f t="array" aca="1" ref="I59" ca="1">SUM(IF(LEFT($A59,3)=LEFT(INDIRECT($AC$11),3),INDIRECT($AE$11),""))*I$75</f>
        <v>0</v>
      </c>
      <c r="J59" s="28">
        <f t="shared" ca="1" si="42"/>
        <v>0</v>
      </c>
      <c r="K59" s="27">
        <f t="shared" ca="1" si="51"/>
        <v>0</v>
      </c>
      <c r="L59" s="3"/>
      <c r="M59" s="29">
        <f t="array" aca="1" ref="M59" ca="1">SUM(IF(LEFT($A59,3)=LEFT(INDIRECT($AC$11),3),INDIRECT($AF$11),""))*M$75</f>
        <v>0</v>
      </c>
      <c r="N59" s="28">
        <f t="shared" ca="1" si="44"/>
        <v>0</v>
      </c>
      <c r="O59" s="27">
        <f t="shared" ca="1" si="52"/>
        <v>0</v>
      </c>
      <c r="P59" s="3"/>
      <c r="Q59" s="29">
        <f t="array" aca="1" ref="Q59" ca="1">SUM(IF(LEFT($A59,3)=LEFT(INDIRECT($AC$11),3),INDIRECT($AF$11),""))*Q$75</f>
        <v>0</v>
      </c>
      <c r="R59" s="28">
        <f t="shared" ca="1" si="46"/>
        <v>0</v>
      </c>
      <c r="S59" s="27">
        <f t="shared" ca="1" si="53"/>
        <v>0</v>
      </c>
      <c r="T59" s="3"/>
      <c r="U59" s="29">
        <f t="array" aca="1" ref="U59" ca="1">IFERROR(SUM(IF($A59=INDIRECT($AC$11),IF(U$1&lt;=INDIRECT($AB$11),IF(V$1&gt;=INDIRECT($AB$11),INDIRECT($AD$11)*U$75,""),""),"")),0)</f>
        <v>0</v>
      </c>
      <c r="V59" s="28">
        <f t="shared" ca="1" si="48"/>
        <v>0</v>
      </c>
      <c r="W59" s="27">
        <f t="shared" ca="1" si="49"/>
        <v>0</v>
      </c>
      <c r="X59" s="3"/>
      <c r="Y59" s="3"/>
      <c r="Z59" s="94"/>
      <c r="AA59" s="93"/>
      <c r="AB59" s="100"/>
      <c r="AC59" s="100"/>
      <c r="AD59" s="101"/>
    </row>
    <row r="60" spans="1:46" hidden="1" outlineLevel="1">
      <c r="A60" s="99">
        <v>992</v>
      </c>
      <c r="B60" s="3"/>
      <c r="C60" s="30" t="s">
        <v>59</v>
      </c>
      <c r="D60" s="3"/>
      <c r="E60" s="29">
        <f t="array" aca="1" ref="E60" ca="1">SUM(IF(LEFT($A60,3)=LEFT(INDIRECT($AC$11),3),INDIRECT($AD$11),""))*E$75</f>
        <v>0</v>
      </c>
      <c r="F60" s="28">
        <f t="shared" ca="1" si="40"/>
        <v>0</v>
      </c>
      <c r="G60" s="27">
        <f t="shared" ca="1" si="54"/>
        <v>0</v>
      </c>
      <c r="H60" s="3"/>
      <c r="I60" s="29">
        <f t="array" aca="1" ref="I60" ca="1">SUM(IF(LEFT($A60,3)=LEFT(INDIRECT($AC$11),3),INDIRECT($AE$11),""))*I$75</f>
        <v>0</v>
      </c>
      <c r="J60" s="28">
        <f t="shared" ca="1" si="42"/>
        <v>0</v>
      </c>
      <c r="K60" s="27">
        <f t="shared" ca="1" si="51"/>
        <v>0</v>
      </c>
      <c r="L60" s="3"/>
      <c r="M60" s="29">
        <f t="array" aca="1" ref="M60" ca="1">SUM(IF(LEFT($A60,3)=LEFT(INDIRECT($AC$11),3),INDIRECT($AF$11),""))*M$75</f>
        <v>0</v>
      </c>
      <c r="N60" s="28">
        <f t="shared" ca="1" si="44"/>
        <v>0</v>
      </c>
      <c r="O60" s="27">
        <f t="shared" ca="1" si="52"/>
        <v>0</v>
      </c>
      <c r="P60" s="3"/>
      <c r="Q60" s="29">
        <f t="array" aca="1" ref="Q60" ca="1">SUM(IF(LEFT($A60,3)=LEFT(INDIRECT($AC$11),3),INDIRECT($AF$11),""))*Q$75</f>
        <v>0</v>
      </c>
      <c r="R60" s="28">
        <f t="shared" ca="1" si="46"/>
        <v>0</v>
      </c>
      <c r="S60" s="27">
        <f t="shared" ca="1" si="53"/>
        <v>0</v>
      </c>
      <c r="T60" s="3"/>
      <c r="U60" s="29">
        <f t="array" aca="1" ref="U60" ca="1">IFERROR(SUM(IF($A60=INDIRECT($AC$11),IF(U$1&lt;=INDIRECT($AB$11),IF(V$1&gt;=INDIRECT($AB$11),INDIRECT($AD$11)*U$75,""),""),"")),0)</f>
        <v>0</v>
      </c>
      <c r="V60" s="28">
        <f t="shared" ca="1" si="48"/>
        <v>0</v>
      </c>
      <c r="W60" s="27">
        <f t="shared" ca="1" si="49"/>
        <v>0</v>
      </c>
      <c r="X60" s="3"/>
      <c r="Y60" s="3"/>
      <c r="AB60" s="100"/>
      <c r="AC60" s="101"/>
      <c r="AD60" s="101"/>
    </row>
    <row r="61" spans="1:46" s="31" customFormat="1" hidden="1" outlineLevel="1">
      <c r="A61" s="99">
        <v>993</v>
      </c>
      <c r="B61" s="3"/>
      <c r="C61" s="30" t="s">
        <v>60</v>
      </c>
      <c r="D61" s="3"/>
      <c r="E61" s="29">
        <f t="array" aca="1" ref="E61" ca="1">SUM(IF(LEFT($A61,3)=LEFT(INDIRECT($AC$11),3),INDIRECT($AD$11),""))*E$75</f>
        <v>0</v>
      </c>
      <c r="F61" s="28">
        <f t="shared" ca="1" si="40"/>
        <v>0</v>
      </c>
      <c r="G61" s="27">
        <f t="shared" ca="1" si="54"/>
        <v>0</v>
      </c>
      <c r="H61" s="3"/>
      <c r="I61" s="29">
        <f t="array" aca="1" ref="I61" ca="1">SUM(IF(LEFT($A61,3)=LEFT(INDIRECT($AC$11),3),INDIRECT($AE$11),""))*I$75</f>
        <v>0</v>
      </c>
      <c r="J61" s="28">
        <f t="shared" ca="1" si="42"/>
        <v>0</v>
      </c>
      <c r="K61" s="27">
        <f t="shared" ca="1" si="51"/>
        <v>0</v>
      </c>
      <c r="L61" s="3"/>
      <c r="M61" s="29">
        <f t="array" aca="1" ref="M61" ca="1">SUM(IF(LEFT($A61,3)=LEFT(INDIRECT($AC$11),3),INDIRECT($AF$11),""))*M$75</f>
        <v>0</v>
      </c>
      <c r="N61" s="28">
        <f t="shared" ca="1" si="44"/>
        <v>0</v>
      </c>
      <c r="O61" s="27">
        <f t="shared" ca="1" si="52"/>
        <v>0</v>
      </c>
      <c r="P61" s="3"/>
      <c r="Q61" s="29">
        <f t="array" aca="1" ref="Q61" ca="1">SUM(IF(LEFT($A61,3)=LEFT(INDIRECT($AC$11),3),INDIRECT($AF$11),""))*Q$75</f>
        <v>0</v>
      </c>
      <c r="R61" s="28">
        <f t="shared" ca="1" si="46"/>
        <v>0</v>
      </c>
      <c r="S61" s="27">
        <f t="shared" ca="1" si="53"/>
        <v>0</v>
      </c>
      <c r="T61" s="3"/>
      <c r="U61" s="29">
        <f t="array" aca="1" ref="U61" ca="1">IFERROR(SUM(IF($A61=INDIRECT($AC$11),IF(U$1&lt;=INDIRECT($AB$11),IF(V$1&gt;=INDIRECT($AB$11),INDIRECT($AD$11)*U$75,""),""),"")),0)</f>
        <v>0</v>
      </c>
      <c r="V61" s="28">
        <f t="shared" ca="1" si="48"/>
        <v>0</v>
      </c>
      <c r="W61" s="27">
        <f t="shared" ca="1" si="49"/>
        <v>0</v>
      </c>
      <c r="X61" s="32"/>
      <c r="Y61" s="32"/>
      <c r="Z61" s="92"/>
      <c r="AA61" s="93"/>
      <c r="AB61" s="101"/>
      <c r="AC61" s="101"/>
      <c r="AD61" s="10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32"/>
      <c r="AS61" s="32"/>
      <c r="AT61" s="32"/>
    </row>
    <row r="62" spans="1:46" s="31" customFormat="1" hidden="1" outlineLevel="1">
      <c r="A62" s="99">
        <v>994</v>
      </c>
      <c r="B62" s="3"/>
      <c r="C62" s="30" t="s">
        <v>504</v>
      </c>
      <c r="D62" s="3"/>
      <c r="E62" s="29">
        <f t="array" aca="1" ref="E62" ca="1">SUM(IF(LEFT($A62,3)=LEFT(INDIRECT($AC$11),3),INDIRECT($AD$11),""))*E$75</f>
        <v>539139.20000000007</v>
      </c>
      <c r="F62" s="28">
        <f t="shared" ca="1" si="40"/>
        <v>20.874214031283881</v>
      </c>
      <c r="G62" s="27">
        <f t="shared" ca="1" si="54"/>
        <v>0.10077451707039187</v>
      </c>
      <c r="H62" s="3"/>
      <c r="I62" s="29">
        <f t="array" aca="1" ref="I62" ca="1">SUM(IF(LEFT($A62,3)=LEFT(INDIRECT($AC$11),3),INDIRECT($AE$11),""))*I$75</f>
        <v>485654.81999999995</v>
      </c>
      <c r="J62" s="28">
        <f t="shared" ca="1" si="42"/>
        <v>25.454941034645419</v>
      </c>
      <c r="K62" s="27">
        <f t="shared" ca="1" si="51"/>
        <v>0.14879499630234394</v>
      </c>
      <c r="L62" s="3"/>
      <c r="M62" s="29">
        <f t="array" aca="1" ref="M62" ca="1">SUM(IF(LEFT($A62,3)=LEFT(INDIRECT($AC$11),3),INDIRECT($AF$11),""))*M$75</f>
        <v>467491.65</v>
      </c>
      <c r="N62" s="28">
        <f t="shared" ca="1" si="44"/>
        <v>23.922405587964384</v>
      </c>
      <c r="O62" s="27">
        <f t="shared" ca="1" si="52"/>
        <v>0.13682557480565291</v>
      </c>
      <c r="P62" s="3"/>
      <c r="Q62" s="29">
        <f t="array" aca="1" ref="Q62" ca="1">SUM(IF(LEFT($A62,3)=LEFT(INDIRECT($AC$11),3),INDIRECT($AF$11),""))*Q$75</f>
        <v>937551.93543956045</v>
      </c>
      <c r="R62" s="28">
        <f t="shared" ca="1" si="46"/>
        <v>45.098557785066568</v>
      </c>
      <c r="S62" s="27">
        <f t="shared" ca="1" si="53"/>
        <v>0.248933214264276</v>
      </c>
      <c r="T62" s="3"/>
      <c r="U62" s="29">
        <f t="array" aca="1" ref="U62" ca="1">IFERROR(SUM(IF($A62=INDIRECT($AC$11),IF(U$1&lt;=INDIRECT($AB$11),IF(V$1&gt;=INDIRECT($AB$11),INDIRECT($AD$11)*U$75,""),""),"")),0)</f>
        <v>0</v>
      </c>
      <c r="V62" s="28">
        <f t="shared" ca="1" si="48"/>
        <v>0</v>
      </c>
      <c r="W62" s="27">
        <f t="shared" ca="1" si="49"/>
        <v>0</v>
      </c>
      <c r="X62" s="3"/>
      <c r="Y62" s="3"/>
      <c r="Z62" s="92"/>
      <c r="AA62" s="93"/>
      <c r="AB62" s="101"/>
      <c r="AC62" s="101"/>
      <c r="AD62" s="10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32"/>
      <c r="AS62" s="32"/>
      <c r="AT62" s="32"/>
    </row>
    <row r="63" spans="1:46" s="31" customFormat="1" hidden="1" outlineLevel="1">
      <c r="A63" s="99">
        <v>995</v>
      </c>
      <c r="B63" s="3"/>
      <c r="C63" s="30" t="s">
        <v>505</v>
      </c>
      <c r="D63" s="3"/>
      <c r="E63" s="29">
        <f t="array" aca="1" ref="E63" ca="1">SUM(IF(LEFT($A63,3)=LEFT(INDIRECT($AC$11),3),INDIRECT($AD$11),""))*E$75</f>
        <v>1095327.44</v>
      </c>
      <c r="F63" s="28">
        <f t="shared" ca="1" si="40"/>
        <v>42.408527179804864</v>
      </c>
      <c r="G63" s="27">
        <f t="shared" ca="1" si="54"/>
        <v>0.20473579698888264</v>
      </c>
      <c r="H63" s="3"/>
      <c r="I63" s="29">
        <f t="array" aca="1" ref="I63" ca="1">SUM(IF(LEFT($A63,3)=LEFT(INDIRECT($AC$11),3),INDIRECT($AE$11),""))*I$75</f>
        <v>551921.30999999994</v>
      </c>
      <c r="J63" s="28">
        <f t="shared" ca="1" si="42"/>
        <v>28.928209549766756</v>
      </c>
      <c r="K63" s="27">
        <f t="shared" ca="1" si="51"/>
        <v>0.16909773340792708</v>
      </c>
      <c r="L63" s="3"/>
      <c r="M63" s="29">
        <f t="array" aca="1" ref="M63" ca="1">SUM(IF(LEFT($A63,3)=LEFT(INDIRECT($AC$11),3),INDIRECT($AF$11),""))*M$75</f>
        <v>621125.90999999992</v>
      </c>
      <c r="N63" s="28">
        <f t="shared" ca="1" si="44"/>
        <v>31.784152594412031</v>
      </c>
      <c r="O63" s="27">
        <f t="shared" ca="1" si="52"/>
        <v>0.18179128902609112</v>
      </c>
      <c r="P63" s="3"/>
      <c r="Q63" s="29">
        <f t="array" aca="1" ref="Q63" ca="1">SUM(IF(LEFT($A63,3)=LEFT(INDIRECT($AC$11),3),INDIRECT($AF$11),""))*Q$75</f>
        <v>1245664.5997252746</v>
      </c>
      <c r="R63" s="28">
        <f t="shared" ca="1" si="46"/>
        <v>59.919535983021419</v>
      </c>
      <c r="S63" s="27">
        <f t="shared" ca="1" si="53"/>
        <v>0.33074145653537002</v>
      </c>
      <c r="T63" s="3"/>
      <c r="U63" s="29">
        <f t="array" aca="1" ref="U63" ca="1">IFERROR(SUM(IF($A63=INDIRECT($AC$11),IF(U$1&lt;=INDIRECT($AB$11),IF(V$1&gt;=INDIRECT($AB$11),INDIRECT($AD$11)*U$75,""),""),"")),0)</f>
        <v>0</v>
      </c>
      <c r="V63" s="28">
        <f t="shared" ca="1" si="48"/>
        <v>0</v>
      </c>
      <c r="W63" s="27">
        <f t="shared" ca="1" si="49"/>
        <v>0</v>
      </c>
      <c r="X63" s="3"/>
      <c r="Y63" s="267"/>
      <c r="Z63" s="280"/>
      <c r="AA63" s="281"/>
      <c r="AB63" s="101"/>
      <c r="AC63" s="101"/>
      <c r="AD63" s="10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32"/>
      <c r="AS63" s="32"/>
      <c r="AT63" s="32"/>
    </row>
    <row r="64" spans="1:46" s="31" customFormat="1" ht="17.399999999999999" hidden="1" outlineLevel="1">
      <c r="A64" s="12"/>
      <c r="B64" s="3"/>
      <c r="C64" s="26" t="s">
        <v>4</v>
      </c>
      <c r="D64" s="3"/>
      <c r="E64" s="25">
        <f ca="1">SUM(E37:E61)</f>
        <v>4531008.8600000003</v>
      </c>
      <c r="F64" s="24">
        <f t="shared" ca="1" si="40"/>
        <v>175.43010918383152</v>
      </c>
      <c r="G64" s="23">
        <f t="shared" ca="1" si="41"/>
        <v>0.84692455994327021</v>
      </c>
      <c r="H64" s="3"/>
      <c r="I64" s="25">
        <f ca="1">SUM(I37:I61)</f>
        <v>3415795.8099999977</v>
      </c>
      <c r="J64" s="24">
        <f t="shared" ca="1" si="42"/>
        <v>179.03432098118338</v>
      </c>
      <c r="K64" s="23">
        <f t="shared" ca="1" si="43"/>
        <v>1.0465320305448871</v>
      </c>
      <c r="L64" s="3"/>
      <c r="M64" s="25">
        <f ca="1">SUM(M37:M61)</f>
        <v>3677441.8899999978</v>
      </c>
      <c r="N64" s="24">
        <f t="shared" ca="1" si="44"/>
        <v>188.18144969808606</v>
      </c>
      <c r="O64" s="23">
        <f t="shared" ref="O64" ca="1" si="55">IFERROR(M64/M$32,0)</f>
        <v>1.0763146259695469</v>
      </c>
      <c r="P64" s="3"/>
      <c r="Q64" s="25">
        <f ca="1">SUM(Q37:Q61)</f>
        <v>4066093.5824175822</v>
      </c>
      <c r="R64" s="24">
        <f t="shared" ca="1" si="46"/>
        <v>195.58911827127147</v>
      </c>
      <c r="S64" s="23">
        <f t="shared" ref="S64" ca="1" si="56">IFERROR(Q64/Q$32,0)</f>
        <v>1.0796049868917417</v>
      </c>
      <c r="T64" s="3"/>
      <c r="U64" s="25">
        <f ca="1">SUM(U37:U61)</f>
        <v>3709186.8406860875</v>
      </c>
      <c r="V64" s="24">
        <f t="shared" ca="1" si="48"/>
        <v>158.78368324854827</v>
      </c>
      <c r="W64" s="23">
        <f t="shared" ca="1" si="49"/>
        <v>0.84219572506001605</v>
      </c>
      <c r="X64" s="3"/>
      <c r="Y64" s="282"/>
      <c r="Z64" s="282"/>
      <c r="AA64" s="282"/>
      <c r="AB64" s="101"/>
      <c r="AC64" s="101"/>
      <c r="AD64" s="10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32"/>
      <c r="AS64" s="32"/>
      <c r="AT64" s="32"/>
    </row>
    <row r="65" spans="1:46" s="31" customFormat="1" hidden="1" outlineLevel="1">
      <c r="A65" s="3"/>
      <c r="B65" s="3"/>
      <c r="C65" s="22"/>
      <c r="D65" s="3"/>
      <c r="E65" s="14"/>
      <c r="F65" s="15"/>
      <c r="G65" s="13"/>
      <c r="H65" s="3"/>
      <c r="I65" s="14"/>
      <c r="J65" s="15"/>
      <c r="K65" s="13"/>
      <c r="L65" s="3"/>
      <c r="M65" s="14"/>
      <c r="N65" s="15"/>
      <c r="O65" s="13"/>
      <c r="P65" s="3"/>
      <c r="Q65" s="14"/>
      <c r="R65" s="15"/>
      <c r="S65" s="13"/>
      <c r="T65" s="3"/>
      <c r="U65" s="14"/>
      <c r="V65" s="15"/>
      <c r="W65" s="13"/>
      <c r="X65" s="3"/>
      <c r="Y65" s="3"/>
      <c r="Z65" s="92"/>
      <c r="AA65" s="105"/>
      <c r="AB65" s="101"/>
      <c r="AC65" s="101"/>
      <c r="AD65" s="10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32"/>
      <c r="AS65" s="32"/>
      <c r="AT65" s="32"/>
    </row>
    <row r="66" spans="1:46" ht="20.399999999999999" collapsed="1">
      <c r="A66" s="12"/>
      <c r="B66" s="3"/>
      <c r="C66" s="21" t="s">
        <v>610</v>
      </c>
      <c r="D66" s="3"/>
      <c r="E66" s="20">
        <f ca="1">MANAGEMENT_FEE*E$34</f>
        <v>267497.7840000001</v>
      </c>
      <c r="F66" s="19">
        <f ca="1">IFERROR(E66/(E$15*E$74*E$75),0)</f>
        <v>10.356891125909868</v>
      </c>
      <c r="G66" s="18">
        <f t="shared" ref="G66:G67" ca="1" si="57">IFERROR(E66/E$34,0)</f>
        <v>0.05</v>
      </c>
      <c r="H66" s="3"/>
      <c r="I66" s="20">
        <f ca="1">MANAGEMENT_FEE*I$34</f>
        <v>163195.9515</v>
      </c>
      <c r="J66" s="19">
        <f ca="1">IFERROR(I66/(I$15*I$74*I$75),0)</f>
        <v>8.5536952408407139</v>
      </c>
      <c r="K66" s="18">
        <f t="shared" ref="K66:K67" ca="1" si="58">IFERROR(I66/I$34,0)</f>
        <v>0.05</v>
      </c>
      <c r="L66" s="3"/>
      <c r="M66" s="20">
        <f ca="1">MANAGEMENT_FEE*M$34</f>
        <v>170834.89350000001</v>
      </c>
      <c r="N66" s="19">
        <f ca="1">IFERROR(M66/(M$15*M$74*M$75),0)</f>
        <v>8.7419349861836047</v>
      </c>
      <c r="O66" s="18">
        <f t="shared" ref="O66" ca="1" si="59">IFERROR(M66/M$34,0)</f>
        <v>0.05</v>
      </c>
      <c r="P66" s="3"/>
      <c r="Q66" s="20">
        <f ca="1">MANAGEMENT_FEE*Q$34</f>
        <v>188313.94962912088</v>
      </c>
      <c r="R66" s="19">
        <f ca="1">IFERROR(Q66/(Q$15*Q$74*Q$75),0)</f>
        <v>9.0583648948485447</v>
      </c>
      <c r="S66" s="18">
        <f t="shared" ref="S66:S67" ca="1" si="60">IFERROR(Q66/Q$34,0)</f>
        <v>0.05</v>
      </c>
      <c r="T66" s="3"/>
      <c r="U66" s="20">
        <f ca="1">MANAGEMENT_FEE*U$34</f>
        <v>220209.31300866944</v>
      </c>
      <c r="V66" s="19">
        <f ca="1">IFERROR(U66/(U$15*U$74*U$75),0)</f>
        <v>9.4267685363300284</v>
      </c>
      <c r="W66" s="18">
        <f t="shared" ref="W66:W67" ca="1" si="61">IFERROR(U66/U$34,0)</f>
        <v>0.05</v>
      </c>
      <c r="X66" s="3"/>
      <c r="Y66" s="3"/>
      <c r="AA66" s="93"/>
      <c r="AB66" s="101"/>
      <c r="AC66" s="101"/>
      <c r="AD66" s="101"/>
    </row>
    <row r="67" spans="1:46">
      <c r="A67" s="12"/>
      <c r="B67" s="3"/>
      <c r="C67" s="17" t="s">
        <v>3</v>
      </c>
      <c r="D67" s="3"/>
      <c r="E67" s="10">
        <f ca="1">SUM(E66,E37:E55)</f>
        <v>4798506.6439999985</v>
      </c>
      <c r="F67" s="9">
        <f ca="1">IFERROR(E67/(E$15*E$74*E$75),0)</f>
        <v>185.7870003097413</v>
      </c>
      <c r="G67" s="8">
        <f t="shared" ca="1" si="57"/>
        <v>0.89692455994326981</v>
      </c>
      <c r="H67" s="3"/>
      <c r="I67" s="10">
        <f ca="1">SUM(I66,I37:I55)</f>
        <v>3578991.8414999978</v>
      </c>
      <c r="J67" s="9">
        <f ca="1">IFERROR(I67/(I$15*I$74*I$75),0)</f>
        <v>187.58802041511598</v>
      </c>
      <c r="K67" s="8">
        <f t="shared" ca="1" si="58"/>
        <v>1.096532055055299</v>
      </c>
      <c r="L67" s="3"/>
      <c r="M67" s="10">
        <f ca="1">SUM(M66,M37:M55)</f>
        <v>3848277.2534999982</v>
      </c>
      <c r="N67" s="9">
        <f ca="1">IFERROR(M67/(M$15*M$74*M$75),0)</f>
        <v>196.92340873503215</v>
      </c>
      <c r="O67" s="8">
        <f t="shared" ref="O67" ca="1" si="62">IFERROR(M67/M$34,0)</f>
        <v>1.1263147635292663</v>
      </c>
      <c r="P67" s="3"/>
      <c r="Q67" s="10">
        <f ca="1">SUM(Q66,Q37:Q55)</f>
        <v>4254408.4746291209</v>
      </c>
      <c r="R67" s="9">
        <f ca="1">IFERROR(Q67/(Q$15*Q$74*Q$75),0)</f>
        <v>204.64752850665641</v>
      </c>
      <c r="S67" s="8">
        <f t="shared" ca="1" si="60"/>
        <v>1.1296052371606196</v>
      </c>
      <c r="T67" s="3"/>
      <c r="U67" s="10">
        <f ca="1">SUM(U66,U37:U55)</f>
        <v>3929396.1536947568</v>
      </c>
      <c r="V67" s="9">
        <f ca="1">IFERROR(U67/(U$15*U$74*U$75),0)</f>
        <v>168.21045178487827</v>
      </c>
      <c r="W67" s="8">
        <f t="shared" ca="1" si="61"/>
        <v>0.89219572506001599</v>
      </c>
      <c r="X67" s="3"/>
      <c r="Y67" s="3"/>
      <c r="AA67" s="93"/>
      <c r="AB67" s="101"/>
      <c r="AC67" s="101"/>
      <c r="AD67" s="101"/>
    </row>
    <row r="68" spans="1:46" hidden="1" outlineLevel="1">
      <c r="A68" s="3"/>
      <c r="B68" s="3"/>
      <c r="C68" s="16"/>
      <c r="D68" s="3"/>
      <c r="E68" s="14"/>
      <c r="F68" s="15"/>
      <c r="G68" s="13"/>
      <c r="H68" s="3"/>
      <c r="I68" s="14"/>
      <c r="J68" s="15"/>
      <c r="K68" s="13"/>
      <c r="L68" s="3"/>
      <c r="M68" s="14"/>
      <c r="N68" s="15"/>
      <c r="O68" s="13"/>
      <c r="P68" s="3"/>
      <c r="Q68" s="14"/>
      <c r="R68" s="15"/>
      <c r="S68" s="13"/>
      <c r="T68" s="3"/>
      <c r="U68" s="14"/>
      <c r="V68" s="15"/>
      <c r="W68" s="13"/>
      <c r="X68" s="3"/>
      <c r="Y68" s="3"/>
      <c r="AA68" s="93"/>
      <c r="AB68" s="101"/>
      <c r="AC68" s="101"/>
      <c r="AD68" s="101"/>
    </row>
    <row r="69" spans="1:46" hidden="1" outlineLevel="1">
      <c r="A69" s="12"/>
      <c r="B69" s="3"/>
      <c r="C69" s="16"/>
      <c r="D69" s="3"/>
      <c r="E69" s="14"/>
      <c r="F69" s="15"/>
      <c r="G69" s="13"/>
      <c r="H69" s="3"/>
      <c r="I69" s="14"/>
      <c r="J69" s="15"/>
      <c r="K69" s="13"/>
      <c r="L69" s="3"/>
      <c r="M69" s="14"/>
      <c r="N69" s="15"/>
      <c r="O69" s="13"/>
      <c r="P69" s="3"/>
      <c r="Q69" s="14"/>
      <c r="R69" s="15"/>
      <c r="S69" s="13"/>
      <c r="T69" s="3"/>
      <c r="U69" s="14"/>
      <c r="V69" s="15"/>
      <c r="W69" s="13"/>
      <c r="X69" s="3"/>
      <c r="Y69" s="3"/>
      <c r="AA69" s="93"/>
      <c r="AB69" s="101"/>
      <c r="AC69" s="101"/>
      <c r="AD69" s="101"/>
    </row>
    <row r="70" spans="1:46" hidden="1" outlineLevel="1">
      <c r="A70" s="3"/>
      <c r="B70" s="3"/>
      <c r="C70" s="48" t="s">
        <v>61</v>
      </c>
      <c r="D70" s="3"/>
      <c r="E70" s="25">
        <f ca="1">E32-E64</f>
        <v>818946.82000000123</v>
      </c>
      <c r="F70" s="24">
        <f ca="1">IFERROR(E70/(E$15*E$74*E$75),0)</f>
        <v>31.707713334365852</v>
      </c>
      <c r="G70" s="23">
        <f ca="1">IFERROR(E70/E$32,0)</f>
        <v>0.15307544005672977</v>
      </c>
      <c r="H70" s="3"/>
      <c r="I70" s="25">
        <f ca="1">I32-I64</f>
        <v>-151876.77999999793</v>
      </c>
      <c r="J70" s="24">
        <f ca="1">IFERROR(I70/(I$15*I$74*I$75),0)</f>
        <v>-7.9604161643690929</v>
      </c>
      <c r="K70" s="23">
        <f ca="1">IFERROR(I70/I$32,0)</f>
        <v>-4.6532030544886999E-2</v>
      </c>
      <c r="L70" s="3"/>
      <c r="M70" s="25">
        <f ca="1">M32-M64</f>
        <v>-260744.01999999769</v>
      </c>
      <c r="N70" s="24">
        <f ca="1">IFERROR(M70/(M$15*M$74*M$75),0)</f>
        <v>-13.342749974413964</v>
      </c>
      <c r="O70" s="23">
        <f ca="1">IFERROR(M70/M$32,0)</f>
        <v>-7.6314625969546926E-2</v>
      </c>
      <c r="P70" s="3"/>
      <c r="Q70" s="25">
        <f ca="1">Q32-Q64</f>
        <v>-299814.58983516507</v>
      </c>
      <c r="R70" s="24">
        <f ca="1">IFERROR(Q70/(Q$15*Q$74*Q$75),0)</f>
        <v>-14.421820374300612</v>
      </c>
      <c r="S70" s="23">
        <f ca="1">IFERROR(Q70/Q$32,0)</f>
        <v>-7.96049868917416E-2</v>
      </c>
      <c r="T70" s="3"/>
      <c r="U70" s="25">
        <f ca="1">U32-U64</f>
        <v>694999.41948730126</v>
      </c>
      <c r="V70" s="24">
        <f ca="1">IFERROR(U70/(U$15*U$74*U$75),0)</f>
        <v>29.751687478052279</v>
      </c>
      <c r="W70" s="23">
        <f ca="1">IFERROR(U70/U$32,0)</f>
        <v>0.15780427493998397</v>
      </c>
      <c r="X70" s="3"/>
      <c r="Y70" s="3"/>
      <c r="AA70" s="93"/>
      <c r="AB70" s="101"/>
      <c r="AC70" s="101"/>
      <c r="AD70" s="101"/>
    </row>
    <row r="71" spans="1:46" collapsed="1">
      <c r="A71" s="3"/>
      <c r="B71" s="3"/>
      <c r="C71" s="16"/>
      <c r="D71" s="3"/>
      <c r="E71" s="14"/>
      <c r="F71" s="15"/>
      <c r="G71" s="13"/>
      <c r="H71" s="3"/>
      <c r="I71" s="14"/>
      <c r="J71" s="15"/>
      <c r="K71" s="13"/>
      <c r="L71" s="3"/>
      <c r="M71" s="14"/>
      <c r="N71" s="15"/>
      <c r="O71" s="13"/>
      <c r="P71" s="3"/>
      <c r="Q71" s="14"/>
      <c r="R71" s="15"/>
      <c r="S71" s="13"/>
      <c r="T71" s="3"/>
      <c r="U71" s="14"/>
      <c r="V71" s="15"/>
      <c r="W71" s="13"/>
      <c r="X71" s="3"/>
      <c r="Y71" s="3"/>
      <c r="AA71" s="93"/>
      <c r="AB71" s="101"/>
      <c r="AC71" s="101"/>
      <c r="AD71" s="101"/>
    </row>
    <row r="72" spans="1:46">
      <c r="A72" s="12"/>
      <c r="B72" s="3"/>
      <c r="C72" s="11" t="s">
        <v>2</v>
      </c>
      <c r="D72" s="3"/>
      <c r="E72" s="10">
        <f ca="1">E34-E67</f>
        <v>551449.03600000311</v>
      </c>
      <c r="F72" s="9">
        <f ca="1">IFERROR(E72/(E$15*E$74*E$75),0)</f>
        <v>21.350822208456059</v>
      </c>
      <c r="G72" s="8">
        <f ca="1">IFERROR(E72/E$34,0)</f>
        <v>0.10307544005673014</v>
      </c>
      <c r="H72" s="3"/>
      <c r="I72" s="10">
        <f ca="1">I34-I67</f>
        <v>-315072.81149999797</v>
      </c>
      <c r="J72" s="9">
        <f ca="1">IFERROR(I72/(I$15*I$74*I$75),0)</f>
        <v>-16.514115598301693</v>
      </c>
      <c r="K72" s="8">
        <f ca="1">IFERROR(I72/I$34,0)</f>
        <v>-9.6532055055298965E-2</v>
      </c>
      <c r="L72" s="3"/>
      <c r="M72" s="10">
        <f ca="1">M34-M67</f>
        <v>-431579.38349999813</v>
      </c>
      <c r="N72" s="9">
        <f ca="1">IFERROR(M72/(M$15*M$74*M$75),0)</f>
        <v>-22.084709011360051</v>
      </c>
      <c r="O72" s="8">
        <f ca="1">IFERROR(M72/M$34,0)</f>
        <v>-0.12631476352926638</v>
      </c>
      <c r="P72" s="3"/>
      <c r="Q72" s="10">
        <f ca="1">Q34-Q67</f>
        <v>-488129.48204670381</v>
      </c>
      <c r="R72" s="9">
        <f ca="1">IFERROR(Q72/(Q$15*Q$74*Q$75),0)</f>
        <v>-23.480230609685538</v>
      </c>
      <c r="S72" s="8">
        <f ca="1">IFERROR(Q72/Q$34,0)</f>
        <v>-0.12960523716061964</v>
      </c>
      <c r="T72" s="3"/>
      <c r="U72" s="10">
        <f ca="1">U34-U67</f>
        <v>474790.10647863196</v>
      </c>
      <c r="V72" s="9">
        <f ca="1">IFERROR(U72/(U$15*U$74*U$75),0)</f>
        <v>20.32491894172226</v>
      </c>
      <c r="W72" s="8">
        <f ca="1">IFERROR(U72/U$34,0)</f>
        <v>0.10780427493998401</v>
      </c>
      <c r="X72" s="3"/>
      <c r="Y72" s="3"/>
      <c r="AB72" s="100"/>
      <c r="AC72" s="100"/>
      <c r="AD72" s="100"/>
    </row>
    <row r="73" spans="1:46">
      <c r="A73" s="4"/>
      <c r="B73" s="3"/>
      <c r="C73" s="4"/>
      <c r="D73" s="3"/>
      <c r="E73" s="4"/>
      <c r="F73" s="7"/>
      <c r="G73" s="4"/>
      <c r="H73" s="3"/>
      <c r="I73" s="4"/>
      <c r="J73" s="7"/>
      <c r="K73" s="4"/>
      <c r="L73" s="3"/>
      <c r="M73" s="4"/>
      <c r="N73" s="7"/>
      <c r="O73" s="4"/>
      <c r="P73" s="3"/>
      <c r="Q73" s="4"/>
      <c r="R73" s="7"/>
      <c r="S73" s="4"/>
      <c r="T73" s="3"/>
      <c r="U73" s="4"/>
      <c r="V73" s="7"/>
      <c r="W73" s="4"/>
      <c r="X73" s="3"/>
      <c r="Y73" s="3"/>
      <c r="AB73" s="100"/>
      <c r="AC73" s="100"/>
      <c r="AD73" s="100"/>
    </row>
    <row r="74" spans="1:46">
      <c r="A74" s="4"/>
      <c r="B74" s="3"/>
      <c r="C74" s="5" t="s">
        <v>1</v>
      </c>
      <c r="D74" s="3"/>
      <c r="E74" s="5">
        <f>F$1-E$1+1</f>
        <v>365</v>
      </c>
      <c r="F74" s="113"/>
      <c r="G74" s="113"/>
      <c r="H74" s="3"/>
      <c r="I74" s="5">
        <f>J$1-I$1+1</f>
        <v>365</v>
      </c>
      <c r="J74" s="113"/>
      <c r="K74" s="113"/>
      <c r="L74" s="3"/>
      <c r="M74" s="5">
        <f>N$1-M$1+1</f>
        <v>366</v>
      </c>
      <c r="N74" s="113"/>
      <c r="O74" s="113"/>
      <c r="P74" s="3"/>
      <c r="Q74" s="5">
        <f>R$1-Q$1+1</f>
        <v>182</v>
      </c>
      <c r="R74" s="113"/>
      <c r="S74" s="113"/>
      <c r="T74" s="3"/>
      <c r="U74" s="5">
        <f>V$1-U$1+1</f>
        <v>365</v>
      </c>
      <c r="V74" s="113"/>
      <c r="W74" s="113"/>
      <c r="X74" s="3"/>
      <c r="Y74" s="3"/>
      <c r="AB74" s="100"/>
      <c r="AC74" s="100"/>
      <c r="AD74" s="100"/>
    </row>
    <row r="75" spans="1:46">
      <c r="A75" s="4"/>
      <c r="B75" s="3"/>
      <c r="C75" s="5" t="s">
        <v>0</v>
      </c>
      <c r="D75" s="3"/>
      <c r="E75" s="6">
        <f>365/E74</f>
        <v>1</v>
      </c>
      <c r="F75" s="113"/>
      <c r="G75" s="113"/>
      <c r="H75" s="3"/>
      <c r="I75" s="6">
        <f>365/I74</f>
        <v>1</v>
      </c>
      <c r="J75" s="113"/>
      <c r="K75" s="113"/>
      <c r="L75" s="3"/>
      <c r="M75" s="6">
        <f>365/365</f>
        <v>1</v>
      </c>
      <c r="N75" s="114"/>
      <c r="O75" s="113"/>
      <c r="P75" s="3"/>
      <c r="Q75" s="6">
        <f>365/Q74</f>
        <v>2.0054945054945055</v>
      </c>
      <c r="R75" s="114"/>
      <c r="S75" s="113"/>
      <c r="T75" s="3"/>
      <c r="U75" s="6">
        <f>365/365</f>
        <v>1</v>
      </c>
      <c r="V75" s="113"/>
      <c r="W75" s="113"/>
      <c r="X75" s="3"/>
      <c r="Y75" s="3"/>
      <c r="AB75" s="100"/>
      <c r="AC75" s="100"/>
      <c r="AD75" s="100"/>
    </row>
    <row r="76" spans="1:46">
      <c r="A76" s="4"/>
      <c r="B76" s="3"/>
      <c r="C76" s="3"/>
      <c r="D76" s="3"/>
      <c r="E76" s="3"/>
      <c r="F76" s="113"/>
      <c r="G76" s="113"/>
      <c r="H76" s="3"/>
      <c r="I76" s="3"/>
      <c r="J76" s="113"/>
      <c r="K76" s="113"/>
      <c r="L76" s="3"/>
      <c r="M76" s="3"/>
      <c r="N76" s="4"/>
      <c r="O76" s="4"/>
      <c r="P76" s="3"/>
      <c r="Q76" s="3"/>
      <c r="R76" s="4"/>
      <c r="S76" s="4"/>
      <c r="T76" s="3"/>
      <c r="U76" s="3"/>
      <c r="V76" s="113"/>
      <c r="W76" s="113"/>
      <c r="X76" s="3"/>
      <c r="Y76" s="3"/>
      <c r="AB76" s="100"/>
      <c r="AC76" s="100"/>
      <c r="AD76" s="100"/>
    </row>
    <row r="77" spans="1:46">
      <c r="A77" s="4"/>
      <c r="B77" s="3"/>
      <c r="C77" s="3"/>
      <c r="D77" s="3"/>
      <c r="E77" s="3"/>
      <c r="F77" s="113"/>
      <c r="G77" s="113"/>
      <c r="H77" s="3"/>
      <c r="I77" s="3"/>
      <c r="J77" s="113"/>
      <c r="K77" s="113"/>
      <c r="L77" s="3"/>
      <c r="M77" s="3"/>
      <c r="N77" s="4"/>
      <c r="O77" s="4"/>
      <c r="P77" s="3"/>
      <c r="Q77" s="3"/>
      <c r="R77" s="4"/>
      <c r="S77" s="4"/>
      <c r="T77" s="3"/>
      <c r="U77" s="3"/>
      <c r="V77" s="113"/>
      <c r="W77" s="113"/>
      <c r="X77" s="3"/>
      <c r="Y77" s="3"/>
      <c r="AB77" s="100"/>
      <c r="AC77" s="100"/>
      <c r="AD77" s="100"/>
    </row>
    <row r="78" spans="1:46" ht="18.600000000000001" thickBot="1">
      <c r="A78" s="4"/>
      <c r="B78" s="3"/>
      <c r="C78" s="3"/>
      <c r="D78" s="3"/>
      <c r="E78" s="3">
        <v>2014</v>
      </c>
      <c r="F78" s="113"/>
      <c r="G78" s="113"/>
      <c r="H78" s="3"/>
      <c r="I78" s="3">
        <v>2015</v>
      </c>
      <c r="J78" s="113"/>
      <c r="K78" s="113"/>
      <c r="L78" s="3"/>
      <c r="M78" s="3" t="s">
        <v>497</v>
      </c>
      <c r="N78" s="4"/>
      <c r="O78" s="4"/>
      <c r="P78" s="3"/>
      <c r="Q78" s="3" t="s">
        <v>497</v>
      </c>
      <c r="R78" s="4"/>
      <c r="S78" s="4"/>
      <c r="T78" s="3"/>
      <c r="U78" s="3"/>
      <c r="V78" s="113"/>
      <c r="W78" s="113"/>
      <c r="X78" s="3"/>
      <c r="Y78" s="3"/>
      <c r="AB78" s="100"/>
      <c r="AC78" s="100"/>
      <c r="AD78" s="100"/>
    </row>
    <row r="79" spans="1:46">
      <c r="A79" s="261">
        <v>222</v>
      </c>
      <c r="B79" s="238"/>
      <c r="C79" s="258" t="s">
        <v>145</v>
      </c>
      <c r="D79" s="238"/>
      <c r="E79" s="254">
        <f t="array" aca="1" ref="E79" ca="1">SUM(IF(LEFT($A79,3)=LEFT(INDIRECT($AC$11),3),INDIRECT($AD$11),""))*E$75</f>
        <v>5349955.68</v>
      </c>
      <c r="F79" s="240"/>
      <c r="G79" s="240"/>
      <c r="H79" s="238"/>
      <c r="I79" s="239">
        <f t="array" aca="1" ref="I79" ca="1">SUM(IF(LEFT($A79,3)=LEFT(INDIRECT($AC$11),3),INDIRECT($AE$11),""))*I$75</f>
        <v>3263919.03</v>
      </c>
      <c r="J79" s="240"/>
      <c r="K79" s="240"/>
      <c r="L79" s="238"/>
      <c r="M79" s="239">
        <f t="array" aca="1" ref="M79" ca="1">SUM(IF(LEFT($A79,3)=LEFT(INDIRECT($AC$11),3),INDIRECT($AF$11),""))*M$75</f>
        <v>3416697.8700000006</v>
      </c>
      <c r="N79" s="241"/>
      <c r="O79" s="241"/>
      <c r="P79" s="238"/>
      <c r="Q79" s="239">
        <f t="array" aca="1" ref="Q79" ca="1">SUM(IF(LEFT($A79,3)=LEFT(INDIRECT($AC$11),3),INDIRECT($AF$11),""))*Q$75</f>
        <v>6852168.8052197816</v>
      </c>
      <c r="R79" s="241"/>
      <c r="S79" s="241"/>
      <c r="T79" s="238"/>
      <c r="U79" s="3"/>
      <c r="V79" s="113"/>
      <c r="W79" s="113"/>
      <c r="X79" s="3"/>
      <c r="Y79" s="3"/>
      <c r="AB79" s="100"/>
      <c r="AC79" s="100"/>
      <c r="AD79" s="100"/>
    </row>
    <row r="80" spans="1:46">
      <c r="A80" s="262">
        <v>333</v>
      </c>
      <c r="B80" s="15"/>
      <c r="C80" s="259" t="s">
        <v>149</v>
      </c>
      <c r="D80" s="15"/>
      <c r="E80" s="255">
        <f t="array" aca="1" ref="E80" ca="1">SUM(IF(LEFT($A80,3)=LEFT(INDIRECT($AC$11),3),INDIRECT($AD$11),""))*E$75</f>
        <v>4531008.8600000003</v>
      </c>
      <c r="F80" s="247"/>
      <c r="G80" s="247"/>
      <c r="H80" s="248"/>
      <c r="I80" s="246">
        <f t="array" aca="1" ref="I80" ca="1">SUM(IF(LEFT($A80,3)=LEFT(INDIRECT($AC$11),3),INDIRECT($AE$11),""))*I$75</f>
        <v>3415795.81</v>
      </c>
      <c r="J80" s="247"/>
      <c r="K80" s="247"/>
      <c r="L80" s="248"/>
      <c r="M80" s="246">
        <f t="array" aca="1" ref="M80" ca="1">SUM(IF(LEFT($A80,3)=LEFT(INDIRECT($AC$11),3),INDIRECT($AF$11),""))*M$75</f>
        <v>3677441.8900000006</v>
      </c>
      <c r="N80" s="249"/>
      <c r="O80" s="249"/>
      <c r="P80" s="248"/>
      <c r="Q80" s="246">
        <f t="array" aca="1" ref="Q80" ca="1">SUM(IF(LEFT($A80,3)=LEFT(INDIRECT($AC$11),3),INDIRECT($AF$11),""))*Q$75</f>
        <v>7375089.5046703313</v>
      </c>
      <c r="R80" s="249"/>
      <c r="S80" s="249"/>
      <c r="T80" s="248"/>
      <c r="U80" s="3"/>
      <c r="V80" s="268">
        <f ca="1">U72/0.135</f>
        <v>3516963.7516935701</v>
      </c>
      <c r="W80" s="113"/>
      <c r="X80" s="3"/>
      <c r="Y80" s="3"/>
      <c r="AB80" s="100"/>
      <c r="AC80" s="100"/>
      <c r="AD80" s="100"/>
    </row>
    <row r="81" spans="1:30">
      <c r="A81" s="262">
        <v>444</v>
      </c>
      <c r="B81" s="15"/>
      <c r="C81" s="259" t="s">
        <v>355</v>
      </c>
      <c r="D81" s="15"/>
      <c r="E81" s="256">
        <f t="array" aca="1" ref="E81" ca="1">SUM(IF(LEFT($A81,3)=LEFT(INDIRECT($AC$11),3),INDIRECT($AD$11),""))*E$75</f>
        <v>818946.82000000018</v>
      </c>
      <c r="F81" s="251"/>
      <c r="G81" s="251"/>
      <c r="H81" s="252"/>
      <c r="I81" s="250">
        <f t="array" aca="1" ref="I81" ca="1">SUM(IF(LEFT($A81,3)=LEFT(INDIRECT($AC$11),3),INDIRECT($AE$11),""))*I$75</f>
        <v>-151876.77999999977</v>
      </c>
      <c r="J81" s="251"/>
      <c r="K81" s="251"/>
      <c r="L81" s="252"/>
      <c r="M81" s="250">
        <f t="array" aca="1" ref="M81" ca="1">SUM(IF(LEFT($A81,3)=LEFT(INDIRECT($AC$11),3),INDIRECT($AF$11),""))*M$75</f>
        <v>-260744.01999999949</v>
      </c>
      <c r="N81" s="253"/>
      <c r="O81" s="253"/>
      <c r="P81" s="252"/>
      <c r="Q81" s="250">
        <f t="array" aca="1" ref="Q81" ca="1">SUM(IF(LEFT($A81,3)=LEFT(INDIRECT($AC$11),3),INDIRECT($AF$11),""))*Q$75</f>
        <v>-522920.69945054845</v>
      </c>
      <c r="R81" s="253"/>
      <c r="S81" s="253"/>
      <c r="T81" s="252"/>
      <c r="U81" s="3"/>
      <c r="V81" s="113"/>
      <c r="W81" s="113"/>
      <c r="X81" s="3"/>
      <c r="Y81" s="3"/>
      <c r="AB81" s="100"/>
      <c r="AC81" s="100"/>
      <c r="AD81" s="100"/>
    </row>
    <row r="82" spans="1:30" ht="18.600000000000001" thickBot="1">
      <c r="A82" s="263"/>
      <c r="B82" s="242"/>
      <c r="C82" s="260" t="s">
        <v>560</v>
      </c>
      <c r="D82" s="242"/>
      <c r="E82" s="257">
        <f ca="1">E81-E70</f>
        <v>-1.0477378964424133E-9</v>
      </c>
      <c r="F82" s="244"/>
      <c r="G82" s="244"/>
      <c r="H82" s="242"/>
      <c r="I82" s="243">
        <f ca="1">I81-I70</f>
        <v>-1.8335413187742233E-9</v>
      </c>
      <c r="J82" s="244"/>
      <c r="K82" s="244"/>
      <c r="L82" s="242"/>
      <c r="M82" s="243">
        <f ca="1">M81-M70</f>
        <v>-1.8044374883174896E-9</v>
      </c>
      <c r="N82" s="245"/>
      <c r="O82" s="245"/>
      <c r="P82" s="242"/>
      <c r="Q82" s="243">
        <f ca="1">Q81-Q70</f>
        <v>-223106.10961538338</v>
      </c>
      <c r="R82" s="245"/>
      <c r="S82" s="245"/>
      <c r="T82" s="242"/>
      <c r="U82" s="3"/>
      <c r="V82" s="113"/>
      <c r="W82" s="113"/>
      <c r="X82" s="3"/>
      <c r="Y82" s="3"/>
      <c r="AB82" s="100"/>
      <c r="AC82" s="100"/>
      <c r="AD82" s="100"/>
    </row>
    <row r="83" spans="1:30">
      <c r="A83" s="4"/>
      <c r="B83" s="3"/>
      <c r="C83" s="3"/>
      <c r="D83" s="3"/>
      <c r="E83" s="237"/>
      <c r="F83" s="113"/>
      <c r="G83" s="113"/>
      <c r="H83" s="3"/>
      <c r="I83" s="3"/>
      <c r="J83" s="113"/>
      <c r="K83" s="113"/>
      <c r="L83" s="3"/>
      <c r="M83" s="3"/>
      <c r="N83" s="4"/>
      <c r="O83" s="4"/>
      <c r="P83" s="3"/>
      <c r="Q83" s="3"/>
      <c r="R83" s="4"/>
      <c r="S83" s="4"/>
      <c r="T83" s="3"/>
      <c r="U83" s="3"/>
      <c r="V83" s="113"/>
      <c r="W83" s="113"/>
      <c r="X83" s="3"/>
      <c r="Y83" s="3"/>
      <c r="AB83" s="100"/>
      <c r="AC83" s="100"/>
      <c r="AD83" s="100"/>
    </row>
    <row r="84" spans="1:30">
      <c r="A84" s="4"/>
      <c r="B84" s="3"/>
      <c r="C84" s="3"/>
      <c r="D84" s="3"/>
      <c r="E84" s="3"/>
      <c r="F84" s="113"/>
      <c r="G84" s="113"/>
      <c r="H84" s="3"/>
      <c r="I84" s="3"/>
      <c r="J84" s="113"/>
      <c r="K84" s="113"/>
      <c r="L84" s="3"/>
      <c r="M84" s="3"/>
      <c r="N84" s="4"/>
      <c r="O84" s="4"/>
      <c r="P84" s="3"/>
      <c r="Q84" s="3"/>
      <c r="R84" s="4"/>
      <c r="S84" s="4"/>
      <c r="T84" s="3"/>
      <c r="U84" s="3"/>
      <c r="V84" s="113"/>
      <c r="W84" s="113"/>
      <c r="X84" s="3"/>
      <c r="Y84" s="3"/>
      <c r="AB84" s="100"/>
      <c r="AC84" s="100"/>
      <c r="AD84" s="100"/>
    </row>
    <row r="85" spans="1:30">
      <c r="A85" s="4"/>
      <c r="B85" s="3"/>
      <c r="C85" s="3"/>
      <c r="D85" s="3"/>
      <c r="E85" s="3"/>
      <c r="F85" s="113"/>
      <c r="G85" s="113"/>
      <c r="H85" s="3"/>
      <c r="I85" s="3"/>
      <c r="J85" s="113"/>
      <c r="K85" s="113"/>
      <c r="L85" s="3"/>
      <c r="M85" s="3"/>
      <c r="N85" s="4"/>
      <c r="O85" s="4"/>
      <c r="P85" s="3"/>
      <c r="Q85" s="3"/>
      <c r="R85" s="4"/>
      <c r="S85" s="4"/>
      <c r="T85" s="3"/>
      <c r="U85" s="3"/>
      <c r="V85" s="113"/>
      <c r="W85" s="113"/>
      <c r="X85" s="3"/>
      <c r="Y85" s="3"/>
      <c r="AB85" s="100"/>
      <c r="AC85" s="100"/>
      <c r="AD85" s="100"/>
    </row>
    <row r="86" spans="1:30">
      <c r="A86" s="4"/>
      <c r="B86" s="3"/>
      <c r="C86" s="3"/>
      <c r="D86" s="3"/>
      <c r="E86" s="3"/>
      <c r="F86" s="113"/>
      <c r="G86" s="113"/>
      <c r="H86" s="3"/>
      <c r="I86" s="3"/>
      <c r="J86" s="113"/>
      <c r="K86" s="113"/>
      <c r="L86" s="3"/>
      <c r="M86" s="3"/>
      <c r="N86" s="4"/>
      <c r="O86" s="4"/>
      <c r="P86" s="3"/>
      <c r="Q86" s="3"/>
      <c r="R86" s="4"/>
      <c r="S86" s="4"/>
      <c r="T86" s="3"/>
      <c r="U86" s="3"/>
      <c r="V86" s="113"/>
      <c r="W86" s="113"/>
      <c r="X86" s="3"/>
      <c r="Y86" s="3"/>
      <c r="AB86" s="100"/>
      <c r="AC86" s="100"/>
      <c r="AD86" s="100"/>
    </row>
    <row r="87" spans="1:30">
      <c r="A87" s="4"/>
      <c r="B87" s="3"/>
      <c r="C87" s="3"/>
      <c r="D87" s="3"/>
      <c r="E87" s="3"/>
      <c r="F87" s="113"/>
      <c r="G87" s="113"/>
      <c r="H87" s="3"/>
      <c r="I87" s="3"/>
      <c r="J87" s="113"/>
      <c r="K87" s="113"/>
      <c r="L87" s="3"/>
      <c r="M87" s="3"/>
      <c r="N87" s="4"/>
      <c r="O87" s="4"/>
      <c r="P87" s="3"/>
      <c r="Q87" s="3"/>
      <c r="R87" s="4"/>
      <c r="S87" s="4"/>
      <c r="T87" s="3"/>
      <c r="U87" s="3"/>
      <c r="V87" s="113"/>
      <c r="W87" s="113"/>
      <c r="X87" s="3"/>
      <c r="Y87" s="3"/>
      <c r="AB87" s="100"/>
      <c r="AC87" s="100"/>
      <c r="AD87" s="100"/>
    </row>
    <row r="88" spans="1:30">
      <c r="D88" s="3"/>
      <c r="E88" s="3"/>
      <c r="F88" s="4"/>
      <c r="G88" s="4"/>
      <c r="H88" s="3"/>
      <c r="I88" s="3"/>
      <c r="J88" s="4"/>
      <c r="K88" s="4"/>
      <c r="L88" s="3"/>
      <c r="M88" s="3"/>
      <c r="N88" s="4"/>
      <c r="O88" s="4"/>
      <c r="P88" s="3"/>
      <c r="Q88" s="3"/>
      <c r="R88" s="4"/>
      <c r="S88" s="4"/>
      <c r="T88" s="3"/>
      <c r="U88" s="3"/>
      <c r="V88" s="4"/>
      <c r="W88" s="4"/>
      <c r="X88" s="3"/>
      <c r="Y88" s="3"/>
      <c r="AB88" s="100"/>
      <c r="AC88" s="100"/>
      <c r="AD88" s="100"/>
    </row>
    <row r="89" spans="1:30">
      <c r="C89" s="115"/>
      <c r="D89" s="3"/>
      <c r="E89" s="3"/>
      <c r="F89" s="4"/>
      <c r="G89" s="4"/>
      <c r="H89" s="3"/>
      <c r="I89" s="3"/>
      <c r="J89" s="4"/>
      <c r="K89" s="4"/>
      <c r="L89" s="3"/>
      <c r="M89" s="3"/>
      <c r="N89" s="4"/>
      <c r="O89" s="4"/>
      <c r="P89" s="3"/>
      <c r="Q89" s="3"/>
      <c r="R89" s="4"/>
      <c r="S89" s="4"/>
      <c r="T89" s="3"/>
      <c r="U89" s="3"/>
      <c r="V89" s="4"/>
      <c r="W89" s="4"/>
      <c r="X89" s="3"/>
      <c r="Y89" s="3"/>
      <c r="AB89" s="100"/>
      <c r="AC89" s="100"/>
      <c r="AD89" s="100"/>
    </row>
    <row r="90" spans="1:30">
      <c r="C90" s="32"/>
      <c r="D90" s="3"/>
      <c r="E90" s="3"/>
      <c r="F90" s="4"/>
      <c r="G90" s="4"/>
      <c r="H90" s="3"/>
      <c r="I90" s="3"/>
      <c r="J90" s="4"/>
      <c r="K90" s="4"/>
      <c r="L90" s="3"/>
      <c r="M90" s="3"/>
      <c r="N90" s="4"/>
      <c r="O90" s="4"/>
      <c r="P90" s="3"/>
      <c r="Q90" s="3"/>
      <c r="R90" s="4"/>
      <c r="S90" s="4"/>
      <c r="T90" s="3"/>
      <c r="U90" s="3"/>
      <c r="V90" s="4"/>
      <c r="W90" s="4"/>
      <c r="X90" s="3"/>
      <c r="Y90" s="3"/>
      <c r="AB90" s="100"/>
      <c r="AC90" s="100"/>
      <c r="AD90" s="100"/>
    </row>
    <row r="91" spans="1:30">
      <c r="C91" s="32"/>
      <c r="D91" s="210"/>
      <c r="E91" s="213"/>
      <c r="F91" s="214"/>
      <c r="G91" s="215"/>
      <c r="H91" s="210"/>
      <c r="I91" s="213"/>
      <c r="J91" s="214"/>
      <c r="K91" s="215"/>
      <c r="L91" s="210"/>
      <c r="M91" s="213"/>
      <c r="N91" s="214"/>
      <c r="O91" s="215"/>
      <c r="P91" s="210"/>
      <c r="Q91" s="213"/>
      <c r="R91" s="214"/>
      <c r="S91" s="215"/>
      <c r="T91" s="210"/>
      <c r="U91" s="213"/>
      <c r="V91" s="214"/>
      <c r="W91" s="215"/>
      <c r="X91" s="3"/>
      <c r="Y91" s="3"/>
      <c r="AB91" s="100"/>
      <c r="AC91" s="100"/>
      <c r="AD91" s="100"/>
    </row>
    <row r="92" spans="1:30">
      <c r="C92" s="32"/>
      <c r="D92" s="210"/>
      <c r="E92" s="213"/>
      <c r="F92" s="214"/>
      <c r="G92" s="215"/>
      <c r="H92" s="210"/>
      <c r="I92" s="213"/>
      <c r="J92" s="214"/>
      <c r="K92" s="215"/>
      <c r="L92" s="210"/>
      <c r="M92" s="213"/>
      <c r="N92" s="214"/>
      <c r="O92" s="215"/>
      <c r="P92" s="210"/>
      <c r="Q92" s="213"/>
      <c r="R92" s="214"/>
      <c r="S92" s="215"/>
      <c r="T92" s="210"/>
      <c r="U92" s="213"/>
      <c r="V92" s="214"/>
      <c r="W92" s="215"/>
      <c r="X92" s="3"/>
      <c r="Y92" s="3"/>
    </row>
    <row r="93" spans="1:30">
      <c r="C93" s="32"/>
      <c r="D93" s="210"/>
      <c r="E93" s="213"/>
      <c r="F93" s="214"/>
      <c r="G93" s="215"/>
      <c r="H93" s="210"/>
      <c r="I93" s="213"/>
      <c r="J93" s="214"/>
      <c r="K93" s="215"/>
      <c r="L93" s="210"/>
      <c r="M93" s="213"/>
      <c r="N93" s="214"/>
      <c r="O93" s="215"/>
      <c r="P93" s="210"/>
      <c r="Q93" s="213"/>
      <c r="R93" s="214"/>
      <c r="S93" s="215"/>
      <c r="T93" s="210"/>
      <c r="U93" s="213"/>
      <c r="V93" s="214"/>
      <c r="W93" s="215"/>
      <c r="X93" s="3"/>
      <c r="Y93" s="3"/>
    </row>
    <row r="94" spans="1:30">
      <c r="C94" s="32"/>
      <c r="D94" s="210"/>
      <c r="E94" s="216"/>
      <c r="F94" s="217"/>
      <c r="G94" s="218"/>
      <c r="H94" s="210"/>
      <c r="I94" s="216"/>
      <c r="J94" s="217"/>
      <c r="K94" s="218"/>
      <c r="L94" s="210"/>
      <c r="M94" s="216"/>
      <c r="N94" s="217"/>
      <c r="O94" s="218"/>
      <c r="P94" s="210"/>
      <c r="Q94" s="216"/>
      <c r="R94" s="217"/>
      <c r="S94" s="218"/>
      <c r="T94" s="210"/>
      <c r="U94" s="216"/>
      <c r="V94" s="217"/>
      <c r="W94" s="218"/>
      <c r="X94" s="3"/>
      <c r="Y94" s="3"/>
    </row>
    <row r="95" spans="1:30">
      <c r="C95" s="264"/>
    </row>
    <row r="97" spans="3:23">
      <c r="C97" s="264"/>
      <c r="U97" s="210"/>
      <c r="V97" s="210"/>
      <c r="W97" s="210"/>
    </row>
    <row r="98" spans="3:23">
      <c r="E98" s="2"/>
      <c r="U98" s="210"/>
      <c r="V98" s="210"/>
      <c r="W98" s="210"/>
    </row>
    <row r="99" spans="3:23">
      <c r="E99" s="2"/>
      <c r="F99" s="2"/>
      <c r="G99" s="2"/>
      <c r="U99" s="210"/>
      <c r="V99" s="210"/>
      <c r="W99" s="210"/>
    </row>
    <row r="100" spans="3:23">
      <c r="U100" s="210"/>
      <c r="V100" s="210"/>
      <c r="W100" s="210"/>
    </row>
    <row r="101" spans="3:23">
      <c r="C101" s="211"/>
      <c r="D101" s="210"/>
      <c r="E101" s="212"/>
      <c r="F101" s="212"/>
      <c r="G101" s="210"/>
      <c r="H101" s="210"/>
      <c r="I101" s="212"/>
      <c r="J101" s="212"/>
      <c r="K101" s="210"/>
      <c r="L101" s="210"/>
      <c r="M101" s="212"/>
      <c r="N101" s="212"/>
      <c r="O101" s="210"/>
      <c r="P101" s="210"/>
      <c r="Q101" s="212"/>
      <c r="R101" s="212"/>
      <c r="S101" s="210"/>
      <c r="T101" s="210"/>
      <c r="U101" s="212"/>
      <c r="V101" s="212"/>
      <c r="W101" s="210"/>
    </row>
    <row r="102" spans="3:23">
      <c r="C102" s="211"/>
      <c r="D102" s="210"/>
      <c r="E102" s="212"/>
      <c r="F102" s="212"/>
      <c r="G102" s="210"/>
      <c r="H102" s="210"/>
      <c r="I102" s="212"/>
      <c r="J102" s="212"/>
      <c r="K102" s="210"/>
      <c r="L102" s="210"/>
      <c r="M102" s="212"/>
      <c r="N102" s="212"/>
      <c r="O102" s="210"/>
      <c r="P102" s="210"/>
      <c r="Q102" s="212"/>
      <c r="R102" s="212"/>
      <c r="S102" s="210"/>
      <c r="T102" s="210"/>
      <c r="U102" s="212"/>
      <c r="V102" s="212"/>
      <c r="W102" s="210"/>
    </row>
    <row r="103" spans="3:23">
      <c r="C103" s="211"/>
      <c r="D103" s="210"/>
      <c r="E103" s="212"/>
      <c r="F103" s="212"/>
      <c r="G103" s="210"/>
      <c r="H103" s="210"/>
      <c r="I103" s="212"/>
      <c r="J103" s="212"/>
      <c r="K103" s="210"/>
      <c r="L103" s="210"/>
      <c r="M103" s="212"/>
      <c r="N103" s="212"/>
      <c r="O103" s="210"/>
      <c r="P103" s="210"/>
      <c r="Q103" s="212"/>
      <c r="R103" s="212"/>
      <c r="S103" s="210"/>
      <c r="T103" s="210"/>
      <c r="U103" s="212"/>
      <c r="V103" s="212"/>
      <c r="W103" s="210"/>
    </row>
    <row r="104" spans="3:23">
      <c r="C104" s="211"/>
      <c r="D104" s="210"/>
      <c r="E104" s="212"/>
      <c r="F104" s="212"/>
      <c r="G104" s="210"/>
      <c r="H104" s="210"/>
      <c r="I104" s="212"/>
      <c r="J104" s="212"/>
      <c r="K104" s="210"/>
      <c r="L104" s="210"/>
      <c r="M104" s="212"/>
      <c r="N104" s="212"/>
      <c r="O104" s="210"/>
      <c r="P104" s="210"/>
      <c r="Q104" s="212"/>
      <c r="R104" s="212"/>
      <c r="S104" s="210"/>
      <c r="T104" s="210"/>
      <c r="U104" s="212"/>
      <c r="V104" s="212"/>
      <c r="W104" s="210"/>
    </row>
    <row r="105" spans="3:23">
      <c r="C105" s="210"/>
      <c r="D105" s="210"/>
      <c r="E105" s="210"/>
      <c r="F105" s="210"/>
      <c r="G105" s="210"/>
      <c r="H105" s="210"/>
      <c r="I105" s="210"/>
      <c r="J105" s="210"/>
      <c r="K105" s="210"/>
      <c r="L105" s="210"/>
      <c r="M105" s="210"/>
      <c r="N105" s="210"/>
      <c r="O105" s="210"/>
      <c r="P105" s="210"/>
      <c r="Q105" s="210"/>
      <c r="R105" s="210"/>
      <c r="S105" s="210"/>
      <c r="T105" s="210"/>
      <c r="U105" s="210"/>
      <c r="V105" s="210"/>
      <c r="W105" s="210"/>
    </row>
  </sheetData>
  <conditionalFormatting sqref="A57:A59 A30:A31 A20:A24 A61:A63 A9:A13 A26:A28 A37:A55">
    <cfRule type="cellIs" dxfId="65" priority="49" operator="between">
      <formula>1000</formula>
      <formula>9999</formula>
    </cfRule>
    <cfRule type="cellIs" dxfId="64" priority="50" operator="between">
      <formula>400</formula>
      <formula>499</formula>
    </cfRule>
    <cfRule type="cellIs" dxfId="63" priority="51" operator="between">
      <formula>300</formula>
      <formula>399</formula>
    </cfRule>
    <cfRule type="cellIs" dxfId="62" priority="52" operator="between">
      <formula>200</formula>
      <formula>299</formula>
    </cfRule>
    <cfRule type="cellIs" dxfId="61" priority="53" operator="between">
      <formula>100</formula>
      <formula>199</formula>
    </cfRule>
    <cfRule type="cellIs" dxfId="60" priority="54" operator="between">
      <formula>900</formula>
      <formula>999</formula>
    </cfRule>
  </conditionalFormatting>
  <conditionalFormatting sqref="A60">
    <cfRule type="cellIs" dxfId="59" priority="43" operator="between">
      <formula>1000</formula>
      <formula>9999</formula>
    </cfRule>
    <cfRule type="cellIs" dxfId="58" priority="44" operator="between">
      <formula>400</formula>
      <formula>499</formula>
    </cfRule>
    <cfRule type="cellIs" dxfId="57" priority="45" operator="between">
      <formula>300</formula>
      <formula>399</formula>
    </cfRule>
    <cfRule type="cellIs" dxfId="56" priority="46" operator="between">
      <formula>200</formula>
      <formula>299</formula>
    </cfRule>
    <cfRule type="cellIs" dxfId="55" priority="47" operator="between">
      <formula>100</formula>
      <formula>199</formula>
    </cfRule>
    <cfRule type="cellIs" dxfId="54" priority="48" operator="between">
      <formula>900</formula>
      <formula>999</formula>
    </cfRule>
  </conditionalFormatting>
  <conditionalFormatting sqref="A15">
    <cfRule type="cellIs" dxfId="53" priority="7" operator="between">
      <formula>1000</formula>
      <formula>9999</formula>
    </cfRule>
    <cfRule type="cellIs" dxfId="52" priority="8" operator="between">
      <formula>400</formula>
      <formula>499</formula>
    </cfRule>
    <cfRule type="cellIs" dxfId="51" priority="9" operator="between">
      <formula>300</formula>
      <formula>399</formula>
    </cfRule>
    <cfRule type="cellIs" dxfId="50" priority="10" operator="between">
      <formula>200</formula>
      <formula>299</formula>
    </cfRule>
    <cfRule type="cellIs" dxfId="49" priority="11" operator="between">
      <formula>100</formula>
      <formula>199</formula>
    </cfRule>
    <cfRule type="cellIs" dxfId="48" priority="12" operator="between">
      <formula>900</formula>
      <formula>999</formula>
    </cfRule>
  </conditionalFormatting>
  <conditionalFormatting sqref="A14">
    <cfRule type="cellIs" dxfId="47" priority="1" operator="between">
      <formula>1000</formula>
      <formula>9999</formula>
    </cfRule>
    <cfRule type="cellIs" dxfId="46" priority="2" operator="between">
      <formula>400</formula>
      <formula>499</formula>
    </cfRule>
    <cfRule type="cellIs" dxfId="45" priority="3" operator="between">
      <formula>300</formula>
      <formula>399</formula>
    </cfRule>
    <cfRule type="cellIs" dxfId="44" priority="4" operator="between">
      <formula>200</formula>
      <formula>299</formula>
    </cfRule>
    <cfRule type="cellIs" dxfId="43" priority="5" operator="between">
      <formula>100</formula>
      <formula>199</formula>
    </cfRule>
    <cfRule type="cellIs" dxfId="42" priority="6" operator="between">
      <formula>900</formula>
      <formula>999</formula>
    </cfRule>
  </conditionalFormatting>
  <pageMargins left="0.7" right="0.7" top="0.75" bottom="0.75" header="0.3" footer="0.3"/>
  <pageSetup orientation="portrait" verticalDpi="0" r:id="rId1"/>
  <ignoredErrors>
    <ignoredError sqref="E9:G17 F7:G7 E20:G24 E18:H19 L18:P19 J25:L25 L20:O24 E62:P72 E37:L38 E41:L58 I34:L34 F5:J5 G6:I6 L5:M6 L16:L17 H16:H17 K28:L28 I28:I31 L26:L27 J26:J28 F26:F28 H20:H28 O5:P6 P16:P17 P34 M26:O31 P37:P38 N57:O57 M33:O38 N32:O32 E74:P75 M58:O58 E59:O61 U14:W14 I9:I19 M9:O17 U74:U75 P41:P61 M41:O56 V9:W13 U15:U17 U67:W71 U72:V72 E79:P82 U27:U28 U24 U20:U21 U22:V22 G8 E39:P40 U62:W63 U41:U42 U45:U53 V45:W55 V37:V38 U44 P20:P28 U23 U37 V40 V39 U40 U39 U43 V43:V44 I20:I24 U26:V26" unlockedFormula="1"/>
    <ignoredError sqref="E28 E30:G34 I25 E25:G25 E27 E26 K27 K26 I26 G27 G28 G26 I27 M25:O25 U54 U55 U38" formula="1" unlockedFormula="1"/>
    <ignoredError sqref="E29:G29" formula="1"/>
    <ignoredError sqref="J2:K4 J32:K32 J7:K8 K1" numberStoredAsText="1"/>
    <ignoredError sqref="J9:K14 J29:K31 J18:K19 K5:K6 J16:K17 J15:K15 J20:K24" numberStoredAsText="1" unlockedFormula="1"/>
    <ignoredError sqref="U18:W18 U64:W65 U59:W61 U58:W58 V66:W66 U66 V15:W17 W23 W22 W21 W37 V28:W28 U25:W25 W20 W24 U29:W33 U35:W36 V34:W34 U34 U57:W57 U56:W56 V27:W27 W41:W42 W40 V41:V42 W43:W44 W39 W38 W26" evalError="1" unlockedFormula="1"/>
    <ignoredError sqref="U19:W19" evalErro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106"/>
  <sheetViews>
    <sheetView showGridLines="0" zoomScale="60" zoomScaleNormal="60" workbookViewId="0">
      <selection activeCell="U68" sqref="U68"/>
    </sheetView>
  </sheetViews>
  <sheetFormatPr defaultColWidth="8.88671875" defaultRowHeight="18" outlineLevelRow="1" outlineLevelCol="1"/>
  <cols>
    <col min="1" max="1" width="10.6640625" style="1" customWidth="1"/>
    <col min="2" max="2" width="1.6640625" style="1" customWidth="1"/>
    <col min="3" max="3" width="54.6640625" style="1" customWidth="1"/>
    <col min="4" max="4" width="0.88671875" style="1" customWidth="1"/>
    <col min="5" max="7" width="18.6640625" style="1" customWidth="1"/>
    <col min="8" max="8" width="0.88671875" style="1" customWidth="1"/>
    <col min="9" max="11" width="18.6640625" style="1" customWidth="1"/>
    <col min="12" max="12" width="0.88671875" style="1" customWidth="1"/>
    <col min="13" max="15" width="18.6640625" style="1" customWidth="1"/>
    <col min="16" max="16" width="0.88671875" style="1" customWidth="1"/>
    <col min="17" max="19" width="18.6640625" style="1" hidden="1" customWidth="1" outlineLevel="1"/>
    <col min="20" max="20" width="0.88671875" style="1" hidden="1" customWidth="1" outlineLevel="1"/>
    <col min="21" max="21" width="18.6640625" style="1" customWidth="1" collapsed="1"/>
    <col min="22" max="23" width="18.6640625" style="1" customWidth="1"/>
    <col min="24" max="24" width="34.109375" style="1" customWidth="1"/>
    <col min="25" max="25" width="13.33203125" style="1" customWidth="1"/>
    <col min="26" max="26" width="16.77734375" style="92" customWidth="1"/>
    <col min="27" max="27" width="14" style="112" bestFit="1" customWidth="1"/>
    <col min="28" max="28" width="40.88671875" style="1" customWidth="1"/>
    <col min="29" max="29" width="49.77734375" style="1" customWidth="1"/>
    <col min="30" max="30" width="49.6640625" style="1" customWidth="1"/>
    <col min="31" max="31" width="36.77734375" style="1" customWidth="1"/>
    <col min="32" max="32" width="44.77734375" style="1" customWidth="1"/>
    <col min="33" max="33" width="32.44140625" style="1" customWidth="1"/>
    <col min="34" max="16384" width="8.88671875" style="1"/>
  </cols>
  <sheetData>
    <row r="1" spans="1:33">
      <c r="A1" s="12" t="s">
        <v>373</v>
      </c>
      <c r="B1" s="3"/>
      <c r="C1" s="91"/>
      <c r="D1" s="3"/>
      <c r="E1" s="90">
        <f>'Willow Springs - UW'!E1</f>
        <v>41640</v>
      </c>
      <c r="F1" s="90">
        <f>'Willow Springs - UW'!F1</f>
        <v>42004</v>
      </c>
      <c r="G1" s="89">
        <v>2014</v>
      </c>
      <c r="H1" s="3"/>
      <c r="I1" s="90">
        <f>'Willow Springs - UW'!I1</f>
        <v>42005</v>
      </c>
      <c r="J1" s="90">
        <f>'Willow Springs - UW'!J1</f>
        <v>42369</v>
      </c>
      <c r="K1" s="89" t="s">
        <v>39</v>
      </c>
      <c r="L1" s="3"/>
      <c r="M1" s="90">
        <f>'Willow Springs - UW'!M1</f>
        <v>42186</v>
      </c>
      <c r="N1" s="90">
        <f>'Willow Springs - UW'!N1</f>
        <v>42551</v>
      </c>
      <c r="O1" s="89" t="s">
        <v>497</v>
      </c>
      <c r="P1" s="3"/>
      <c r="Q1" s="90">
        <f>'Willow Springs - UW'!Q1</f>
        <v>42370</v>
      </c>
      <c r="R1" s="90">
        <f>'Willow Springs - UW'!R1</f>
        <v>42551</v>
      </c>
      <c r="S1" s="89" t="s">
        <v>40</v>
      </c>
      <c r="T1" s="3"/>
      <c r="U1" s="90">
        <f>'Willow Springs - UW'!U1</f>
        <v>42736</v>
      </c>
      <c r="V1" s="90">
        <f>'Willow Springs - UW'!V1</f>
        <v>43100</v>
      </c>
      <c r="W1" s="89" t="s">
        <v>501</v>
      </c>
      <c r="X1" s="3"/>
      <c r="Y1" s="3"/>
      <c r="AA1" s="93"/>
      <c r="AB1" s="75" t="s">
        <v>38</v>
      </c>
    </row>
    <row r="2" spans="1:33" ht="19.2">
      <c r="A2" s="12"/>
      <c r="B2" s="3"/>
      <c r="C2" s="88"/>
      <c r="D2" s="3"/>
      <c r="E2" s="87"/>
      <c r="F2" s="86">
        <v>2014</v>
      </c>
      <c r="G2" s="85"/>
      <c r="H2" s="3"/>
      <c r="I2" s="87"/>
      <c r="J2" s="86" t="s">
        <v>39</v>
      </c>
      <c r="K2" s="85"/>
      <c r="L2" s="3"/>
      <c r="M2" s="87"/>
      <c r="N2" s="86" t="s">
        <v>562</v>
      </c>
      <c r="O2" s="85"/>
      <c r="P2" s="3"/>
      <c r="Q2" s="87"/>
      <c r="R2" s="86" t="s">
        <v>40</v>
      </c>
      <c r="S2" s="85"/>
      <c r="T2" s="3"/>
      <c r="U2" s="87"/>
      <c r="V2" s="86" t="s">
        <v>573</v>
      </c>
      <c r="W2" s="85"/>
      <c r="X2" s="3"/>
      <c r="Y2" s="3"/>
      <c r="Z2" s="94"/>
      <c r="AA2" s="93"/>
      <c r="AB2" s="76" t="s">
        <v>373</v>
      </c>
    </row>
    <row r="3" spans="1:33">
      <c r="A3" s="12"/>
      <c r="B3" s="3"/>
      <c r="C3" s="84"/>
      <c r="D3" s="3"/>
      <c r="E3" s="83"/>
      <c r="F3" s="82" t="s">
        <v>41</v>
      </c>
      <c r="G3" s="81"/>
      <c r="H3" s="3"/>
      <c r="I3" s="83"/>
      <c r="J3" s="82" t="s">
        <v>42</v>
      </c>
      <c r="K3" s="81"/>
      <c r="L3" s="3"/>
      <c r="M3" s="83"/>
      <c r="N3" s="82" t="s">
        <v>500</v>
      </c>
      <c r="O3" s="81"/>
      <c r="P3" s="3"/>
      <c r="Q3" s="83"/>
      <c r="R3" s="82" t="s">
        <v>500</v>
      </c>
      <c r="S3" s="81"/>
      <c r="T3" s="3"/>
      <c r="U3" s="83"/>
      <c r="V3" s="82" t="s">
        <v>561</v>
      </c>
      <c r="W3" s="81"/>
      <c r="X3" s="3"/>
      <c r="Y3" s="3"/>
      <c r="Z3" s="94"/>
      <c r="AA3" s="93"/>
      <c r="AB3" s="75" t="s">
        <v>43</v>
      </c>
      <c r="AC3" s="75" t="s">
        <v>44</v>
      </c>
    </row>
    <row r="4" spans="1:33">
      <c r="A4" s="12"/>
      <c r="B4" s="3"/>
      <c r="C4" s="80"/>
      <c r="D4" s="3"/>
      <c r="E4" s="79"/>
      <c r="F4" s="78"/>
      <c r="G4" s="77"/>
      <c r="H4" s="3"/>
      <c r="I4" s="79"/>
      <c r="J4" s="78"/>
      <c r="K4" s="77"/>
      <c r="L4" s="3"/>
      <c r="M4" s="79"/>
      <c r="N4" s="78"/>
      <c r="O4" s="77"/>
      <c r="P4" s="3"/>
      <c r="Q4" s="79"/>
      <c r="R4" s="78"/>
      <c r="S4" s="77"/>
      <c r="T4" s="3"/>
      <c r="U4" s="79"/>
      <c r="V4" s="78"/>
      <c r="W4" s="77"/>
      <c r="X4" s="3"/>
      <c r="Y4" s="3"/>
      <c r="Z4" s="94"/>
      <c r="AA4" s="93"/>
      <c r="AB4" s="76"/>
      <c r="AC4" s="76">
        <v>101</v>
      </c>
    </row>
    <row r="5" spans="1:33">
      <c r="A5" s="12"/>
      <c r="B5" s="3"/>
      <c r="C5" s="95" t="s">
        <v>45</v>
      </c>
      <c r="D5" s="15"/>
      <c r="E5" s="74"/>
      <c r="F5" s="73">
        <f>$AC$4</f>
        <v>101</v>
      </c>
      <c r="G5" s="72"/>
      <c r="H5" s="15"/>
      <c r="I5" s="74"/>
      <c r="J5" s="73">
        <f>$AC$4</f>
        <v>101</v>
      </c>
      <c r="K5" s="72"/>
      <c r="L5" s="15"/>
      <c r="M5" s="74"/>
      <c r="N5" s="73">
        <v>101</v>
      </c>
      <c r="O5" s="72"/>
      <c r="P5" s="15"/>
      <c r="Q5" s="74"/>
      <c r="R5" s="73">
        <v>101</v>
      </c>
      <c r="S5" s="72"/>
      <c r="T5" s="15"/>
      <c r="U5" s="74"/>
      <c r="V5" s="73">
        <v>101</v>
      </c>
      <c r="W5" s="72"/>
      <c r="X5" s="15"/>
      <c r="Y5" s="15"/>
      <c r="Z5" s="94"/>
      <c r="AA5" s="93"/>
      <c r="AB5" s="228"/>
      <c r="AC5" s="228"/>
    </row>
    <row r="6" spans="1:33">
      <c r="A6" s="12"/>
      <c r="B6" s="3"/>
      <c r="C6" s="95" t="s">
        <v>46</v>
      </c>
      <c r="D6" s="15"/>
      <c r="E6" s="74"/>
      <c r="F6" s="73">
        <v>87</v>
      </c>
      <c r="G6" s="72"/>
      <c r="H6" s="15"/>
      <c r="I6" s="74"/>
      <c r="J6" s="73">
        <v>87</v>
      </c>
      <c r="K6" s="72"/>
      <c r="L6" s="15"/>
      <c r="M6" s="74"/>
      <c r="N6" s="73">
        <v>85</v>
      </c>
      <c r="O6" s="72"/>
      <c r="P6" s="15"/>
      <c r="Q6" s="74"/>
      <c r="R6" s="73">
        <v>85</v>
      </c>
      <c r="S6" s="72"/>
      <c r="T6" s="15"/>
      <c r="U6" s="74"/>
      <c r="V6" s="73">
        <v>85</v>
      </c>
      <c r="W6" s="72"/>
      <c r="X6" s="15"/>
      <c r="Y6" s="15"/>
      <c r="Z6" s="94"/>
      <c r="AA6" s="93"/>
      <c r="AB6" s="229"/>
      <c r="AC6" s="229"/>
    </row>
    <row r="7" spans="1:33">
      <c r="A7" s="12"/>
      <c r="B7" s="3"/>
      <c r="C7" s="71"/>
      <c r="D7" s="3"/>
      <c r="E7" s="96"/>
      <c r="F7" s="97"/>
      <c r="G7" s="98"/>
      <c r="H7" s="3"/>
      <c r="I7" s="96"/>
      <c r="J7" s="97"/>
      <c r="K7" s="98"/>
      <c r="L7" s="3"/>
      <c r="M7" s="96"/>
      <c r="N7" s="97"/>
      <c r="O7" s="98"/>
      <c r="P7" s="3"/>
      <c r="Q7" s="96"/>
      <c r="R7" s="97"/>
      <c r="S7" s="98"/>
      <c r="T7" s="3"/>
      <c r="U7" s="96"/>
      <c r="V7" s="97"/>
      <c r="W7" s="98"/>
      <c r="X7" s="15"/>
      <c r="Y7" s="15"/>
      <c r="Z7" s="94"/>
      <c r="AA7" s="93"/>
    </row>
    <row r="8" spans="1:33" ht="19.8">
      <c r="A8" s="12"/>
      <c r="B8" s="3"/>
      <c r="C8" s="71" t="s">
        <v>36</v>
      </c>
      <c r="D8" s="3"/>
      <c r="E8" s="70" t="s">
        <v>565</v>
      </c>
      <c r="F8" s="57" t="s">
        <v>566</v>
      </c>
      <c r="G8" s="38" t="s">
        <v>34</v>
      </c>
      <c r="H8" s="58"/>
      <c r="I8" s="70" t="s">
        <v>35</v>
      </c>
      <c r="J8" s="57" t="s">
        <v>20</v>
      </c>
      <c r="K8" s="38" t="s">
        <v>34</v>
      </c>
      <c r="L8" s="58"/>
      <c r="M8" s="70" t="s">
        <v>35</v>
      </c>
      <c r="N8" s="57" t="s">
        <v>20</v>
      </c>
      <c r="O8" s="38" t="s">
        <v>34</v>
      </c>
      <c r="P8" s="58"/>
      <c r="Q8" s="70" t="s">
        <v>35</v>
      </c>
      <c r="R8" s="57" t="s">
        <v>20</v>
      </c>
      <c r="S8" s="38" t="s">
        <v>34</v>
      </c>
      <c r="T8" s="58"/>
      <c r="U8" s="70" t="s">
        <v>35</v>
      </c>
      <c r="V8" s="57" t="s">
        <v>20</v>
      </c>
      <c r="W8" s="38" t="s">
        <v>34</v>
      </c>
      <c r="X8" s="15"/>
      <c r="Y8" s="15"/>
      <c r="Z8" s="94"/>
      <c r="AA8" s="93"/>
      <c r="AB8" s="75"/>
      <c r="AC8" s="75" t="s">
        <v>37</v>
      </c>
      <c r="AD8" s="75" t="s">
        <v>489</v>
      </c>
      <c r="AE8" s="75" t="s">
        <v>490</v>
      </c>
      <c r="AF8" s="75" t="s">
        <v>499</v>
      </c>
      <c r="AG8" s="75" t="s">
        <v>498</v>
      </c>
    </row>
    <row r="9" spans="1:33">
      <c r="A9" s="99">
        <v>101</v>
      </c>
      <c r="B9" s="3"/>
      <c r="C9" s="55" t="s">
        <v>30</v>
      </c>
      <c r="D9" s="3"/>
      <c r="E9" s="69">
        <f ca="1">'Willow Springs - UW'!E9</f>
        <v>9.2547945205479447</v>
      </c>
      <c r="F9" s="19">
        <f ca="1">F21</f>
        <v>133.43740378922442</v>
      </c>
      <c r="G9" s="18">
        <f t="shared" ref="G9:G14" ca="1" si="0">IFERROR(E9/E$15,0)</f>
        <v>0.13078829177636672</v>
      </c>
      <c r="H9" s="3"/>
      <c r="I9" s="69">
        <f ca="1">'Willow Springs - UW'!I9</f>
        <v>8.7534246575342465</v>
      </c>
      <c r="J9" s="19">
        <f ca="1">J21</f>
        <v>126.20579029733959</v>
      </c>
      <c r="K9" s="18">
        <f t="shared" ref="K9:K14" ca="1" si="1">IFERROR(I9/I$15,0)</f>
        <v>0.16746160700246346</v>
      </c>
      <c r="L9" s="3"/>
      <c r="M9" s="69">
        <f ca="1">'Willow Springs - UW'!M9</f>
        <v>9.5355191256830594</v>
      </c>
      <c r="N9" s="19">
        <f ca="1">N21</f>
        <v>132.60080731640303</v>
      </c>
      <c r="O9" s="18">
        <f t="shared" ref="O9:O14" ca="1" si="2">IFERROR(M9/M$15,0)</f>
        <v>0.17858970422679357</v>
      </c>
      <c r="P9" s="3"/>
      <c r="Q9" s="69">
        <f ca="1">'Willow Springs - UW'!Q9</f>
        <v>9.1593406593406588</v>
      </c>
      <c r="R9" s="19">
        <f ca="1">R21</f>
        <v>138.99406718656269</v>
      </c>
      <c r="S9" s="18">
        <f t="shared" ref="S9:S14" ca="1" si="3">IFERROR(Q9/Q$15,0)</f>
        <v>0.16081420027011384</v>
      </c>
      <c r="T9" s="3"/>
      <c r="U9" s="69">
        <f>'Willow Springs - UW'!U9</f>
        <v>9</v>
      </c>
      <c r="V9" s="19">
        <f>'Willow Springs - UW'!V9</f>
        <v>140</v>
      </c>
      <c r="W9" s="18">
        <f t="shared" ref="W9:W14" si="4">IFERROR(U9/U$15,0)</f>
        <v>0.140625</v>
      </c>
      <c r="X9" s="15"/>
      <c r="Y9" s="15"/>
      <c r="Z9" s="94"/>
      <c r="AA9" s="93"/>
      <c r="AB9" s="76"/>
      <c r="AC9" s="76" t="s">
        <v>555</v>
      </c>
      <c r="AD9" s="76" t="s">
        <v>556</v>
      </c>
      <c r="AE9" s="76" t="s">
        <v>557</v>
      </c>
      <c r="AF9" s="76" t="s">
        <v>558</v>
      </c>
      <c r="AG9" s="76" t="s">
        <v>559</v>
      </c>
    </row>
    <row r="10" spans="1:33">
      <c r="A10" s="99">
        <v>102</v>
      </c>
      <c r="B10" s="3"/>
      <c r="C10" s="55" t="s">
        <v>29</v>
      </c>
      <c r="D10" s="3"/>
      <c r="E10" s="69">
        <f ca="1">'Willow Springs - UW'!E10</f>
        <v>7.3561643835616435</v>
      </c>
      <c r="F10" s="19">
        <f t="shared" ref="F10:F13" ca="1" si="5">F22</f>
        <v>468.72612662942271</v>
      </c>
      <c r="G10" s="18">
        <f t="shared" ca="1" si="0"/>
        <v>0.10395694595013164</v>
      </c>
      <c r="H10" s="3"/>
      <c r="I10" s="69">
        <f ca="1">'Willow Springs - UW'!I10</f>
        <v>3.2931506849315069</v>
      </c>
      <c r="J10" s="19">
        <f t="shared" ref="J10:J13" ca="1" si="6">J22</f>
        <v>427.24647254575706</v>
      </c>
      <c r="K10" s="18">
        <f t="shared" ca="1" si="1"/>
        <v>6.3001205513915831E-2</v>
      </c>
      <c r="L10" s="3"/>
      <c r="M10" s="69">
        <f ca="1">'Willow Springs - UW'!M10</f>
        <v>5.527322404371585</v>
      </c>
      <c r="N10" s="19">
        <f t="shared" ref="N10:N13" ca="1" si="7">N22</f>
        <v>417.12293273925195</v>
      </c>
      <c r="O10" s="18">
        <f t="shared" ca="1" si="2"/>
        <v>0.10352062224951389</v>
      </c>
      <c r="P10" s="3"/>
      <c r="Q10" s="69">
        <f ca="1">'Willow Springs - UW'!Q10</f>
        <v>7.813186813186813</v>
      </c>
      <c r="R10" s="19">
        <f t="shared" ref="R10:R13" ca="1" si="8">R22</f>
        <v>417.22513361462728</v>
      </c>
      <c r="S10" s="18">
        <f t="shared" ca="1" si="3"/>
        <v>0.13717923982249663</v>
      </c>
      <c r="T10" s="3"/>
      <c r="U10" s="69">
        <f>'Willow Springs - UW'!U10</f>
        <v>7.5</v>
      </c>
      <c r="V10" s="19">
        <f>'Willow Springs - UW'!V10</f>
        <v>450</v>
      </c>
      <c r="W10" s="18">
        <f t="shared" si="4"/>
        <v>0.1171875</v>
      </c>
      <c r="X10" s="3"/>
      <c r="Y10" s="3"/>
      <c r="Z10" s="94"/>
      <c r="AA10" s="93"/>
      <c r="AB10" s="75"/>
      <c r="AC10" s="75" t="s">
        <v>47</v>
      </c>
      <c r="AD10" s="75" t="s">
        <v>488</v>
      </c>
      <c r="AE10" s="75" t="s">
        <v>491</v>
      </c>
      <c r="AF10" s="75" t="s">
        <v>492</v>
      </c>
      <c r="AG10" s="75" t="s">
        <v>492</v>
      </c>
    </row>
    <row r="11" spans="1:33">
      <c r="A11" s="99">
        <v>103</v>
      </c>
      <c r="B11" s="3"/>
      <c r="C11" s="55" t="s">
        <v>28</v>
      </c>
      <c r="D11" s="3"/>
      <c r="E11" s="69">
        <f ca="1">'Willow Springs - UW'!E11</f>
        <v>48.347945205479455</v>
      </c>
      <c r="F11" s="19">
        <f t="shared" ca="1" si="5"/>
        <v>144.87433784779284</v>
      </c>
      <c r="G11" s="18">
        <f t="shared" ca="1" si="0"/>
        <v>0.68325073563574423</v>
      </c>
      <c r="H11" s="3"/>
      <c r="I11" s="69">
        <f ca="1">'Willow Springs - UW'!I11</f>
        <v>36.736986301369861</v>
      </c>
      <c r="J11" s="19">
        <f t="shared" ca="1" si="6"/>
        <v>143.27686031769707</v>
      </c>
      <c r="K11" s="18">
        <f t="shared" ca="1" si="1"/>
        <v>0.70281461292520575</v>
      </c>
      <c r="L11" s="3"/>
      <c r="M11" s="69">
        <f ca="1">'Willow Springs - UW'!M11</f>
        <v>34.158469945355193</v>
      </c>
      <c r="N11" s="19">
        <f t="shared" ca="1" si="7"/>
        <v>134.21515953392662</v>
      </c>
      <c r="O11" s="18">
        <f t="shared" ca="1" si="2"/>
        <v>0.63975028144509272</v>
      </c>
      <c r="P11" s="3"/>
      <c r="Q11" s="69">
        <f ca="1">'Willow Springs - UW'!Q11</f>
        <v>35.054945054945058</v>
      </c>
      <c r="R11" s="19">
        <f t="shared" ca="1" si="8"/>
        <v>128.34970532915358</v>
      </c>
      <c r="S11" s="18">
        <f t="shared" ca="1" si="3"/>
        <v>0.61547366390121561</v>
      </c>
      <c r="T11" s="3"/>
      <c r="U11" s="69">
        <f>'Willow Springs - UW'!U11</f>
        <v>43</v>
      </c>
      <c r="V11" s="19">
        <f>'Willow Springs - UW'!V11</f>
        <v>140</v>
      </c>
      <c r="W11" s="18">
        <f t="shared" si="4"/>
        <v>0.671875</v>
      </c>
      <c r="X11" s="58"/>
      <c r="Y11" s="58"/>
      <c r="Z11" s="94"/>
      <c r="AA11" s="93"/>
      <c r="AB11" s="75"/>
      <c r="AC11" s="75" t="str">
        <f>"'"&amp;$AB2&amp;"'"&amp;"!"&amp;AC9</f>
        <v>'Willow Springs'!$B$2:$B$250</v>
      </c>
      <c r="AD11" s="75" t="str">
        <f>"'"&amp;$AB2&amp;"'"&amp;"!"&amp;AD9</f>
        <v>'Willow Springs'!$J$2:$U$250</v>
      </c>
      <c r="AE11" s="75" t="str">
        <f>"'"&amp;$AB2&amp;"'"&amp;"!"&amp;AE9</f>
        <v>'Willow Springs'!$V$2:$AG$250</v>
      </c>
      <c r="AF11" s="75" t="str">
        <f>"'"&amp;$AB2&amp;"'"&amp;"!"&amp;AF9</f>
        <v>'Willow Springs'!$AB$2:$AM$250</v>
      </c>
      <c r="AG11" s="75" t="str">
        <f>"'"&amp;$AB2&amp;"'"&amp;"!"&amp;AG9</f>
        <v>'Willow Springs'!$AH$2:$AM$250</v>
      </c>
    </row>
    <row r="12" spans="1:33">
      <c r="A12" s="99">
        <v>104</v>
      </c>
      <c r="B12" s="3"/>
      <c r="C12" s="55" t="s">
        <v>27</v>
      </c>
      <c r="D12" s="3"/>
      <c r="E12" s="69">
        <f ca="1">'Willow Springs - UW'!E12</f>
        <v>4.8520547945205479</v>
      </c>
      <c r="F12" s="19">
        <f t="shared" ca="1" si="5"/>
        <v>138.98399209486166</v>
      </c>
      <c r="G12" s="18">
        <f t="shared" ca="1" si="0"/>
        <v>6.8568994889267459E-2</v>
      </c>
      <c r="H12" s="3"/>
      <c r="I12" s="69">
        <f ca="1">'Willow Springs - UW'!I12</f>
        <v>3.1205479452054794</v>
      </c>
      <c r="J12" s="19">
        <f t="shared" ca="1" si="6"/>
        <v>144.01914837576822</v>
      </c>
      <c r="K12" s="18">
        <f t="shared" ca="1" si="1"/>
        <v>5.9699145657529221E-2</v>
      </c>
      <c r="L12" s="3"/>
      <c r="M12" s="69">
        <f ca="1">'Willow Springs - UW'!M12</f>
        <v>3.8497267759562841</v>
      </c>
      <c r="N12" s="19">
        <f t="shared" ca="1" si="7"/>
        <v>135.24001925002673</v>
      </c>
      <c r="O12" s="18">
        <f t="shared" ca="1" si="2"/>
        <v>7.2101115546003486E-2</v>
      </c>
      <c r="P12" s="3"/>
      <c r="Q12" s="69">
        <f ca="1">'Willow Springs - UW'!Q12</f>
        <v>4.5109890109890109</v>
      </c>
      <c r="R12" s="19">
        <f t="shared" ca="1" si="8"/>
        <v>132.14512789281363</v>
      </c>
      <c r="S12" s="18">
        <f t="shared" ca="1" si="3"/>
        <v>7.9201234806096865E-2</v>
      </c>
      <c r="T12" s="3"/>
      <c r="U12" s="69">
        <f>'Willow Springs - UW'!U12</f>
        <v>4</v>
      </c>
      <c r="V12" s="19">
        <f>'Willow Springs - UW'!V12</f>
        <v>140</v>
      </c>
      <c r="W12" s="18">
        <f t="shared" si="4"/>
        <v>6.25E-2</v>
      </c>
      <c r="X12" s="221"/>
      <c r="Y12" s="58"/>
      <c r="Z12" s="94"/>
      <c r="AA12" s="93"/>
    </row>
    <row r="13" spans="1:33">
      <c r="A13" s="99">
        <v>105</v>
      </c>
      <c r="B13" s="3"/>
      <c r="C13" s="55" t="s">
        <v>48</v>
      </c>
      <c r="D13" s="3"/>
      <c r="E13" s="69">
        <f ca="1">'Willow Springs - UW'!E13</f>
        <v>0.9506849315068493</v>
      </c>
      <c r="F13" s="19">
        <f t="shared" ca="1" si="5"/>
        <v>515.62302593659945</v>
      </c>
      <c r="G13" s="18">
        <f t="shared" ca="1" si="0"/>
        <v>1.343503174849001E-2</v>
      </c>
      <c r="H13" s="3"/>
      <c r="I13" s="69">
        <f ca="1">'Willow Springs - UW'!I13</f>
        <v>0.36712328767123287</v>
      </c>
      <c r="J13" s="19">
        <f t="shared" ca="1" si="6"/>
        <v>518.39895522388076</v>
      </c>
      <c r="K13" s="18">
        <f t="shared" ca="1" si="1"/>
        <v>7.0234289008857913E-3</v>
      </c>
      <c r="L13" s="3"/>
      <c r="M13" s="69">
        <f ca="1">'Willow Springs - UW'!M13</f>
        <v>0.32240437158469948</v>
      </c>
      <c r="N13" s="19">
        <f t="shared" ca="1" si="7"/>
        <v>502.18947527281176</v>
      </c>
      <c r="O13" s="18">
        <f t="shared" ca="1" si="2"/>
        <v>6.0382765325964595E-3</v>
      </c>
      <c r="P13" s="3"/>
      <c r="Q13" s="69">
        <f ca="1">'Willow Springs - UW'!Q13</f>
        <v>0.4175824175824176</v>
      </c>
      <c r="R13" s="19">
        <f t="shared" ca="1" si="8"/>
        <v>432.37828947368416</v>
      </c>
      <c r="S13" s="18">
        <f t="shared" ca="1" si="3"/>
        <v>7.3316612000771768E-3</v>
      </c>
      <c r="T13" s="3"/>
      <c r="U13" s="69">
        <f>'Willow Springs - UW'!U13</f>
        <v>0.5</v>
      </c>
      <c r="V13" s="19">
        <f>'Willow Springs - UW'!V13</f>
        <v>525</v>
      </c>
      <c r="W13" s="18">
        <f t="shared" si="4"/>
        <v>7.8125E-3</v>
      </c>
      <c r="X13" s="3"/>
      <c r="Y13" s="3"/>
      <c r="Z13" s="94"/>
      <c r="AA13" s="93"/>
    </row>
    <row r="14" spans="1:33">
      <c r="A14" s="99"/>
      <c r="B14" s="3"/>
      <c r="C14" s="54" t="s">
        <v>49</v>
      </c>
      <c r="D14" s="3"/>
      <c r="E14" s="102">
        <f ca="1">'Willow Springs - UW'!E14</f>
        <v>70.761643835616439</v>
      </c>
      <c r="F14" s="52">
        <f ca="1">F26</f>
        <v>181.62228898869449</v>
      </c>
      <c r="G14" s="51">
        <f t="shared" ca="1" si="0"/>
        <v>1</v>
      </c>
      <c r="H14" s="3"/>
      <c r="I14" s="102">
        <f ca="1">'Willow Springs - UW'!I14</f>
        <v>52.271232876712325</v>
      </c>
      <c r="J14" s="52">
        <f ca="1">J26</f>
        <v>160.98749672414695</v>
      </c>
      <c r="K14" s="51">
        <f t="shared" ca="1" si="1"/>
        <v>1</v>
      </c>
      <c r="L14" s="3"/>
      <c r="M14" s="102">
        <f ca="1">'Willow Springs - UW'!M14</f>
        <v>53.393442622950815</v>
      </c>
      <c r="N14" s="52">
        <f ca="1">N26</f>
        <v>165.50946577445418</v>
      </c>
      <c r="O14" s="51">
        <f t="shared" ca="1" si="2"/>
        <v>1</v>
      </c>
      <c r="P14" s="3"/>
      <c r="Q14" s="102">
        <f ca="1">'Willow Springs - UW'!Q14</f>
        <v>56.956043956043949</v>
      </c>
      <c r="R14" s="52">
        <f ca="1">R26</f>
        <v>172.21881825197764</v>
      </c>
      <c r="S14" s="51">
        <f t="shared" ca="1" si="3"/>
        <v>1</v>
      </c>
      <c r="T14" s="3"/>
      <c r="U14" s="102">
        <f>'Willow Springs - UW'!U14</f>
        <v>64</v>
      </c>
      <c r="V14" s="52">
        <f>'Willow Springs - UW'!V14</f>
        <v>179.3359375</v>
      </c>
      <c r="W14" s="51">
        <f t="shared" si="4"/>
        <v>1</v>
      </c>
      <c r="X14" s="3"/>
      <c r="Y14" s="3"/>
      <c r="Z14" s="94"/>
      <c r="AA14" s="93"/>
      <c r="AB14" s="100"/>
      <c r="AC14" s="100"/>
      <c r="AD14" s="100"/>
    </row>
    <row r="15" spans="1:33">
      <c r="A15" s="99"/>
      <c r="B15" s="3"/>
      <c r="C15" s="103" t="s">
        <v>33</v>
      </c>
      <c r="D15" s="3"/>
      <c r="E15" s="68">
        <f ca="1">'Willow Springs - UW'!E15</f>
        <v>70.761643835616439</v>
      </c>
      <c r="F15" s="67">
        <f ca="1">F$26</f>
        <v>181.62228898869449</v>
      </c>
      <c r="G15" s="66">
        <f ca="1">E15/E$15</f>
        <v>1</v>
      </c>
      <c r="H15" s="3"/>
      <c r="I15" s="68">
        <f ca="1">'Willow Springs - UW'!I15</f>
        <v>52.271232876712325</v>
      </c>
      <c r="J15" s="67">
        <f ca="1">J$26</f>
        <v>160.98749672414695</v>
      </c>
      <c r="K15" s="66">
        <f ca="1">I15/I$15</f>
        <v>1</v>
      </c>
      <c r="L15" s="3"/>
      <c r="M15" s="68">
        <f ca="1">'Willow Springs - UW'!M15</f>
        <v>53.393442622950815</v>
      </c>
      <c r="N15" s="67">
        <f ca="1">N$26</f>
        <v>165.50946577445418</v>
      </c>
      <c r="O15" s="66">
        <f ca="1">M15/M$15</f>
        <v>1</v>
      </c>
      <c r="P15" s="3"/>
      <c r="Q15" s="68">
        <f ca="1">'Willow Springs - UW'!Q15</f>
        <v>56.956043956043949</v>
      </c>
      <c r="R15" s="67">
        <f ca="1">R$26</f>
        <v>172.21881825197764</v>
      </c>
      <c r="S15" s="66">
        <f ca="1">Q15/Q$15</f>
        <v>1</v>
      </c>
      <c r="T15" s="3"/>
      <c r="U15" s="68">
        <f>'Willow Springs - UW'!U15</f>
        <v>64</v>
      </c>
      <c r="V15" s="67">
        <f>'Willow Springs - UW'!V15</f>
        <v>179.3359375</v>
      </c>
      <c r="W15" s="66">
        <f>U15/U$15</f>
        <v>1</v>
      </c>
      <c r="X15" s="3"/>
      <c r="Y15" s="3"/>
      <c r="Z15" s="94"/>
      <c r="AA15" s="93"/>
      <c r="AB15" s="100"/>
      <c r="AC15" s="100"/>
      <c r="AD15" s="100"/>
    </row>
    <row r="16" spans="1:33">
      <c r="A16" s="12"/>
      <c r="B16" s="3"/>
      <c r="C16" s="56" t="s">
        <v>32</v>
      </c>
      <c r="D16" s="3"/>
      <c r="E16" s="65">
        <f ca="1">'Willow Springs - UW'!E16</f>
        <v>0.83248992747784045</v>
      </c>
      <c r="F16" s="64"/>
      <c r="G16" s="63"/>
      <c r="H16" s="3"/>
      <c r="I16" s="65">
        <f ca="1">'Willow Springs - UW'!I16</f>
        <v>0.61495568090249797</v>
      </c>
      <c r="J16" s="64"/>
      <c r="K16" s="63"/>
      <c r="L16" s="3"/>
      <c r="M16" s="65">
        <f ca="1">'Willow Springs - UW'!M16</f>
        <v>0.62815814850530372</v>
      </c>
      <c r="N16" s="64"/>
      <c r="O16" s="63"/>
      <c r="P16" s="3"/>
      <c r="Q16" s="65">
        <f ca="1">'Willow Springs - UW'!Q16</f>
        <v>0.67007110536522296</v>
      </c>
      <c r="R16" s="64"/>
      <c r="S16" s="63"/>
      <c r="T16" s="3"/>
      <c r="U16" s="65">
        <f>'Willow Springs - UW'!U16</f>
        <v>0.75294117647058822</v>
      </c>
      <c r="V16" s="64"/>
      <c r="W16" s="63"/>
      <c r="X16" s="3"/>
      <c r="Y16" s="3"/>
      <c r="Z16" s="94"/>
      <c r="AA16" s="93"/>
      <c r="AB16" s="100"/>
      <c r="AC16" s="100"/>
      <c r="AD16" s="100"/>
      <c r="AE16" s="100"/>
    </row>
    <row r="17" spans="1:31" ht="19.2">
      <c r="A17" s="12"/>
      <c r="B17" s="3"/>
      <c r="C17" s="56" t="s">
        <v>568</v>
      </c>
      <c r="D17" s="3"/>
      <c r="E17" s="65">
        <f ca="1">'Willow Springs - UW'!E17</f>
        <v>0.31674926436425577</v>
      </c>
      <c r="F17" s="64"/>
      <c r="G17" s="104"/>
      <c r="H17" s="3"/>
      <c r="I17" s="65">
        <f ca="1">'Willow Springs - UW'!I17</f>
        <v>0.29718538707479425</v>
      </c>
      <c r="J17" s="64"/>
      <c r="K17" s="104"/>
      <c r="L17" s="3"/>
      <c r="M17" s="65">
        <f ca="1">'Willow Springs - UW'!M17</f>
        <v>0.36024971855490728</v>
      </c>
      <c r="N17" s="64"/>
      <c r="O17" s="104"/>
      <c r="P17" s="3"/>
      <c r="Q17" s="65">
        <f ca="1">'Willow Springs - UW'!Q17</f>
        <v>0.38452633609878439</v>
      </c>
      <c r="R17" s="64"/>
      <c r="S17" s="104"/>
      <c r="T17" s="3"/>
      <c r="U17" s="65">
        <f>'Willow Springs - UW'!U17</f>
        <v>0.328125</v>
      </c>
      <c r="V17" s="64"/>
      <c r="W17" s="104"/>
      <c r="X17" s="3"/>
      <c r="Y17" s="3"/>
      <c r="Z17" s="94"/>
      <c r="AA17" s="93"/>
      <c r="AB17" s="100"/>
      <c r="AC17" s="100"/>
      <c r="AD17" s="100"/>
      <c r="AE17" s="100"/>
    </row>
    <row r="18" spans="1:31">
      <c r="A18" s="12"/>
      <c r="B18" s="3"/>
      <c r="C18" s="62"/>
      <c r="D18" s="15"/>
      <c r="E18" s="61"/>
      <c r="F18" s="60"/>
      <c r="G18" s="59"/>
      <c r="H18" s="15"/>
      <c r="I18" s="61"/>
      <c r="J18" s="60"/>
      <c r="K18" s="59"/>
      <c r="L18" s="15"/>
      <c r="M18" s="61"/>
      <c r="N18" s="60"/>
      <c r="O18" s="59"/>
      <c r="P18" s="15"/>
      <c r="Q18" s="61"/>
      <c r="R18" s="60"/>
      <c r="S18" s="59"/>
      <c r="T18" s="15"/>
      <c r="U18" s="61"/>
      <c r="V18" s="60"/>
      <c r="W18" s="59"/>
      <c r="X18" s="3"/>
      <c r="Y18" s="3"/>
      <c r="Z18" s="94"/>
      <c r="AA18" s="93"/>
      <c r="AB18" s="100"/>
      <c r="AC18" s="100"/>
      <c r="AD18" s="100"/>
      <c r="AE18" s="100"/>
    </row>
    <row r="19" spans="1:31">
      <c r="A19" s="12"/>
      <c r="B19" s="3"/>
      <c r="C19" s="40" t="s">
        <v>31</v>
      </c>
      <c r="D19" s="3"/>
      <c r="E19" s="39">
        <f>G$1</f>
        <v>2014</v>
      </c>
      <c r="F19" s="57" t="s">
        <v>20</v>
      </c>
      <c r="G19" s="38" t="s">
        <v>19</v>
      </c>
      <c r="H19" s="58"/>
      <c r="I19" s="39" t="str">
        <f>K$1</f>
        <v>2015</v>
      </c>
      <c r="J19" s="57" t="s">
        <v>20</v>
      </c>
      <c r="K19" s="38" t="s">
        <v>19</v>
      </c>
      <c r="L19" s="58"/>
      <c r="M19" s="39" t="str">
        <f>O$1</f>
        <v>TTM</v>
      </c>
      <c r="N19" s="57" t="s">
        <v>20</v>
      </c>
      <c r="O19" s="38" t="s">
        <v>19</v>
      </c>
      <c r="P19" s="58"/>
      <c r="Q19" s="39" t="str">
        <f>S$1</f>
        <v>T6A</v>
      </c>
      <c r="R19" s="57" t="s">
        <v>20</v>
      </c>
      <c r="S19" s="38" t="s">
        <v>19</v>
      </c>
      <c r="T19" s="58"/>
      <c r="U19" s="39" t="str">
        <f>W$1</f>
        <v>Pro Forma</v>
      </c>
      <c r="V19" s="57" t="s">
        <v>20</v>
      </c>
      <c r="W19" s="38" t="s">
        <v>19</v>
      </c>
      <c r="X19" s="3"/>
      <c r="Y19" s="3"/>
      <c r="Z19" s="94"/>
      <c r="AA19" s="93"/>
      <c r="AB19" s="101"/>
      <c r="AC19" s="101"/>
      <c r="AD19" s="101"/>
    </row>
    <row r="20" spans="1:31">
      <c r="A20" s="12"/>
      <c r="B20" s="3"/>
      <c r="C20" s="56" t="s">
        <v>496</v>
      </c>
      <c r="D20" s="3"/>
      <c r="E20" s="106"/>
      <c r="F20" s="107"/>
      <c r="G20" s="108"/>
      <c r="H20" s="3"/>
      <c r="I20" s="106"/>
      <c r="J20" s="107"/>
      <c r="K20" s="108"/>
      <c r="L20" s="3"/>
      <c r="M20" s="106"/>
      <c r="N20" s="107"/>
      <c r="O20" s="108"/>
      <c r="P20" s="3"/>
      <c r="Q20" s="106"/>
      <c r="R20" s="107"/>
      <c r="S20" s="108"/>
      <c r="T20" s="3"/>
      <c r="U20" s="106"/>
      <c r="V20" s="107"/>
      <c r="W20" s="108"/>
      <c r="X20" s="3"/>
      <c r="Y20" s="3"/>
      <c r="Z20" s="94"/>
      <c r="AA20" s="93"/>
      <c r="AB20" s="101"/>
      <c r="AC20" s="101"/>
      <c r="AD20" s="101"/>
    </row>
    <row r="21" spans="1:31">
      <c r="A21" s="99">
        <v>201</v>
      </c>
      <c r="B21" s="3"/>
      <c r="C21" s="55" t="s">
        <v>30</v>
      </c>
      <c r="D21" s="3"/>
      <c r="E21" s="20">
        <f ca="1">'Willow Springs - UW'!E20</f>
        <v>450751.55000000005</v>
      </c>
      <c r="F21" s="19">
        <f t="shared" ref="F21:F26" ca="1" si="9">IFERROR(E21/(E9*E$75*E$76),0)</f>
        <v>133.43740378922442</v>
      </c>
      <c r="G21" s="18">
        <f t="shared" ref="G21:G29" ca="1" si="10">IFERROR(E21/E$35,0)</f>
        <v>8.4253324132210372E-2</v>
      </c>
      <c r="H21" s="3"/>
      <c r="I21" s="20">
        <f ca="1">'Willow Springs - UW'!I20</f>
        <v>403227.5</v>
      </c>
      <c r="J21" s="19">
        <f t="shared" ref="J21:J26" ca="1" si="11">IFERROR(I21/(I9*I$75*I$76),0)</f>
        <v>126.20579029733959</v>
      </c>
      <c r="K21" s="18">
        <f ca="1">IFERROR(I21/I$35,0)</f>
        <v>0.1235409016871353</v>
      </c>
      <c r="L21" s="3"/>
      <c r="M21" s="20">
        <f ca="1">'Willow Springs - UW'!M20</f>
        <v>461512.39999999997</v>
      </c>
      <c r="N21" s="19">
        <f t="shared" ref="N21:N26" ca="1" si="12">IFERROR(M21/(M9*M$75*M$76),0)</f>
        <v>132.60080731640303</v>
      </c>
      <c r="O21" s="18">
        <f ca="1">IFERROR(M21/M$35,0)</f>
        <v>0.13507556639768092</v>
      </c>
      <c r="P21" s="3"/>
      <c r="Q21" s="20">
        <f ca="1">'Willow Springs - UW'!Q20</f>
        <v>464679.31401098898</v>
      </c>
      <c r="R21" s="19">
        <f t="shared" ref="R21:R26" ca="1" si="13">IFERROR(Q21/(Q9*Q$75*Q$76),0)</f>
        <v>138.99406718656269</v>
      </c>
      <c r="S21" s="18">
        <f ca="1">IFERROR(Q21/Q$35,0)</f>
        <v>0.123378888002233</v>
      </c>
      <c r="T21" s="3"/>
      <c r="U21" s="20">
        <f>'Willow Springs - UW'!U20</f>
        <v>459900</v>
      </c>
      <c r="V21" s="19">
        <f>'Willow Springs - UW'!V20</f>
        <v>140</v>
      </c>
      <c r="W21" s="18">
        <f t="shared" ref="W21:W29" ca="1" si="14">IFERROR(U21/U$35,0)</f>
        <v>0.10442337649495645</v>
      </c>
      <c r="X21" s="3"/>
      <c r="Y21" s="3"/>
      <c r="AA21" s="93"/>
      <c r="AB21" s="101"/>
      <c r="AC21" s="101"/>
      <c r="AD21" s="101"/>
    </row>
    <row r="22" spans="1:31">
      <c r="A22" s="99">
        <v>202</v>
      </c>
      <c r="B22" s="3"/>
      <c r="C22" s="55" t="s">
        <v>29</v>
      </c>
      <c r="D22" s="3"/>
      <c r="E22" s="20">
        <f ca="1">'Willow Springs - UW'!E21</f>
        <v>1258529.6499999999</v>
      </c>
      <c r="F22" s="19">
        <f t="shared" ca="1" si="9"/>
        <v>468.72612662942271</v>
      </c>
      <c r="G22" s="18">
        <f t="shared" ca="1" si="10"/>
        <v>0.23524113567983793</v>
      </c>
      <c r="H22" s="3"/>
      <c r="I22" s="20">
        <f ca="1">'Willow Springs - UW'!I21</f>
        <v>513550.26</v>
      </c>
      <c r="J22" s="19">
        <f t="shared" ca="1" si="11"/>
        <v>427.24647254575706</v>
      </c>
      <c r="K22" s="18">
        <f t="shared" ref="K22:K25" ca="1" si="15">IFERROR(I22/I$35,0)</f>
        <v>0.15734160537677311</v>
      </c>
      <c r="L22" s="3"/>
      <c r="M22" s="20">
        <f ca="1">'Willow Springs - UW'!M21</f>
        <v>841534.11999999988</v>
      </c>
      <c r="N22" s="19">
        <f t="shared" ca="1" si="12"/>
        <v>417.12293273925195</v>
      </c>
      <c r="O22" s="18">
        <f t="shared" ref="O22:O25" ca="1" si="16">IFERROR(M22/M$35,0)</f>
        <v>0.24630041988465309</v>
      </c>
      <c r="P22" s="3"/>
      <c r="Q22" s="20">
        <f ca="1">'Willow Springs - UW'!Q21</f>
        <v>1189848.1379120878</v>
      </c>
      <c r="R22" s="19">
        <f t="shared" ca="1" si="13"/>
        <v>417.22513361462728</v>
      </c>
      <c r="S22" s="18">
        <f t="shared" ref="S22:S25" ca="1" si="17">IFERROR(Q22/Q$35,0)</f>
        <v>0.31592140153596188</v>
      </c>
      <c r="T22" s="3"/>
      <c r="U22" s="20">
        <f>'Willow Springs - UW'!U21</f>
        <v>1231875</v>
      </c>
      <c r="V22" s="19">
        <f>'Willow Springs - UW'!V21</f>
        <v>450</v>
      </c>
      <c r="W22" s="18">
        <f t="shared" ca="1" si="14"/>
        <v>0.27970547275434765</v>
      </c>
      <c r="X22" s="15"/>
      <c r="Y22" s="15"/>
      <c r="AA22" s="93"/>
      <c r="AB22" s="101"/>
      <c r="AC22" s="101"/>
      <c r="AD22" s="101"/>
    </row>
    <row r="23" spans="1:31">
      <c r="A23" s="99">
        <v>203</v>
      </c>
      <c r="B23" s="3"/>
      <c r="C23" s="55" t="s">
        <v>28</v>
      </c>
      <c r="D23" s="3"/>
      <c r="E23" s="20">
        <f ca="1">'Willow Springs - UW'!E22</f>
        <v>2556597.4400000004</v>
      </c>
      <c r="F23" s="19">
        <f t="shared" ca="1" si="9"/>
        <v>144.87433784779284</v>
      </c>
      <c r="G23" s="18">
        <f t="shared" ca="1" si="10"/>
        <v>0.47787263912436739</v>
      </c>
      <c r="H23" s="3"/>
      <c r="I23" s="20">
        <f ca="1">'Willow Springs - UW'!I22</f>
        <v>1921199.42</v>
      </c>
      <c r="J23" s="19">
        <f t="shared" ca="1" si="11"/>
        <v>143.27686031769707</v>
      </c>
      <c r="K23" s="18">
        <f t="shared" ca="1" si="15"/>
        <v>0.58861736530271713</v>
      </c>
      <c r="L23" s="3"/>
      <c r="M23" s="20">
        <f ca="1">'Willow Springs - UW'!M22</f>
        <v>1673373.34</v>
      </c>
      <c r="N23" s="19">
        <f t="shared" ca="1" si="12"/>
        <v>134.21515953392662</v>
      </c>
      <c r="O23" s="18">
        <f t="shared" ca="1" si="16"/>
        <v>0.48976333397602989</v>
      </c>
      <c r="P23" s="3"/>
      <c r="Q23" s="20">
        <f ca="1">'Willow Springs - UW'!Q22</f>
        <v>1642241.5318681316</v>
      </c>
      <c r="R23" s="19">
        <f t="shared" ca="1" si="13"/>
        <v>128.34970532915358</v>
      </c>
      <c r="S23" s="18">
        <f t="shared" ca="1" si="17"/>
        <v>0.43603820510973329</v>
      </c>
      <c r="T23" s="3"/>
      <c r="U23" s="20">
        <f>'Willow Springs - UW'!U22</f>
        <v>2197300</v>
      </c>
      <c r="V23" s="19">
        <f>'Willow Springs - UW'!V22</f>
        <v>140</v>
      </c>
      <c r="W23" s="18">
        <f t="shared" ca="1" si="14"/>
        <v>0.49891168769812527</v>
      </c>
      <c r="X23" s="58"/>
      <c r="Y23" s="58"/>
      <c r="AA23" s="105"/>
      <c r="AB23" s="100"/>
      <c r="AC23" s="101"/>
      <c r="AD23" s="101"/>
    </row>
    <row r="24" spans="1:31">
      <c r="A24" s="99">
        <v>204</v>
      </c>
      <c r="B24" s="3"/>
      <c r="C24" s="55" t="s">
        <v>27</v>
      </c>
      <c r="D24" s="3"/>
      <c r="E24" s="20">
        <f ca="1">'Willow Springs - UW'!E23</f>
        <v>246140.65000000002</v>
      </c>
      <c r="F24" s="19">
        <f t="shared" ca="1" si="9"/>
        <v>138.98399209486166</v>
      </c>
      <c r="G24" s="18">
        <f t="shared" ca="1" si="10"/>
        <v>4.6007979266101125E-2</v>
      </c>
      <c r="H24" s="3"/>
      <c r="I24" s="20">
        <f ca="1">'Willow Springs - UW'!I23</f>
        <v>164037.81</v>
      </c>
      <c r="J24" s="19">
        <f t="shared" ca="1" si="11"/>
        <v>144.01914837576822</v>
      </c>
      <c r="K24" s="18">
        <f t="shared" ca="1" si="15"/>
        <v>5.0257928732993111E-2</v>
      </c>
      <c r="L24" s="3"/>
      <c r="M24" s="20">
        <f ca="1">'Willow Springs - UW'!M23</f>
        <v>190032.55</v>
      </c>
      <c r="N24" s="19">
        <f t="shared" ca="1" si="12"/>
        <v>135.24001925002673</v>
      </c>
      <c r="O24" s="18">
        <f t="shared" ca="1" si="16"/>
        <v>5.5618774978192606E-2</v>
      </c>
      <c r="P24" s="3"/>
      <c r="Q24" s="20">
        <f ca="1">'Willow Springs - UW'!Q23</f>
        <v>217578.40521978019</v>
      </c>
      <c r="R24" s="19">
        <f t="shared" ca="1" si="13"/>
        <v>132.14512789281363</v>
      </c>
      <c r="S24" s="18">
        <f t="shared" ca="1" si="17"/>
        <v>5.7770124212331291E-2</v>
      </c>
      <c r="T24" s="3"/>
      <c r="U24" s="20">
        <f>'Willow Springs - UW'!U23</f>
        <v>204400</v>
      </c>
      <c r="V24" s="19">
        <f>'Willow Springs - UW'!V23</f>
        <v>140</v>
      </c>
      <c r="W24" s="18">
        <f t="shared" ca="1" si="14"/>
        <v>4.6410389553313981E-2</v>
      </c>
      <c r="X24" s="3"/>
      <c r="Y24" s="3"/>
      <c r="Z24" s="109"/>
      <c r="AA24" s="105"/>
      <c r="AB24" s="100"/>
      <c r="AC24" s="100"/>
      <c r="AD24" s="100"/>
    </row>
    <row r="25" spans="1:31">
      <c r="A25" s="99">
        <v>205</v>
      </c>
      <c r="B25" s="3"/>
      <c r="C25" s="55" t="s">
        <v>48</v>
      </c>
      <c r="D25" s="3"/>
      <c r="E25" s="20">
        <f ca="1">'Willow Springs - UW'!E24</f>
        <v>178921.19</v>
      </c>
      <c r="F25" s="19">
        <f t="shared" ca="1" si="9"/>
        <v>515.62302593659945</v>
      </c>
      <c r="G25" s="18">
        <f t="shared" ca="1" si="10"/>
        <v>3.3443490133735078E-2</v>
      </c>
      <c r="H25" s="3"/>
      <c r="I25" s="20">
        <f ca="1">'Willow Springs - UW'!I24</f>
        <v>69465.460000000021</v>
      </c>
      <c r="J25" s="19">
        <f t="shared" ca="1" si="11"/>
        <v>518.39895522388076</v>
      </c>
      <c r="K25" s="18">
        <f t="shared" ca="1" si="15"/>
        <v>2.1282838012069198E-2</v>
      </c>
      <c r="L25" s="3"/>
      <c r="M25" s="20">
        <f ca="1">'Willow Springs - UW'!M24</f>
        <v>59096.450000000012</v>
      </c>
      <c r="N25" s="19">
        <f t="shared" ca="1" si="12"/>
        <v>502.18947527281176</v>
      </c>
      <c r="O25" s="18">
        <f t="shared" ca="1" si="16"/>
        <v>1.7296363989011417E-2</v>
      </c>
      <c r="P25" s="3"/>
      <c r="Q25" s="20">
        <f ca="1">'Willow Springs - UW'!Q24</f>
        <v>65902.053571428565</v>
      </c>
      <c r="R25" s="19">
        <f t="shared" ca="1" si="13"/>
        <v>432.37828947368416</v>
      </c>
      <c r="S25" s="18">
        <f t="shared" ca="1" si="17"/>
        <v>1.7497921343910223E-2</v>
      </c>
      <c r="T25" s="3"/>
      <c r="U25" s="20">
        <f>'Willow Springs - UW'!U24</f>
        <v>95812.5</v>
      </c>
      <c r="V25" s="19">
        <f>'Willow Springs - UW'!V24</f>
        <v>525</v>
      </c>
      <c r="W25" s="18">
        <f t="shared" ca="1" si="14"/>
        <v>2.1754870103115928E-2</v>
      </c>
      <c r="X25" s="3"/>
      <c r="Y25" s="3"/>
      <c r="Z25" s="94"/>
      <c r="AA25" s="219"/>
      <c r="AB25" s="100"/>
      <c r="AC25" s="100"/>
      <c r="AD25" s="100"/>
    </row>
    <row r="26" spans="1:31">
      <c r="A26" s="47"/>
      <c r="B26" s="3"/>
      <c r="C26" s="54" t="s">
        <v>495</v>
      </c>
      <c r="D26" s="3"/>
      <c r="E26" s="53">
        <f ca="1">'Willow Springs - UW'!E25</f>
        <v>4690940.4800000014</v>
      </c>
      <c r="F26" s="52">
        <f t="shared" ca="1" si="9"/>
        <v>181.62228898869449</v>
      </c>
      <c r="G26" s="51">
        <f t="shared" ca="1" si="10"/>
        <v>0.87681856833625205</v>
      </c>
      <c r="H26" s="3"/>
      <c r="I26" s="53">
        <f ca="1">'Willow Springs - UW'!I25</f>
        <v>3071480.4499999997</v>
      </c>
      <c r="J26" s="52">
        <f t="shared" ca="1" si="11"/>
        <v>160.98749672414695</v>
      </c>
      <c r="K26" s="51">
        <f ca="1">IFERROR(I26/I$35,0)</f>
        <v>0.94104063911168778</v>
      </c>
      <c r="L26" s="3"/>
      <c r="M26" s="53">
        <f ca="1">'Willow Springs - UW'!M25</f>
        <v>3225548.86</v>
      </c>
      <c r="N26" s="52">
        <f t="shared" ca="1" si="12"/>
        <v>165.50946577445418</v>
      </c>
      <c r="O26" s="51">
        <f ca="1">IFERROR(M26/M$35,0)</f>
        <v>0.94405445922556797</v>
      </c>
      <c r="P26" s="3"/>
      <c r="Q26" s="53">
        <f ca="1">'Willow Springs - UW'!Q25</f>
        <v>3580249.4425824173</v>
      </c>
      <c r="R26" s="52">
        <f t="shared" ca="1" si="13"/>
        <v>172.21881825197764</v>
      </c>
      <c r="S26" s="51">
        <f ca="1">IFERROR(Q26/Q$35,0)</f>
        <v>0.95060654020416968</v>
      </c>
      <c r="T26" s="3"/>
      <c r="U26" s="53">
        <f>'Willow Springs - UW'!U25</f>
        <v>4189287.5</v>
      </c>
      <c r="V26" s="52">
        <f>'Willow Springs - UW'!V25</f>
        <v>179.3359375</v>
      </c>
      <c r="W26" s="51">
        <f t="shared" ca="1" si="14"/>
        <v>0.95120579660385929</v>
      </c>
      <c r="X26" s="3"/>
      <c r="Y26" s="3"/>
      <c r="Z26" s="94"/>
      <c r="AA26" s="219"/>
      <c r="AB26" s="110"/>
      <c r="AC26" s="100"/>
      <c r="AD26" s="100"/>
    </row>
    <row r="27" spans="1:31">
      <c r="A27" s="99">
        <v>206</v>
      </c>
      <c r="B27" s="3"/>
      <c r="C27" s="46" t="s">
        <v>50</v>
      </c>
      <c r="D27" s="3"/>
      <c r="E27" s="20">
        <f ca="1">'Willow Springs - UW'!E26</f>
        <v>658875.19999999995</v>
      </c>
      <c r="F27" s="19">
        <f ca="1">IFERROR(E27/(E$15*E$75*E$76),0)</f>
        <v>25.510113055598573</v>
      </c>
      <c r="G27" s="18">
        <f t="shared" ca="1" si="10"/>
        <v>0.1231552632226665</v>
      </c>
      <c r="H27" s="3"/>
      <c r="I27" s="20">
        <f ca="1">'Willow Springs - UW'!I26</f>
        <v>192428.58</v>
      </c>
      <c r="J27" s="19">
        <f ca="1">IFERROR(I27/(I$15*I$75*I$76),0)</f>
        <v>10.085883956182188</v>
      </c>
      <c r="K27" s="18">
        <f t="shared" ref="K27:K29" ca="1" si="18">IFERROR(I27/I$35,0)</f>
        <v>5.8956297086818356E-2</v>
      </c>
      <c r="L27" s="3"/>
      <c r="M27" s="20">
        <f ca="1">'Willow Springs - UW'!M26</f>
        <v>191141.51</v>
      </c>
      <c r="N27" s="19">
        <f ca="1">IFERROR(M27/(M$15*M$75*M$76),0)</f>
        <v>9.8078592452084248</v>
      </c>
      <c r="O27" s="18">
        <f t="shared" ref="O27:O29" ca="1" si="19">IFERROR(M27/M$35,0)</f>
        <v>5.5943345672527962E-2</v>
      </c>
      <c r="P27" s="3"/>
      <c r="Q27" s="20">
        <f ca="1">'Willow Springs - UW'!Q26</f>
        <v>186029.55</v>
      </c>
      <c r="R27" s="19">
        <f ca="1">IFERROR(Q27/(Q$15*Q$75*Q$76),0)</f>
        <v>8.9484796449932471</v>
      </c>
      <c r="S27" s="18">
        <f t="shared" ref="S27:S29" ca="1" si="20">IFERROR(Q27/Q$35,0)</f>
        <v>4.9393459795830333E-2</v>
      </c>
      <c r="T27" s="3"/>
      <c r="U27" s="20">
        <f ca="1">'Willow Springs - UW'!U26</f>
        <v>214898.76017338844</v>
      </c>
      <c r="V27" s="19">
        <f ca="1">'Willow Springs - UW'!V26</f>
        <v>9.199433226600533</v>
      </c>
      <c r="W27" s="18">
        <f t="shared" ca="1" si="14"/>
        <v>4.879420339614067E-2</v>
      </c>
      <c r="X27" s="3"/>
      <c r="Y27" s="3"/>
      <c r="Z27" s="94"/>
      <c r="AA27" s="219"/>
      <c r="AB27" s="100"/>
      <c r="AC27" s="100"/>
      <c r="AD27" s="100"/>
    </row>
    <row r="28" spans="1:31">
      <c r="A28" s="99">
        <v>207</v>
      </c>
      <c r="B28" s="3"/>
      <c r="C28" s="46" t="s">
        <v>25</v>
      </c>
      <c r="D28" s="3"/>
      <c r="E28" s="20">
        <f ca="1">'Willow Springs - UW'!E27</f>
        <v>140</v>
      </c>
      <c r="F28" s="19">
        <f ca="1">IFERROR(E28/(E$15*E$75*E$76),0)</f>
        <v>5.4204739042899176E-3</v>
      </c>
      <c r="G28" s="18">
        <f t="shared" ca="1" si="10"/>
        <v>2.6168441081366111E-5</v>
      </c>
      <c r="H28" s="3"/>
      <c r="I28" s="20">
        <f ca="1">'Willow Springs - UW'!I27</f>
        <v>10</v>
      </c>
      <c r="J28" s="19">
        <f ca="1">IFERROR(I28/(I$15*I$75*I$76),0)</f>
        <v>5.2413648514073067E-4</v>
      </c>
      <c r="K28" s="18">
        <f t="shared" ca="1" si="18"/>
        <v>3.0638014938746814E-6</v>
      </c>
      <c r="L28" s="3"/>
      <c r="M28" s="20">
        <f ca="1">'Willow Springs - UW'!M27</f>
        <v>7.5</v>
      </c>
      <c r="N28" s="19">
        <f ca="1">IFERROR(M28/(M$15*M$75*M$76),0)</f>
        <v>3.8484023872712521E-4</v>
      </c>
      <c r="O28" s="18">
        <f t="shared" ca="1" si="19"/>
        <v>2.1951019040498302E-6</v>
      </c>
      <c r="P28" s="3"/>
      <c r="Q28" s="20">
        <f ca="1">'Willow Springs - UW'!Q27</f>
        <v>0</v>
      </c>
      <c r="R28" s="19">
        <f ca="1">IFERROR(Q28/(Q$15*Q$75*Q$76),0)</f>
        <v>0</v>
      </c>
      <c r="S28" s="18">
        <f t="shared" ca="1" si="20"/>
        <v>0</v>
      </c>
      <c r="T28" s="3"/>
      <c r="U28" s="20">
        <f>'Willow Springs - UW'!U27</f>
        <v>0</v>
      </c>
      <c r="V28" s="19">
        <f>'Willow Springs - UW'!V27</f>
        <v>0</v>
      </c>
      <c r="W28" s="18">
        <f t="shared" ca="1" si="14"/>
        <v>0</v>
      </c>
      <c r="X28" s="3"/>
      <c r="Y28" s="3"/>
      <c r="Z28" s="94"/>
      <c r="AA28" s="105"/>
      <c r="AB28" s="100"/>
      <c r="AC28" s="100"/>
      <c r="AD28" s="100"/>
    </row>
    <row r="29" spans="1:31">
      <c r="A29" s="99">
        <v>208</v>
      </c>
      <c r="B29" s="3"/>
      <c r="C29" s="46" t="s">
        <v>24</v>
      </c>
      <c r="D29" s="3"/>
      <c r="E29" s="20">
        <f ca="1">'Willow Springs - UW'!E28</f>
        <v>0</v>
      </c>
      <c r="F29" s="19">
        <f ca="1">IFERROR(E29/(E$15*E$75*E$76),0)</f>
        <v>0</v>
      </c>
      <c r="G29" s="18">
        <f t="shared" ca="1" si="10"/>
        <v>0</v>
      </c>
      <c r="H29" s="3"/>
      <c r="I29" s="20">
        <f ca="1">'Willow Springs - UW'!I28</f>
        <v>0</v>
      </c>
      <c r="J29" s="19">
        <f ca="1">IFERROR(I29/(I$15*I$75*I$76),0)</f>
        <v>0</v>
      </c>
      <c r="K29" s="18">
        <f t="shared" ca="1" si="18"/>
        <v>0</v>
      </c>
      <c r="L29" s="3"/>
      <c r="M29" s="20">
        <f ca="1">'Willow Springs - UW'!M28</f>
        <v>0</v>
      </c>
      <c r="N29" s="19">
        <f ca="1">IFERROR(M29/(M$15*M$75*M$76),0)</f>
        <v>0</v>
      </c>
      <c r="O29" s="18">
        <f t="shared" ca="1" si="19"/>
        <v>0</v>
      </c>
      <c r="P29" s="3"/>
      <c r="Q29" s="20">
        <f ca="1">'Willow Springs - UW'!Q28</f>
        <v>0</v>
      </c>
      <c r="R29" s="19">
        <f ca="1">IFERROR(Q29/(Q$15*Q$75*Q$76),0)</f>
        <v>0</v>
      </c>
      <c r="S29" s="18">
        <f t="shared" ca="1" si="20"/>
        <v>0</v>
      </c>
      <c r="T29" s="3"/>
      <c r="U29" s="20">
        <f ca="1">'Willow Springs - UW'!U28</f>
        <v>0</v>
      </c>
      <c r="V29" s="19">
        <f ca="1">'Willow Springs - UW'!V28</f>
        <v>0</v>
      </c>
      <c r="W29" s="18">
        <f t="shared" ca="1" si="14"/>
        <v>0</v>
      </c>
      <c r="X29" s="3"/>
      <c r="Y29" s="3"/>
      <c r="Z29" s="94"/>
      <c r="AA29" s="105"/>
      <c r="AB29" s="100"/>
      <c r="AC29" s="110"/>
      <c r="AD29" s="110"/>
    </row>
    <row r="30" spans="1:31" hidden="1" outlineLevel="1">
      <c r="A30" s="3"/>
      <c r="B30" s="3"/>
      <c r="C30" s="16"/>
      <c r="D30" s="3"/>
      <c r="E30" s="14">
        <f>'Willow Springs - UW'!E29</f>
        <v>0</v>
      </c>
      <c r="F30" s="15"/>
      <c r="G30" s="13"/>
      <c r="H30" s="3"/>
      <c r="I30" s="14">
        <f>'Willow Springs - UW'!I29</f>
        <v>0</v>
      </c>
      <c r="J30" s="15"/>
      <c r="K30" s="13"/>
      <c r="L30" s="3"/>
      <c r="M30" s="14">
        <f>'Willow Springs - UW'!M29</f>
        <v>0</v>
      </c>
      <c r="N30" s="15"/>
      <c r="O30" s="13"/>
      <c r="P30" s="3"/>
      <c r="Q30" s="14">
        <f>'Willow Springs - UW'!Q29</f>
        <v>0</v>
      </c>
      <c r="R30" s="15"/>
      <c r="S30" s="13"/>
      <c r="T30" s="3"/>
      <c r="U30" s="14">
        <f>'Willow Springs - UW'!U29</f>
        <v>0</v>
      </c>
      <c r="V30" s="15">
        <f>'Willow Springs - UW'!V29</f>
        <v>0</v>
      </c>
      <c r="W30" s="13"/>
      <c r="X30" s="3"/>
      <c r="Y30" s="3"/>
      <c r="Z30" s="94"/>
      <c r="AA30" s="93"/>
      <c r="AB30" s="100"/>
      <c r="AC30" s="100"/>
      <c r="AD30" s="100"/>
    </row>
    <row r="31" spans="1:31" hidden="1" outlineLevel="1">
      <c r="A31" s="99"/>
      <c r="B31" s="32"/>
      <c r="C31" s="50" t="s">
        <v>51</v>
      </c>
      <c r="D31" s="32"/>
      <c r="E31" s="35">
        <f ca="1">'Willow Springs - UW'!E30</f>
        <v>0</v>
      </c>
      <c r="F31" s="34">
        <f ca="1">IFERROR(E31/(E$15*E$75*E$76),0)</f>
        <v>0</v>
      </c>
      <c r="G31" s="33">
        <f ca="1">IFERROR(E31/E$33,0)</f>
        <v>0</v>
      </c>
      <c r="H31" s="32"/>
      <c r="I31" s="35">
        <f ca="1">'Willow Springs - UW'!I30</f>
        <v>0</v>
      </c>
      <c r="J31" s="34">
        <f ca="1">IFERROR(I31/(I$15*I$75*I$76),0)</f>
        <v>0</v>
      </c>
      <c r="K31" s="33">
        <f ca="1">IFERROR(I31/I$33,0)</f>
        <v>0</v>
      </c>
      <c r="L31" s="32"/>
      <c r="M31" s="35">
        <f ca="1">'Willow Springs - UW'!M30</f>
        <v>0</v>
      </c>
      <c r="N31" s="34">
        <f ca="1">IFERROR(M31/(M$15*M$75*M$76),0)</f>
        <v>0</v>
      </c>
      <c r="O31" s="33">
        <f ca="1">IFERROR(M31/M$33,0)</f>
        <v>0</v>
      </c>
      <c r="P31" s="32"/>
      <c r="Q31" s="35">
        <f ca="1">'Willow Springs - UW'!Q30</f>
        <v>0</v>
      </c>
      <c r="R31" s="34">
        <f ca="1">IFERROR(Q31/(Q$15*Q$75*Q$76),0)</f>
        <v>0</v>
      </c>
      <c r="S31" s="33">
        <f ca="1">IFERROR(Q31/Q$33,0)</f>
        <v>0</v>
      </c>
      <c r="T31" s="32"/>
      <c r="U31" s="35">
        <f ca="1">'Willow Springs - UW'!U30</f>
        <v>0</v>
      </c>
      <c r="V31" s="34">
        <f ca="1">'Willow Springs - UW'!V30</f>
        <v>0</v>
      </c>
      <c r="W31" s="33">
        <f ca="1">IFERROR(U31/U$33,0)</f>
        <v>0</v>
      </c>
      <c r="X31" s="3"/>
      <c r="Y31" s="3"/>
      <c r="Z31" s="94"/>
      <c r="AA31" s="93"/>
      <c r="AB31" s="100"/>
      <c r="AC31" s="100"/>
      <c r="AD31" s="100"/>
    </row>
    <row r="32" spans="1:31" hidden="1" outlineLevel="1">
      <c r="A32" s="99">
        <v>1000</v>
      </c>
      <c r="B32" s="3"/>
      <c r="C32" s="49" t="s">
        <v>52</v>
      </c>
      <c r="D32" s="3"/>
      <c r="E32" s="29">
        <f ca="1">'Willow Springs - UW'!E31</f>
        <v>0</v>
      </c>
      <c r="F32" s="28">
        <f ca="1">IFERROR(E32/(E$15*E$75*E$76),0)</f>
        <v>0</v>
      </c>
      <c r="G32" s="27">
        <f t="shared" ref="G32:G33" ca="1" si="21">IFERROR(E32/E$33,0)</f>
        <v>0</v>
      </c>
      <c r="H32" s="3"/>
      <c r="I32" s="29">
        <f ca="1">'Willow Springs - UW'!I31</f>
        <v>0</v>
      </c>
      <c r="J32" s="28">
        <f ca="1">IFERROR(I32/(I$15*I$75*I$76),0)</f>
        <v>0</v>
      </c>
      <c r="K32" s="27">
        <f t="shared" ref="K32:K33" ca="1" si="22">IFERROR(I32/I$33,0)</f>
        <v>0</v>
      </c>
      <c r="L32" s="3"/>
      <c r="M32" s="29">
        <f ca="1">'Willow Springs - UW'!M31</f>
        <v>0</v>
      </c>
      <c r="N32" s="28">
        <f ca="1">IFERROR(M32/(M$15*M$75*M$76),0)</f>
        <v>0</v>
      </c>
      <c r="O32" s="27">
        <f t="shared" ref="O32:O33" ca="1" si="23">IFERROR(M32/M$33,0)</f>
        <v>0</v>
      </c>
      <c r="P32" s="3"/>
      <c r="Q32" s="29">
        <f ca="1">'Willow Springs - UW'!Q31</f>
        <v>0</v>
      </c>
      <c r="R32" s="28">
        <f ca="1">IFERROR(Q32/(Q$15*Q$75*Q$76),0)</f>
        <v>0</v>
      </c>
      <c r="S32" s="27">
        <f t="shared" ref="S32:S33" ca="1" si="24">IFERROR(Q32/Q$33,0)</f>
        <v>0</v>
      </c>
      <c r="T32" s="3"/>
      <c r="U32" s="29">
        <f ca="1">'Willow Springs - UW'!U31</f>
        <v>0</v>
      </c>
      <c r="V32" s="28">
        <f ca="1">'Willow Springs - UW'!V31</f>
        <v>0</v>
      </c>
      <c r="W32" s="27">
        <f t="shared" ref="W32:W33" ca="1" si="25">IFERROR(U32/U$33,0)</f>
        <v>0</v>
      </c>
      <c r="X32" s="3"/>
      <c r="Y32" s="3"/>
      <c r="Z32" s="94"/>
      <c r="AA32" s="93"/>
      <c r="AB32" s="100"/>
      <c r="AC32" s="100"/>
      <c r="AD32" s="100"/>
    </row>
    <row r="33" spans="1:46" hidden="1" outlineLevel="1">
      <c r="A33" s="12"/>
      <c r="B33" s="3"/>
      <c r="C33" s="48" t="s">
        <v>23</v>
      </c>
      <c r="D33" s="3"/>
      <c r="E33" s="25">
        <f ca="1">'Willow Springs - UW'!E32</f>
        <v>5349955.6800000016</v>
      </c>
      <c r="F33" s="24">
        <f ca="1">IFERROR(E33/(E$15*E$75*E$76),0)</f>
        <v>207.13782251819737</v>
      </c>
      <c r="G33" s="23">
        <f t="shared" ca="1" si="21"/>
        <v>1</v>
      </c>
      <c r="H33" s="3"/>
      <c r="I33" s="25">
        <f ca="1">'Willow Springs - UW'!I32</f>
        <v>3263919.03</v>
      </c>
      <c r="J33" s="24">
        <f ca="1">IFERROR(I33/(I$15*I$75*I$76),0)</f>
        <v>171.07390481681429</v>
      </c>
      <c r="K33" s="23">
        <f t="shared" ca="1" si="22"/>
        <v>1</v>
      </c>
      <c r="L33" s="3"/>
      <c r="M33" s="25">
        <f ca="1">'Willow Springs - UW'!M32</f>
        <v>3416697.87</v>
      </c>
      <c r="N33" s="24">
        <f ca="1">IFERROR(M33/(M$15*M$75*M$76),0)</f>
        <v>175.31770985990136</v>
      </c>
      <c r="O33" s="23">
        <f t="shared" ca="1" si="23"/>
        <v>1</v>
      </c>
      <c r="P33" s="3"/>
      <c r="Q33" s="25">
        <f ca="1">'Willow Springs - UW'!Q32</f>
        <v>3766278.9925824171</v>
      </c>
      <c r="R33" s="24">
        <f ca="1">IFERROR(Q33/(Q$15*Q$75*Q$76),0)</f>
        <v>181.16729789697087</v>
      </c>
      <c r="S33" s="23">
        <f t="shared" ca="1" si="24"/>
        <v>1</v>
      </c>
      <c r="T33" s="3"/>
      <c r="U33" s="25">
        <f ca="1">'Willow Springs - UW'!U32</f>
        <v>4404186.2601733888</v>
      </c>
      <c r="V33" s="24">
        <f ca="1">'Willow Springs - UW'!V32</f>
        <v>188.53537072660055</v>
      </c>
      <c r="W33" s="23">
        <f t="shared" ca="1" si="25"/>
        <v>1</v>
      </c>
      <c r="X33" s="3"/>
      <c r="Y33" s="3"/>
      <c r="Z33" s="94"/>
      <c r="AA33" s="93"/>
      <c r="AB33" s="100"/>
      <c r="AC33" s="100"/>
      <c r="AD33" s="100"/>
    </row>
    <row r="34" spans="1:46" hidden="1" outlineLevel="1">
      <c r="A34" s="47"/>
      <c r="B34" s="3"/>
      <c r="C34" s="46"/>
      <c r="D34" s="3"/>
      <c r="E34" s="20">
        <f>'Willow Springs - UW'!E33</f>
        <v>0</v>
      </c>
      <c r="F34" s="45"/>
      <c r="G34" s="18"/>
      <c r="H34" s="3"/>
      <c r="I34" s="20">
        <f>'Willow Springs - UW'!I33</f>
        <v>0</v>
      </c>
      <c r="J34" s="45"/>
      <c r="K34" s="18"/>
      <c r="L34" s="3"/>
      <c r="M34" s="20">
        <f>'Willow Springs - UW'!M33</f>
        <v>0</v>
      </c>
      <c r="N34" s="45"/>
      <c r="O34" s="18"/>
      <c r="P34" s="3"/>
      <c r="Q34" s="20">
        <f>'Willow Springs - UW'!Q33</f>
        <v>0</v>
      </c>
      <c r="R34" s="45"/>
      <c r="S34" s="18"/>
      <c r="T34" s="3"/>
      <c r="U34" s="20">
        <f>'Willow Springs - UW'!U33</f>
        <v>0</v>
      </c>
      <c r="V34" s="45">
        <f>'Willow Springs - UW'!V33</f>
        <v>0</v>
      </c>
      <c r="W34" s="18"/>
      <c r="X34" s="3"/>
      <c r="Y34" s="3"/>
      <c r="Z34" s="94"/>
      <c r="AA34" s="93"/>
      <c r="AB34" s="100"/>
      <c r="AC34" s="100"/>
      <c r="AD34" s="100"/>
    </row>
    <row r="35" spans="1:46" s="31" customFormat="1" collapsed="1">
      <c r="A35" s="12"/>
      <c r="B35" s="3"/>
      <c r="C35" s="11" t="s">
        <v>22</v>
      </c>
      <c r="D35" s="3"/>
      <c r="E35" s="10">
        <f ca="1">'Willow Springs - UW'!E34</f>
        <v>5349955.6800000016</v>
      </c>
      <c r="F35" s="9">
        <f ca="1">IFERROR(E35/(E$15*E$75*E$76),0)</f>
        <v>207.13782251819737</v>
      </c>
      <c r="G35" s="8">
        <f ca="1">IFERROR(E35/E$35,0)</f>
        <v>1</v>
      </c>
      <c r="H35" s="3"/>
      <c r="I35" s="10">
        <f ca="1">'Willow Springs - UW'!I34</f>
        <v>3263919.03</v>
      </c>
      <c r="J35" s="9">
        <f ca="1">IFERROR(I35/(I$15*I$75*I$76),0)</f>
        <v>171.07390481681429</v>
      </c>
      <c r="K35" s="8">
        <f ca="1">IFERROR(I35/I$35,0)</f>
        <v>1</v>
      </c>
      <c r="L35" s="3"/>
      <c r="M35" s="10">
        <f ca="1">'Willow Springs - UW'!M34</f>
        <v>3416697.87</v>
      </c>
      <c r="N35" s="9">
        <f ca="1">IFERROR(M35/(M$15*M$75*M$76),0)</f>
        <v>175.31770985990136</v>
      </c>
      <c r="O35" s="8">
        <f ca="1">IFERROR(M35/M$35,0)</f>
        <v>1</v>
      </c>
      <c r="P35" s="3"/>
      <c r="Q35" s="10">
        <f ca="1">'Willow Springs - UW'!Q34</f>
        <v>3766278.9925824171</v>
      </c>
      <c r="R35" s="9">
        <f ca="1">IFERROR(Q35/(Q$15*Q$75*Q$76),0)</f>
        <v>181.16729789697087</v>
      </c>
      <c r="S35" s="8">
        <f ca="1">IFERROR(Q35/Q$35,0)</f>
        <v>1</v>
      </c>
      <c r="T35" s="3"/>
      <c r="U35" s="10">
        <f ca="1">'Willow Springs - UW'!U34</f>
        <v>4404186.2601733888</v>
      </c>
      <c r="V35" s="9">
        <f ca="1">'Willow Springs - UW'!V34</f>
        <v>188.53537072660055</v>
      </c>
      <c r="W35" s="8">
        <f ca="1">IFERROR(U35/U$35,0)</f>
        <v>1</v>
      </c>
      <c r="X35" s="32"/>
      <c r="Y35" s="32"/>
      <c r="Z35" s="92"/>
      <c r="AA35" s="93"/>
      <c r="AB35" s="100"/>
      <c r="AC35" s="100"/>
      <c r="AD35" s="10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32"/>
      <c r="AS35" s="32"/>
      <c r="AT35" s="32"/>
    </row>
    <row r="36" spans="1:46">
      <c r="A36" s="12"/>
      <c r="B36" s="3"/>
      <c r="C36" s="44"/>
      <c r="D36" s="3"/>
      <c r="E36" s="43"/>
      <c r="F36" s="42"/>
      <c r="G36" s="111"/>
      <c r="H36" s="3"/>
      <c r="I36" s="43"/>
      <c r="J36" s="42"/>
      <c r="K36" s="111"/>
      <c r="L36" s="3"/>
      <c r="M36" s="43"/>
      <c r="N36" s="42"/>
      <c r="O36" s="41"/>
      <c r="P36" s="3"/>
      <c r="Q36" s="43"/>
      <c r="R36" s="42"/>
      <c r="S36" s="41"/>
      <c r="T36" s="3"/>
      <c r="U36" s="43"/>
      <c r="V36" s="42"/>
      <c r="W36" s="111"/>
      <c r="X36" s="3"/>
      <c r="Y36" s="3"/>
      <c r="AA36" s="93"/>
      <c r="AB36" s="100"/>
      <c r="AC36" s="100"/>
      <c r="AD36" s="101"/>
    </row>
    <row r="37" spans="1:46">
      <c r="A37" s="12"/>
      <c r="B37" s="3"/>
      <c r="C37" s="40" t="s">
        <v>21</v>
      </c>
      <c r="D37" s="3"/>
      <c r="E37" s="39">
        <f>G$1</f>
        <v>2014</v>
      </c>
      <c r="F37" s="57" t="s">
        <v>20</v>
      </c>
      <c r="G37" s="38" t="s">
        <v>19</v>
      </c>
      <c r="H37" s="3"/>
      <c r="I37" s="39" t="str">
        <f>K$1</f>
        <v>2015</v>
      </c>
      <c r="J37" s="57" t="s">
        <v>20</v>
      </c>
      <c r="K37" s="38" t="s">
        <v>19</v>
      </c>
      <c r="L37" s="3"/>
      <c r="M37" s="39" t="str">
        <f>O$1</f>
        <v>TTM</v>
      </c>
      <c r="N37" s="57" t="s">
        <v>20</v>
      </c>
      <c r="O37" s="38" t="s">
        <v>19</v>
      </c>
      <c r="P37" s="3"/>
      <c r="Q37" s="39" t="str">
        <f>S$1</f>
        <v>T6A</v>
      </c>
      <c r="R37" s="57" t="s">
        <v>20</v>
      </c>
      <c r="S37" s="38" t="s">
        <v>19</v>
      </c>
      <c r="T37" s="3"/>
      <c r="U37" s="39" t="str">
        <f>W$1</f>
        <v>Pro Forma</v>
      </c>
      <c r="V37" s="57" t="s">
        <v>20</v>
      </c>
      <c r="W37" s="38" t="s">
        <v>19</v>
      </c>
      <c r="X37" s="3"/>
      <c r="Y37" s="3"/>
      <c r="AA37" s="93"/>
      <c r="AB37" s="100"/>
      <c r="AC37" s="100"/>
      <c r="AD37" s="101"/>
    </row>
    <row r="38" spans="1:46" ht="19.2" customHeight="1">
      <c r="A38" s="99">
        <v>301</v>
      </c>
      <c r="B38" s="3"/>
      <c r="C38" s="37" t="s">
        <v>53</v>
      </c>
      <c r="D38" s="3"/>
      <c r="E38" s="20">
        <v>1395541.09</v>
      </c>
      <c r="F38" s="19">
        <f ca="1">IFERROR(E38/(E$15*E$75*E$76),0)</f>
        <v>54.032100433637915</v>
      </c>
      <c r="G38" s="18">
        <f ca="1">IFERROR(E38/E$35,0)</f>
        <v>0.26085096278778885</v>
      </c>
      <c r="H38" s="3"/>
      <c r="I38" s="20">
        <v>1259742.0899999994</v>
      </c>
      <c r="J38" s="19">
        <f ca="1">IFERROR(I38/(I$15*I$75*I$76),0)</f>
        <v>66.027679123643765</v>
      </c>
      <c r="K38" s="18">
        <f ca="1">IFERROR(I38/I$35,0)</f>
        <v>0.38595996972388114</v>
      </c>
      <c r="L38" s="3"/>
      <c r="M38" s="20">
        <v>1444946.98</v>
      </c>
      <c r="N38" s="19">
        <f ca="1">IFERROR(M38/(M$15*M$75*M$76),0)</f>
        <v>74.143165430831814</v>
      </c>
      <c r="O38" s="18">
        <f ca="1">IFERROR(M38/M$35,0)</f>
        <v>0.42290744893987359</v>
      </c>
      <c r="P38" s="3"/>
      <c r="Q38" s="20">
        <v>1444946.98</v>
      </c>
      <c r="R38" s="19">
        <f ca="1">IFERROR(Q38/(Q$15*Q$75*Q$76),0)</f>
        <v>69.505509413017805</v>
      </c>
      <c r="S38" s="18">
        <f ca="1">IFERROR(Q38/Q$35,0)</f>
        <v>0.38365372901099026</v>
      </c>
      <c r="T38" s="3"/>
      <c r="U38" s="20">
        <f>$U$15*V38*$U$75</f>
        <v>1411218.8496588604</v>
      </c>
      <c r="V38" s="222">
        <f>(PRO_FORMA_NSNG_LABOR*'Willow Springs - UW'!V37)*INFLATION_FACTOR</f>
        <v>60.411765824437516</v>
      </c>
      <c r="W38" s="18">
        <f ca="1">IFERROR(U38/U$35,0)</f>
        <v>0.32042669548751146</v>
      </c>
      <c r="X38" s="3" t="s">
        <v>605</v>
      </c>
      <c r="Y38" s="3"/>
      <c r="AA38" s="93"/>
      <c r="AB38" s="100"/>
      <c r="AC38" s="100"/>
      <c r="AD38" s="101"/>
    </row>
    <row r="39" spans="1:46">
      <c r="A39" s="99">
        <v>302</v>
      </c>
      <c r="B39" s="3"/>
      <c r="C39" s="37" t="s">
        <v>54</v>
      </c>
      <c r="D39" s="3"/>
      <c r="E39" s="20">
        <v>194062.38</v>
      </c>
      <c r="F39" s="19">
        <f ca="1">IFERROR(E39/(E$15*E$75*E$76),0)</f>
        <v>7.5136433328170975</v>
      </c>
      <c r="G39" s="18">
        <f t="shared" ref="G39:G56" ca="1" si="26">IFERROR(E39/E$35,0)</f>
        <v>3.6273642550997721E-2</v>
      </c>
      <c r="H39" s="3"/>
      <c r="I39" s="20">
        <v>163991.45999999996</v>
      </c>
      <c r="J39" s="19">
        <f ca="1">IFERROR(I39/(I$15*I$75*I$76),0)</f>
        <v>8.5953907437496699</v>
      </c>
      <c r="K39" s="18">
        <f t="shared" ref="K39:K56" ca="1" si="27">IFERROR(I39/I$35,0)</f>
        <v>5.0243728013068992E-2</v>
      </c>
      <c r="L39" s="3"/>
      <c r="M39" s="20">
        <v>174552.98000000004</v>
      </c>
      <c r="N39" s="19">
        <f ca="1">IFERROR(M39/(M$15*M$75*M$76),0)</f>
        <v>8.9566680658308169</v>
      </c>
      <c r="O39" s="18">
        <f t="shared" ref="O39:O56" ca="1" si="28">IFERROR(M39/M$35,0)</f>
        <v>5.1088210500742942E-2</v>
      </c>
      <c r="P39" s="3"/>
      <c r="Q39" s="20">
        <v>174552.98000000004</v>
      </c>
      <c r="R39" s="19">
        <f ca="1">IFERROR(Q39/(Q$15*Q$75*Q$76),0)</f>
        <v>8.3964283550807597</v>
      </c>
      <c r="S39" s="18">
        <f t="shared" ref="S39:S56" ca="1" si="29">IFERROR(Q39/Q$35,0)</f>
        <v>4.634626918074241E-2</v>
      </c>
      <c r="T39" s="3"/>
      <c r="U39" s="20">
        <f>M39*INFLATION_FACTOR</f>
        <v>177607.65715000004</v>
      </c>
      <c r="V39" s="222">
        <f ca="1">N39</f>
        <v>8.9566680658308169</v>
      </c>
      <c r="W39" s="18">
        <f t="shared" ref="W39:W56" ca="1" si="30">IFERROR(U39/U$35,0)</f>
        <v>4.0327008590914544E-2</v>
      </c>
      <c r="X39" s="3" t="s">
        <v>578</v>
      </c>
      <c r="Y39" s="3"/>
      <c r="AA39" s="93"/>
      <c r="AB39" s="100"/>
      <c r="AC39" s="100"/>
      <c r="AD39" s="101"/>
    </row>
    <row r="40" spans="1:46">
      <c r="A40" s="99">
        <v>304</v>
      </c>
      <c r="B40" s="3"/>
      <c r="C40" s="37" t="s">
        <v>26</v>
      </c>
      <c r="D40" s="3"/>
      <c r="E40" s="20">
        <v>0</v>
      </c>
      <c r="F40" s="222">
        <v>0</v>
      </c>
      <c r="G40" s="18">
        <f t="shared" ca="1" si="26"/>
        <v>0</v>
      </c>
      <c r="H40" s="3"/>
      <c r="I40" s="20">
        <v>0</v>
      </c>
      <c r="J40" s="222">
        <v>0</v>
      </c>
      <c r="K40" s="18">
        <f t="shared" ca="1" si="27"/>
        <v>0</v>
      </c>
      <c r="L40" s="3"/>
      <c r="M40" s="20">
        <v>0</v>
      </c>
      <c r="N40" s="222">
        <v>0</v>
      </c>
      <c r="O40" s="18">
        <f t="shared" ca="1" si="28"/>
        <v>0</v>
      </c>
      <c r="P40" s="3"/>
      <c r="Q40" s="20">
        <v>0</v>
      </c>
      <c r="R40" s="222">
        <v>0</v>
      </c>
      <c r="S40" s="18">
        <f t="shared" ca="1" si="29"/>
        <v>0</v>
      </c>
      <c r="T40" s="3"/>
      <c r="U40" s="20">
        <v>0</v>
      </c>
      <c r="V40" s="222"/>
      <c r="W40" s="18">
        <f t="shared" ca="1" si="30"/>
        <v>0</v>
      </c>
      <c r="X40" s="3" t="s">
        <v>584</v>
      </c>
      <c r="Y40" s="3"/>
      <c r="AA40" s="93"/>
      <c r="AB40" s="100"/>
      <c r="AC40" s="100"/>
      <c r="AD40" s="101"/>
    </row>
    <row r="41" spans="1:46">
      <c r="A41" s="99">
        <v>305</v>
      </c>
      <c r="B41" s="3"/>
      <c r="C41" s="37" t="s">
        <v>18</v>
      </c>
      <c r="D41" s="3"/>
      <c r="E41" s="20">
        <v>170983.39</v>
      </c>
      <c r="F41" s="19">
        <f ca="1">IFERROR(E41/(E$15*E$75*E$76),0)</f>
        <v>6.6200785968716129</v>
      </c>
      <c r="G41" s="18">
        <f t="shared" ca="1" si="26"/>
        <v>3.1959776907908882E-2</v>
      </c>
      <c r="H41" s="3"/>
      <c r="I41" s="20">
        <v>140608.36000000002</v>
      </c>
      <c r="J41" s="19">
        <f ca="1">IFERROR(I41/(I$15*I$75*I$76),0)</f>
        <v>7.3697971591802514</v>
      </c>
      <c r="K41" s="18">
        <f t="shared" ca="1" si="27"/>
        <v>4.3079610341926901E-2</v>
      </c>
      <c r="L41" s="3"/>
      <c r="M41" s="20">
        <v>118244.72000000002</v>
      </c>
      <c r="N41" s="19">
        <f ca="1">IFERROR(M41/(M$15*M$75*M$76),0)</f>
        <v>6.0673768364029437</v>
      </c>
      <c r="O41" s="18">
        <f t="shared" ca="1" si="28"/>
        <v>3.4607894668778547E-2</v>
      </c>
      <c r="P41" s="3"/>
      <c r="Q41" s="20">
        <v>118244.72000000002</v>
      </c>
      <c r="R41" s="19">
        <f ca="1">IFERROR(Q41/(Q$15*Q$75*Q$76),0)</f>
        <v>5.6878623318065662</v>
      </c>
      <c r="S41" s="18">
        <f t="shared" ca="1" si="29"/>
        <v>3.1395634851501902E-2</v>
      </c>
      <c r="T41" s="3"/>
      <c r="U41" s="20">
        <f ca="1">$U$15*V41*$U$75</f>
        <v>144214.26654909429</v>
      </c>
      <c r="V41" s="222">
        <f ca="1">N41*INFLATION_FACTOR</f>
        <v>6.1735559310399957</v>
      </c>
      <c r="W41" s="18">
        <f t="shared" ca="1" si="30"/>
        <v>3.2744815507284357E-2</v>
      </c>
      <c r="X41" s="3" t="s">
        <v>578</v>
      </c>
      <c r="Y41" s="3"/>
      <c r="Z41" s="94"/>
      <c r="AA41" s="93"/>
      <c r="AB41" s="100"/>
      <c r="AC41" s="100"/>
      <c r="AD41" s="101"/>
    </row>
    <row r="42" spans="1:46">
      <c r="A42" s="99">
        <v>306</v>
      </c>
      <c r="B42" s="3"/>
      <c r="C42" s="37" t="s">
        <v>15</v>
      </c>
      <c r="D42" s="3"/>
      <c r="E42" s="20">
        <v>41296.07</v>
      </c>
      <c r="F42" s="19">
        <f ca="1">IFERROR(E42/(E$15*E$75*E$76),0)</f>
        <v>1.5988876413194981</v>
      </c>
      <c r="G42" s="18">
        <f t="shared" ca="1" si="26"/>
        <v>7.7189555334783609E-3</v>
      </c>
      <c r="H42" s="3"/>
      <c r="I42" s="20">
        <v>54147.020000000004</v>
      </c>
      <c r="J42" s="19">
        <f ca="1">IFERROR(I42/(I$15*I$75*I$76),0)</f>
        <v>2.8380428743644845</v>
      </c>
      <c r="K42" s="18">
        <f t="shared" ca="1" si="27"/>
        <v>1.6589572076486224E-2</v>
      </c>
      <c r="L42" s="3"/>
      <c r="M42" s="20">
        <v>36770.639999999992</v>
      </c>
      <c r="N42" s="19">
        <f ca="1">IFERROR(M42/(M$15*M$75*M$76),0)</f>
        <v>1.8867762500998901</v>
      </c>
      <c r="O42" s="18">
        <f t="shared" ca="1" si="28"/>
        <v>1.0762040250284112E-2</v>
      </c>
      <c r="P42" s="3"/>
      <c r="Q42" s="20">
        <v>36770.639999999992</v>
      </c>
      <c r="R42" s="19">
        <f ca="1">IFERROR(Q42/(Q$15*Q$75*Q$76),0)</f>
        <v>1.768758369696505</v>
      </c>
      <c r="S42" s="18">
        <f t="shared" ca="1" si="29"/>
        <v>9.7631216573224548E-3</v>
      </c>
      <c r="T42" s="3"/>
      <c r="U42" s="20">
        <f>M42*INFLATION_FACTOR</f>
        <v>37414.126199999992</v>
      </c>
      <c r="V42" s="19">
        <f>IFERROR(U42/(U$15*U$75*U$76),0)</f>
        <v>1.6016321147260271</v>
      </c>
      <c r="W42" s="18">
        <f t="shared" ca="1" si="30"/>
        <v>8.4951280417751972E-3</v>
      </c>
      <c r="X42" s="3" t="s">
        <v>579</v>
      </c>
      <c r="Y42" s="3"/>
      <c r="Z42" s="94"/>
      <c r="AA42" s="93"/>
      <c r="AB42" s="100"/>
      <c r="AC42" s="100"/>
      <c r="AD42" s="101"/>
    </row>
    <row r="43" spans="1:46">
      <c r="A43" s="99">
        <v>307</v>
      </c>
      <c r="B43" s="3"/>
      <c r="C43" s="37" t="s">
        <v>14</v>
      </c>
      <c r="D43" s="3"/>
      <c r="E43" s="20">
        <v>40666.729999999996</v>
      </c>
      <c r="F43" s="19">
        <f ca="1">IFERROR(E43/(E$15*E$75*E$76),0)</f>
        <v>1.5745210624128851</v>
      </c>
      <c r="G43" s="18">
        <f t="shared" ca="1" si="26"/>
        <v>7.6013209141201675E-3</v>
      </c>
      <c r="H43" s="3"/>
      <c r="I43" s="20">
        <v>39347.939999999995</v>
      </c>
      <c r="J43" s="19">
        <f ca="1">IFERROR(I43/(I$15*I$75*I$76),0)</f>
        <v>2.0623690969128359</v>
      </c>
      <c r="K43" s="18">
        <f t="shared" ca="1" si="27"/>
        <v>1.205542773528913E-2</v>
      </c>
      <c r="L43" s="3"/>
      <c r="M43" s="20">
        <v>38580.6</v>
      </c>
      <c r="N43" s="19">
        <f ca="1">IFERROR(M43/(M$15*M$75*M$76),0)</f>
        <v>1.9796489752314301</v>
      </c>
      <c r="O43" s="18">
        <f t="shared" ca="1" si="28"/>
        <v>1.1291779802584652E-2</v>
      </c>
      <c r="P43" s="3"/>
      <c r="Q43" s="20">
        <v>38580.6</v>
      </c>
      <c r="R43" s="19">
        <f ca="1">IFERROR(Q43/(Q$15*Q$75*Q$76),0)</f>
        <v>1.8558219045932569</v>
      </c>
      <c r="S43" s="18">
        <f t="shared" ca="1" si="29"/>
        <v>1.0243691472666638E-2</v>
      </c>
      <c r="T43" s="3"/>
      <c r="U43" s="20">
        <f>M43*INFLATION_FACTOR</f>
        <v>39255.760500000004</v>
      </c>
      <c r="V43" s="19">
        <f>IFERROR(U43/(U$15*U$75*U$76),0)</f>
        <v>1.6804691994863015</v>
      </c>
      <c r="W43" s="18">
        <f t="shared" ca="1" si="30"/>
        <v>8.9132834492005666E-3</v>
      </c>
      <c r="X43" s="3" t="s">
        <v>579</v>
      </c>
      <c r="Y43" s="3"/>
      <c r="Z43" s="94"/>
      <c r="AA43" s="93"/>
      <c r="AB43" s="100"/>
      <c r="AC43" s="100"/>
      <c r="AD43" s="101"/>
    </row>
    <row r="44" spans="1:46">
      <c r="A44" s="99">
        <v>308</v>
      </c>
      <c r="B44" s="3"/>
      <c r="C44" s="37" t="s">
        <v>17</v>
      </c>
      <c r="D44" s="3"/>
      <c r="E44" s="20">
        <v>0</v>
      </c>
      <c r="F44" s="222">
        <v>0</v>
      </c>
      <c r="G44" s="18">
        <f t="shared" ca="1" si="26"/>
        <v>0</v>
      </c>
      <c r="H44" s="3"/>
      <c r="I44" s="20">
        <v>0</v>
      </c>
      <c r="J44" s="222">
        <v>0</v>
      </c>
      <c r="K44" s="18">
        <f t="shared" ca="1" si="27"/>
        <v>0</v>
      </c>
      <c r="L44" s="3"/>
      <c r="M44" s="20">
        <v>0</v>
      </c>
      <c r="N44" s="222">
        <v>0</v>
      </c>
      <c r="O44" s="18">
        <f t="shared" ca="1" si="28"/>
        <v>0</v>
      </c>
      <c r="P44" s="3"/>
      <c r="Q44" s="20">
        <v>0</v>
      </c>
      <c r="R44" s="222">
        <v>0</v>
      </c>
      <c r="S44" s="18">
        <f t="shared" ca="1" si="29"/>
        <v>0</v>
      </c>
      <c r="T44" s="3"/>
      <c r="U44" s="20">
        <f>$U$15*V44*$U$75</f>
        <v>105203.6799</v>
      </c>
      <c r="V44" s="222">
        <f>4.35*INFLATION_FACTOR^2</f>
        <v>4.5035821875000002</v>
      </c>
      <c r="W44" s="18">
        <f t="shared" ca="1" si="30"/>
        <v>2.3887200423684675E-2</v>
      </c>
      <c r="X44" s="3" t="s">
        <v>577</v>
      </c>
      <c r="Y44" s="3"/>
      <c r="Z44" s="94"/>
      <c r="AA44" s="93"/>
      <c r="AB44" s="100"/>
      <c r="AC44" s="100"/>
      <c r="AD44" s="101"/>
    </row>
    <row r="45" spans="1:46">
      <c r="A45" s="99">
        <v>309</v>
      </c>
      <c r="B45" s="3"/>
      <c r="C45" s="37" t="s">
        <v>16</v>
      </c>
      <c r="D45" s="3"/>
      <c r="E45" s="20">
        <v>0</v>
      </c>
      <c r="F45" s="222">
        <v>0</v>
      </c>
      <c r="G45" s="18">
        <f t="shared" ca="1" si="26"/>
        <v>0</v>
      </c>
      <c r="H45" s="3"/>
      <c r="I45" s="20">
        <v>0</v>
      </c>
      <c r="J45" s="222">
        <v>0</v>
      </c>
      <c r="K45" s="18">
        <f t="shared" ca="1" si="27"/>
        <v>0</v>
      </c>
      <c r="L45" s="3"/>
      <c r="M45" s="20">
        <v>0</v>
      </c>
      <c r="N45" s="222">
        <v>0</v>
      </c>
      <c r="O45" s="18">
        <f t="shared" ca="1" si="28"/>
        <v>0</v>
      </c>
      <c r="P45" s="3"/>
      <c r="Q45" s="20">
        <v>0</v>
      </c>
      <c r="R45" s="222">
        <v>0</v>
      </c>
      <c r="S45" s="18">
        <f t="shared" ca="1" si="29"/>
        <v>0</v>
      </c>
      <c r="T45" s="3"/>
      <c r="U45" s="20">
        <f>$U$15*V45*$U$75</f>
        <v>54415.696500000005</v>
      </c>
      <c r="V45" s="222">
        <f>2.25*INFLATION_FACTOR^2</f>
        <v>2.3294390625000001</v>
      </c>
      <c r="W45" s="18">
        <f t="shared" ca="1" si="30"/>
        <v>1.2355448495009316E-2</v>
      </c>
      <c r="X45" s="3" t="s">
        <v>577</v>
      </c>
      <c r="Y45" s="3"/>
      <c r="Z45" s="94"/>
      <c r="AA45" s="93"/>
      <c r="AB45" s="100"/>
      <c r="AC45" s="100"/>
      <c r="AD45" s="101"/>
    </row>
    <row r="46" spans="1:46">
      <c r="A46" s="99">
        <v>310</v>
      </c>
      <c r="B46" s="3"/>
      <c r="C46" s="37" t="s">
        <v>13</v>
      </c>
      <c r="D46" s="3"/>
      <c r="E46" s="20">
        <v>49623.100000000006</v>
      </c>
      <c r="F46" s="19">
        <f t="shared" ref="F46:F56" ca="1" si="31">IFERROR(E46/(E$15*E$75*E$76),0)</f>
        <v>1.9212908471426362</v>
      </c>
      <c r="G46" s="18">
        <f t="shared" ca="1" si="26"/>
        <v>9.2754226330338477E-3</v>
      </c>
      <c r="H46" s="3"/>
      <c r="I46" s="20">
        <v>19331.830000000002</v>
      </c>
      <c r="J46" s="19">
        <f t="shared" ref="J46:J56" ca="1" si="32">IFERROR(I46/(I$15*I$75*I$76),0)</f>
        <v>1.0132517427538132</v>
      </c>
      <c r="K46" s="18">
        <f t="shared" ca="1" si="27"/>
        <v>5.9228889633331384E-3</v>
      </c>
      <c r="L46" s="3"/>
      <c r="M46" s="20">
        <v>39339.040000000001</v>
      </c>
      <c r="N46" s="19">
        <f t="shared" ref="N46:N56" ca="1" si="33">IFERROR(M46/(M$15*M$75*M$76),0)</f>
        <v>2.0185660726527903</v>
      </c>
      <c r="O46" s="18">
        <f t="shared" ca="1" si="28"/>
        <v>1.1513760214332326E-2</v>
      </c>
      <c r="P46" s="3"/>
      <c r="Q46" s="20">
        <v>39339.040000000001</v>
      </c>
      <c r="R46" s="19">
        <f t="shared" ref="R46:R56" ca="1" si="34">IFERROR(Q46/(Q$15*Q$75*Q$76),0)</f>
        <v>1.8923047370354613</v>
      </c>
      <c r="S46" s="18">
        <f t="shared" ca="1" si="29"/>
        <v>1.0445067951014027E-2</v>
      </c>
      <c r="T46" s="3"/>
      <c r="U46" s="20">
        <f>M46*INFLATION_FACTOR</f>
        <v>40027.4732</v>
      </c>
      <c r="V46" s="19">
        <f t="shared" ref="V46:V56" si="35">IFERROR(U46/(U$15*U$75*U$76),0)</f>
        <v>1.713504845890411</v>
      </c>
      <c r="W46" s="18">
        <f t="shared" ca="1" si="30"/>
        <v>9.0885059884874518E-3</v>
      </c>
      <c r="X46" s="3" t="s">
        <v>579</v>
      </c>
      <c r="Y46" s="3"/>
      <c r="Z46" s="94"/>
      <c r="AA46" s="93"/>
      <c r="AB46" s="100"/>
      <c r="AC46" s="100"/>
      <c r="AD46" s="101"/>
    </row>
    <row r="47" spans="1:46">
      <c r="A47" s="99">
        <v>311</v>
      </c>
      <c r="B47" s="3"/>
      <c r="C47" s="37" t="s">
        <v>12</v>
      </c>
      <c r="D47" s="3"/>
      <c r="E47" s="20">
        <v>182045.90000000002</v>
      </c>
      <c r="F47" s="19">
        <f t="shared" ca="1" si="31"/>
        <v>7.0483932166640866</v>
      </c>
      <c r="G47" s="18">
        <f t="shared" ca="1" si="26"/>
        <v>3.4027552916101912E-2</v>
      </c>
      <c r="H47" s="3"/>
      <c r="I47" s="20">
        <v>183973.73</v>
      </c>
      <c r="J47" s="19">
        <f t="shared" ca="1" si="32"/>
        <v>9.642734420042979</v>
      </c>
      <c r="K47" s="18">
        <f t="shared" ca="1" si="27"/>
        <v>5.6365898880769733E-2</v>
      </c>
      <c r="L47" s="3"/>
      <c r="M47" s="20">
        <v>186706.93</v>
      </c>
      <c r="N47" s="19">
        <f t="shared" ca="1" si="33"/>
        <v>9.5803119350944872</v>
      </c>
      <c r="O47" s="18">
        <f t="shared" ca="1" si="28"/>
        <v>5.4645431672306448E-2</v>
      </c>
      <c r="P47" s="3"/>
      <c r="Q47" s="20">
        <v>186706.93</v>
      </c>
      <c r="R47" s="19">
        <f t="shared" ca="1" si="34"/>
        <v>8.9810632917414424</v>
      </c>
      <c r="S47" s="18">
        <f t="shared" ca="1" si="29"/>
        <v>4.9573313705042608E-2</v>
      </c>
      <c r="T47" s="3"/>
      <c r="U47" s="20">
        <f>M47*INFLATION_FACTOR</f>
        <v>189974.30127500001</v>
      </c>
      <c r="V47" s="19">
        <f t="shared" si="35"/>
        <v>8.132461527183219</v>
      </c>
      <c r="W47" s="18">
        <f t="shared" ca="1" si="30"/>
        <v>4.3134938000447078E-2</v>
      </c>
      <c r="X47" s="3" t="s">
        <v>579</v>
      </c>
      <c r="Y47" s="3"/>
      <c r="Z47" s="94"/>
      <c r="AA47" s="93"/>
      <c r="AB47" s="100"/>
      <c r="AC47" s="100"/>
      <c r="AD47" s="101"/>
    </row>
    <row r="48" spans="1:46">
      <c r="A48" s="99">
        <v>312</v>
      </c>
      <c r="B48" s="3"/>
      <c r="C48" s="37" t="s">
        <v>10</v>
      </c>
      <c r="D48" s="3"/>
      <c r="E48" s="20">
        <v>0</v>
      </c>
      <c r="F48" s="19">
        <f t="shared" ca="1" si="31"/>
        <v>0</v>
      </c>
      <c r="G48" s="18">
        <f t="shared" ca="1" si="26"/>
        <v>0</v>
      </c>
      <c r="H48" s="3"/>
      <c r="I48" s="20">
        <v>0</v>
      </c>
      <c r="J48" s="19">
        <f t="shared" ca="1" si="32"/>
        <v>0</v>
      </c>
      <c r="K48" s="18">
        <f t="shared" ca="1" si="27"/>
        <v>0</v>
      </c>
      <c r="L48" s="3"/>
      <c r="M48" s="20">
        <v>0</v>
      </c>
      <c r="N48" s="19">
        <f t="shared" ca="1" si="33"/>
        <v>0</v>
      </c>
      <c r="O48" s="18">
        <f t="shared" ca="1" si="28"/>
        <v>0</v>
      </c>
      <c r="P48" s="3"/>
      <c r="Q48" s="20">
        <v>0</v>
      </c>
      <c r="R48" s="19">
        <f t="shared" ca="1" si="34"/>
        <v>0</v>
      </c>
      <c r="S48" s="18">
        <f t="shared" ca="1" si="29"/>
        <v>0</v>
      </c>
      <c r="T48" s="3"/>
      <c r="U48" s="223">
        <f ca="1">$U$15*F48*$U$75</f>
        <v>0</v>
      </c>
      <c r="V48" s="19">
        <f t="shared" ca="1" si="35"/>
        <v>0</v>
      </c>
      <c r="W48" s="18">
        <f t="shared" ca="1" si="30"/>
        <v>0</v>
      </c>
      <c r="X48" s="3" t="s">
        <v>574</v>
      </c>
      <c r="Y48" s="3"/>
      <c r="Z48" s="94"/>
      <c r="AA48" s="93"/>
      <c r="AB48" s="100"/>
      <c r="AC48" s="100"/>
      <c r="AD48" s="101"/>
    </row>
    <row r="49" spans="1:46">
      <c r="A49" s="99">
        <v>313</v>
      </c>
      <c r="B49" s="3"/>
      <c r="C49" s="37" t="s">
        <v>9</v>
      </c>
      <c r="D49" s="3"/>
      <c r="E49" s="20">
        <v>0</v>
      </c>
      <c r="F49" s="19">
        <f t="shared" ca="1" si="31"/>
        <v>0</v>
      </c>
      <c r="G49" s="18">
        <f t="shared" ca="1" si="26"/>
        <v>0</v>
      </c>
      <c r="H49" s="3"/>
      <c r="I49" s="20">
        <v>0</v>
      </c>
      <c r="J49" s="19">
        <f t="shared" ca="1" si="32"/>
        <v>0</v>
      </c>
      <c r="K49" s="18">
        <f t="shared" ca="1" si="27"/>
        <v>0</v>
      </c>
      <c r="L49" s="3"/>
      <c r="M49" s="20">
        <v>0</v>
      </c>
      <c r="N49" s="19">
        <f t="shared" ca="1" si="33"/>
        <v>0</v>
      </c>
      <c r="O49" s="18">
        <f t="shared" ca="1" si="28"/>
        <v>0</v>
      </c>
      <c r="P49" s="3"/>
      <c r="Q49" s="20">
        <v>0</v>
      </c>
      <c r="R49" s="19">
        <f t="shared" ca="1" si="34"/>
        <v>0</v>
      </c>
      <c r="S49" s="18">
        <f t="shared" ca="1" si="29"/>
        <v>0</v>
      </c>
      <c r="T49" s="3"/>
      <c r="U49" s="223">
        <f ca="1">$U$15*F49*$U$75</f>
        <v>0</v>
      </c>
      <c r="V49" s="19">
        <f t="shared" ca="1" si="35"/>
        <v>0</v>
      </c>
      <c r="W49" s="18">
        <f t="shared" ca="1" si="30"/>
        <v>0</v>
      </c>
      <c r="X49" s="3" t="s">
        <v>574</v>
      </c>
      <c r="Y49" s="3"/>
      <c r="Z49" s="94"/>
      <c r="AA49" s="93"/>
      <c r="AB49" s="100"/>
      <c r="AC49" s="100"/>
      <c r="AD49" s="101"/>
    </row>
    <row r="50" spans="1:46">
      <c r="A50" s="99">
        <v>314</v>
      </c>
      <c r="B50" s="3"/>
      <c r="C50" s="37" t="s">
        <v>494</v>
      </c>
      <c r="D50" s="3"/>
      <c r="E50" s="20">
        <v>0</v>
      </c>
      <c r="F50" s="19">
        <f t="shared" ca="1" si="31"/>
        <v>0</v>
      </c>
      <c r="G50" s="18">
        <f t="shared" ca="1" si="26"/>
        <v>0</v>
      </c>
      <c r="H50" s="3"/>
      <c r="I50" s="20">
        <v>0</v>
      </c>
      <c r="J50" s="19">
        <f t="shared" ca="1" si="32"/>
        <v>0</v>
      </c>
      <c r="K50" s="18">
        <f t="shared" ca="1" si="27"/>
        <v>0</v>
      </c>
      <c r="L50" s="3"/>
      <c r="M50" s="20">
        <v>0</v>
      </c>
      <c r="N50" s="19">
        <f t="shared" ca="1" si="33"/>
        <v>0</v>
      </c>
      <c r="O50" s="18">
        <f t="shared" ca="1" si="28"/>
        <v>0</v>
      </c>
      <c r="P50" s="3"/>
      <c r="Q50" s="20">
        <v>0</v>
      </c>
      <c r="R50" s="19">
        <f t="shared" ca="1" si="34"/>
        <v>0</v>
      </c>
      <c r="S50" s="18">
        <f t="shared" ca="1" si="29"/>
        <v>0</v>
      </c>
      <c r="T50" s="3"/>
      <c r="U50" s="223">
        <f ca="1">$U$15*F50*$U$75</f>
        <v>0</v>
      </c>
      <c r="V50" s="19">
        <f t="shared" ca="1" si="35"/>
        <v>0</v>
      </c>
      <c r="W50" s="18">
        <f t="shared" ca="1" si="30"/>
        <v>0</v>
      </c>
      <c r="X50" s="3" t="s">
        <v>574</v>
      </c>
      <c r="Y50" s="3"/>
      <c r="Z50" s="94"/>
      <c r="AA50" s="93"/>
      <c r="AB50" s="100"/>
      <c r="AC50" s="100"/>
      <c r="AD50" s="101"/>
    </row>
    <row r="51" spans="1:46">
      <c r="A51" s="99">
        <v>316</v>
      </c>
      <c r="B51" s="3"/>
      <c r="C51" s="37" t="s">
        <v>11</v>
      </c>
      <c r="D51" s="3"/>
      <c r="E51" s="20">
        <v>0</v>
      </c>
      <c r="F51" s="19">
        <f t="shared" ca="1" si="31"/>
        <v>0</v>
      </c>
      <c r="G51" s="18">
        <f t="shared" ca="1" si="26"/>
        <v>0</v>
      </c>
      <c r="H51" s="3"/>
      <c r="I51" s="20">
        <v>0</v>
      </c>
      <c r="J51" s="19">
        <f t="shared" ca="1" si="32"/>
        <v>0</v>
      </c>
      <c r="K51" s="18">
        <f t="shared" ca="1" si="27"/>
        <v>0</v>
      </c>
      <c r="L51" s="3"/>
      <c r="M51" s="20">
        <v>0</v>
      </c>
      <c r="N51" s="19">
        <f t="shared" ca="1" si="33"/>
        <v>0</v>
      </c>
      <c r="O51" s="18">
        <f t="shared" ca="1" si="28"/>
        <v>0</v>
      </c>
      <c r="P51" s="3"/>
      <c r="Q51" s="20">
        <v>0</v>
      </c>
      <c r="R51" s="19">
        <f t="shared" ca="1" si="34"/>
        <v>0</v>
      </c>
      <c r="S51" s="18">
        <f t="shared" ca="1" si="29"/>
        <v>0</v>
      </c>
      <c r="T51" s="3"/>
      <c r="U51" s="20">
        <f ca="1">$U$15*F51*$U$75</f>
        <v>0</v>
      </c>
      <c r="V51" s="19">
        <f t="shared" ca="1" si="35"/>
        <v>0</v>
      </c>
      <c r="W51" s="18">
        <f t="shared" ca="1" si="30"/>
        <v>0</v>
      </c>
      <c r="X51" s="3" t="s">
        <v>579</v>
      </c>
      <c r="Y51" s="3"/>
      <c r="Z51" s="94"/>
      <c r="AA51" s="93"/>
      <c r="AB51" s="100"/>
      <c r="AC51" s="100"/>
      <c r="AD51" s="101"/>
    </row>
    <row r="52" spans="1:46">
      <c r="A52" s="99">
        <v>317</v>
      </c>
      <c r="B52" s="3"/>
      <c r="C52" s="37" t="s">
        <v>55</v>
      </c>
      <c r="D52" s="3"/>
      <c r="E52" s="20">
        <v>0</v>
      </c>
      <c r="F52" s="19">
        <f t="shared" ca="1" si="31"/>
        <v>0</v>
      </c>
      <c r="G52" s="18">
        <f t="shared" ca="1" si="26"/>
        <v>0</v>
      </c>
      <c r="H52" s="3"/>
      <c r="I52" s="20">
        <v>0</v>
      </c>
      <c r="J52" s="19">
        <f t="shared" ca="1" si="32"/>
        <v>0</v>
      </c>
      <c r="K52" s="18">
        <f t="shared" ca="1" si="27"/>
        <v>0</v>
      </c>
      <c r="L52" s="3"/>
      <c r="M52" s="20">
        <v>0</v>
      </c>
      <c r="N52" s="19">
        <f t="shared" ca="1" si="33"/>
        <v>0</v>
      </c>
      <c r="O52" s="18">
        <f t="shared" ca="1" si="28"/>
        <v>0</v>
      </c>
      <c r="P52" s="3"/>
      <c r="Q52" s="20">
        <v>0</v>
      </c>
      <c r="R52" s="19">
        <f t="shared" ca="1" si="34"/>
        <v>0</v>
      </c>
      <c r="S52" s="18">
        <f t="shared" ca="1" si="29"/>
        <v>0</v>
      </c>
      <c r="T52" s="3"/>
      <c r="U52" s="20">
        <f ca="1">$U$15*F52*$U$75</f>
        <v>0</v>
      </c>
      <c r="V52" s="19">
        <f t="shared" ca="1" si="35"/>
        <v>0</v>
      </c>
      <c r="W52" s="18">
        <f t="shared" ca="1" si="30"/>
        <v>0</v>
      </c>
      <c r="X52" s="3" t="s">
        <v>579</v>
      </c>
      <c r="Y52" s="3"/>
      <c r="AA52" s="93"/>
      <c r="AB52" s="100"/>
      <c r="AC52" s="100"/>
      <c r="AD52" s="101"/>
    </row>
    <row r="53" spans="1:46">
      <c r="A53" s="99">
        <v>318</v>
      </c>
      <c r="B53" s="3"/>
      <c r="C53" s="37" t="s">
        <v>7</v>
      </c>
      <c r="D53" s="3"/>
      <c r="E53" s="20">
        <v>47964.15</v>
      </c>
      <c r="F53" s="19">
        <f t="shared" ca="1" si="31"/>
        <v>1.8570601672603377</v>
      </c>
      <c r="G53" s="18">
        <f t="shared" ca="1" si="26"/>
        <v>8.965335952091473E-3</v>
      </c>
      <c r="H53" s="3"/>
      <c r="I53" s="20">
        <v>51645.810000000005</v>
      </c>
      <c r="J53" s="19">
        <f t="shared" ca="1" si="32"/>
        <v>2.7069453325646</v>
      </c>
      <c r="K53" s="18">
        <f t="shared" ca="1" si="27"/>
        <v>1.5823250983036798E-2</v>
      </c>
      <c r="L53" s="3"/>
      <c r="M53" s="20">
        <v>43719.83</v>
      </c>
      <c r="N53" s="19">
        <f t="shared" ca="1" si="33"/>
        <v>2.2433533085745774</v>
      </c>
      <c r="O53" s="18">
        <f t="shared" ca="1" si="28"/>
        <v>1.2795930943697987E-2</v>
      </c>
      <c r="P53" s="3"/>
      <c r="Q53" s="20">
        <v>43719.83</v>
      </c>
      <c r="R53" s="19">
        <f t="shared" ca="1" si="34"/>
        <v>2.1030315282575547</v>
      </c>
      <c r="S53" s="18">
        <f t="shared" ca="1" si="29"/>
        <v>1.1608229259198537E-2</v>
      </c>
      <c r="T53" s="3"/>
      <c r="U53" s="20">
        <f>M53*INFLATION_FACTOR</f>
        <v>44484.927025000005</v>
      </c>
      <c r="V53" s="19">
        <f t="shared" si="35"/>
        <v>1.904320506207192</v>
      </c>
      <c r="W53" s="18">
        <f t="shared" ca="1" si="30"/>
        <v>1.0100600745993126E-2</v>
      </c>
      <c r="X53" s="3" t="s">
        <v>579</v>
      </c>
      <c r="Y53" s="3"/>
      <c r="AA53" s="93"/>
      <c r="AB53" s="100"/>
      <c r="AC53" s="100"/>
      <c r="AD53" s="101"/>
    </row>
    <row r="54" spans="1:46">
      <c r="A54" s="99">
        <v>319</v>
      </c>
      <c r="B54" s="3"/>
      <c r="C54" s="37" t="s">
        <v>6</v>
      </c>
      <c r="D54" s="3"/>
      <c r="E54" s="20">
        <v>0</v>
      </c>
      <c r="F54" s="19">
        <f t="shared" ca="1" si="31"/>
        <v>0</v>
      </c>
      <c r="G54" s="18">
        <f t="shared" ca="1" si="26"/>
        <v>0</v>
      </c>
      <c r="H54" s="3"/>
      <c r="I54" s="20">
        <v>0</v>
      </c>
      <c r="J54" s="19">
        <f t="shared" ca="1" si="32"/>
        <v>0</v>
      </c>
      <c r="K54" s="18">
        <f t="shared" ca="1" si="27"/>
        <v>0</v>
      </c>
      <c r="L54" s="3"/>
      <c r="M54" s="20">
        <v>0</v>
      </c>
      <c r="N54" s="19">
        <f t="shared" ca="1" si="33"/>
        <v>0</v>
      </c>
      <c r="O54" s="18">
        <f t="shared" ca="1" si="28"/>
        <v>0</v>
      </c>
      <c r="P54" s="3"/>
      <c r="Q54" s="20">
        <v>0</v>
      </c>
      <c r="R54" s="19">
        <f t="shared" ca="1" si="34"/>
        <v>0</v>
      </c>
      <c r="S54" s="18">
        <f t="shared" ca="1" si="29"/>
        <v>0</v>
      </c>
      <c r="T54" s="3"/>
      <c r="U54" s="20">
        <f ca="1">$U$15*F54*$U$75</f>
        <v>0</v>
      </c>
      <c r="V54" s="19">
        <f t="shared" ca="1" si="35"/>
        <v>0</v>
      </c>
      <c r="W54" s="18">
        <f t="shared" ca="1" si="30"/>
        <v>0</v>
      </c>
      <c r="X54" s="3" t="s">
        <v>579</v>
      </c>
      <c r="Y54" s="3"/>
      <c r="Z54" s="94"/>
      <c r="AA54" s="93"/>
      <c r="AB54" s="100"/>
      <c r="AC54" s="100"/>
      <c r="AD54" s="101"/>
    </row>
    <row r="55" spans="1:46">
      <c r="A55" s="99">
        <v>321</v>
      </c>
      <c r="B55" s="3"/>
      <c r="C55" s="37" t="s">
        <v>337</v>
      </c>
      <c r="D55" s="3"/>
      <c r="E55" s="20">
        <v>0</v>
      </c>
      <c r="F55" s="19">
        <f t="shared" ca="1" si="31"/>
        <v>0</v>
      </c>
      <c r="G55" s="18">
        <f t="shared" ca="1" si="26"/>
        <v>0</v>
      </c>
      <c r="H55" s="3"/>
      <c r="I55" s="20">
        <v>0</v>
      </c>
      <c r="J55" s="19">
        <f t="shared" ca="1" si="32"/>
        <v>0</v>
      </c>
      <c r="K55" s="18">
        <f t="shared" ca="1" si="27"/>
        <v>0</v>
      </c>
      <c r="L55" s="3"/>
      <c r="M55" s="20">
        <v>0</v>
      </c>
      <c r="N55" s="19">
        <f t="shared" ca="1" si="33"/>
        <v>0</v>
      </c>
      <c r="O55" s="18">
        <f t="shared" ca="1" si="28"/>
        <v>0</v>
      </c>
      <c r="P55" s="3"/>
      <c r="Q55" s="20">
        <v>0</v>
      </c>
      <c r="R55" s="19">
        <f t="shared" ca="1" si="34"/>
        <v>0</v>
      </c>
      <c r="S55" s="18">
        <f t="shared" ca="1" si="29"/>
        <v>0</v>
      </c>
      <c r="T55" s="3"/>
      <c r="U55" s="20">
        <v>0</v>
      </c>
      <c r="V55" s="19">
        <f t="shared" si="35"/>
        <v>0</v>
      </c>
      <c r="W55" s="18">
        <f t="shared" ca="1" si="30"/>
        <v>0</v>
      </c>
      <c r="X55" s="266" t="s">
        <v>575</v>
      </c>
      <c r="Y55" s="3"/>
      <c r="Z55" s="94"/>
      <c r="AA55" s="93"/>
      <c r="AB55" s="100"/>
      <c r="AC55" s="100"/>
      <c r="AD55" s="101"/>
    </row>
    <row r="56" spans="1:46">
      <c r="A56" s="99">
        <v>320</v>
      </c>
      <c r="B56" s="3"/>
      <c r="C56" s="37" t="s">
        <v>5</v>
      </c>
      <c r="D56" s="3"/>
      <c r="E56" s="20">
        <v>0</v>
      </c>
      <c r="F56" s="19">
        <f t="shared" ca="1" si="31"/>
        <v>0</v>
      </c>
      <c r="G56" s="18">
        <f t="shared" ca="1" si="26"/>
        <v>0</v>
      </c>
      <c r="H56" s="3"/>
      <c r="I56" s="20">
        <v>0</v>
      </c>
      <c r="J56" s="19">
        <f t="shared" ca="1" si="32"/>
        <v>0</v>
      </c>
      <c r="K56" s="18">
        <f t="shared" ca="1" si="27"/>
        <v>0</v>
      </c>
      <c r="L56" s="3"/>
      <c r="M56" s="20">
        <v>0</v>
      </c>
      <c r="N56" s="19">
        <f t="shared" ca="1" si="33"/>
        <v>0</v>
      </c>
      <c r="O56" s="18">
        <f t="shared" ca="1" si="28"/>
        <v>0</v>
      </c>
      <c r="P56" s="3"/>
      <c r="Q56" s="20">
        <v>0</v>
      </c>
      <c r="R56" s="19">
        <f t="shared" ca="1" si="34"/>
        <v>0</v>
      </c>
      <c r="S56" s="18">
        <f t="shared" ca="1" si="29"/>
        <v>0</v>
      </c>
      <c r="T56" s="3"/>
      <c r="U56" s="20">
        <v>0</v>
      </c>
      <c r="V56" s="19">
        <f t="shared" si="35"/>
        <v>0</v>
      </c>
      <c r="W56" s="18">
        <f t="shared" ca="1" si="30"/>
        <v>0</v>
      </c>
      <c r="X56" s="3" t="s">
        <v>576</v>
      </c>
      <c r="Y56" s="3"/>
      <c r="Z56" s="94"/>
      <c r="AA56" s="93"/>
      <c r="AB56" s="100"/>
      <c r="AC56" s="100"/>
      <c r="AD56" s="101"/>
    </row>
    <row r="57" spans="1:46" hidden="1" outlineLevel="1">
      <c r="A57" s="3"/>
      <c r="B57" s="3"/>
      <c r="C57" s="22"/>
      <c r="D57" s="3"/>
      <c r="E57" s="14"/>
      <c r="F57" s="15"/>
      <c r="G57" s="13"/>
      <c r="H57" s="3"/>
      <c r="I57" s="14"/>
      <c r="J57" s="15"/>
      <c r="K57" s="13"/>
      <c r="L57" s="3"/>
      <c r="M57" s="14"/>
      <c r="N57" s="15"/>
      <c r="O57" s="13"/>
      <c r="P57" s="3"/>
      <c r="Q57" s="14"/>
      <c r="R57" s="15"/>
      <c r="S57" s="13"/>
      <c r="T57" s="3"/>
      <c r="U57" s="14"/>
      <c r="V57" s="15"/>
      <c r="W57" s="13"/>
      <c r="X57" s="220" t="s">
        <v>503</v>
      </c>
      <c r="Z57" s="94"/>
      <c r="AA57" s="93"/>
      <c r="AB57" s="100"/>
      <c r="AC57" s="100"/>
      <c r="AD57" s="101"/>
    </row>
    <row r="58" spans="1:46" hidden="1" outlineLevel="1">
      <c r="A58" s="99">
        <v>1010</v>
      </c>
      <c r="B58" s="32"/>
      <c r="C58" s="36" t="s">
        <v>56</v>
      </c>
      <c r="D58" s="32"/>
      <c r="E58" s="35">
        <v>0</v>
      </c>
      <c r="F58" s="34">
        <f t="shared" ref="F58:F65" ca="1" si="36">IFERROR(E58/(E$15*E$75*E$76),0)</f>
        <v>0</v>
      </c>
      <c r="G58" s="33">
        <f t="shared" ref="G58" ca="1" si="37">IFERROR(E58/E$33,0)</f>
        <v>0</v>
      </c>
      <c r="H58" s="32"/>
      <c r="I58" s="35">
        <v>0</v>
      </c>
      <c r="J58" s="34">
        <f t="shared" ref="J58:J65" ca="1" si="38">IFERROR(I58/(I$15*I$75*I$76),0)</f>
        <v>0</v>
      </c>
      <c r="K58" s="33">
        <f t="shared" ref="K58" ca="1" si="39">IFERROR(I58/I$33,0)</f>
        <v>0</v>
      </c>
      <c r="L58" s="32"/>
      <c r="M58" s="35">
        <v>0</v>
      </c>
      <c r="N58" s="34">
        <f t="shared" ref="N58:N65" ca="1" si="40">IFERROR(M58/(M$15*M$75*M$76),0)</f>
        <v>0</v>
      </c>
      <c r="O58" s="33">
        <f t="shared" ref="O58" ca="1" si="41">IFERROR(M58/M$33,0)</f>
        <v>0</v>
      </c>
      <c r="P58" s="32"/>
      <c r="Q58" s="35">
        <v>0</v>
      </c>
      <c r="R58" s="34">
        <f t="shared" ref="R58:R65" ca="1" si="42">IFERROR(Q58/(Q$15*Q$75*Q$76),0)</f>
        <v>0</v>
      </c>
      <c r="S58" s="33">
        <f t="shared" ref="S58" ca="1" si="43">IFERROR(Q58/Q$33,0)</f>
        <v>0</v>
      </c>
      <c r="T58" s="32"/>
      <c r="U58" s="35">
        <f t="array" aca="1" ref="U58" ca="1">IFERROR(SUM(IF($A58=INDIRECT($AC$11),IF(U$1&lt;=INDIRECT($AB$11),IF(V$1&gt;=INDIRECT($AB$11),INDIRECT($AD$11)*U$76,""),""),"")),0)</f>
        <v>0</v>
      </c>
      <c r="V58" s="34">
        <f t="shared" ref="V58:V65" ca="1" si="44">IFERROR(U58/(U$15*U$75*U$76),0)</f>
        <v>0</v>
      </c>
      <c r="W58" s="33">
        <f t="shared" ref="W58:W65" ca="1" si="45">IFERROR(U58/U$33,0)</f>
        <v>0</v>
      </c>
      <c r="X58" s="3"/>
      <c r="Y58" s="3"/>
      <c r="Z58" s="94"/>
      <c r="AA58" s="93"/>
      <c r="AB58" s="100"/>
      <c r="AC58" s="100"/>
      <c r="AD58" s="101"/>
    </row>
    <row r="59" spans="1:46" hidden="1" outlineLevel="1">
      <c r="A59" s="99">
        <v>990</v>
      </c>
      <c r="B59" s="3"/>
      <c r="C59" s="30" t="s">
        <v>57</v>
      </c>
      <c r="D59" s="3"/>
      <c r="E59" s="29">
        <v>0</v>
      </c>
      <c r="F59" s="28">
        <f t="shared" ca="1" si="36"/>
        <v>0</v>
      </c>
      <c r="G59" s="27">
        <f t="shared" ref="G59:G64" ca="1" si="46">IFERROR(E59/E$35,0)</f>
        <v>0</v>
      </c>
      <c r="H59" s="3"/>
      <c r="I59" s="29">
        <v>-0.08</v>
      </c>
      <c r="J59" s="28">
        <f t="shared" ca="1" si="38"/>
        <v>-4.1930918811258456E-6</v>
      </c>
      <c r="K59" s="27">
        <f t="shared" ref="K59:K64" ca="1" si="47">IFERROR(I59/I$35,0)</f>
        <v>-2.4510411950997451E-8</v>
      </c>
      <c r="L59" s="3"/>
      <c r="M59" s="29">
        <v>-0.47000000000000003</v>
      </c>
      <c r="N59" s="28">
        <f t="shared" ca="1" si="40"/>
        <v>-2.4116654960233181E-5</v>
      </c>
      <c r="O59" s="27">
        <f t="shared" ref="O59:O64" ca="1" si="48">IFERROR(M59/M$35,0)</f>
        <v>-1.3755971932045605E-7</v>
      </c>
      <c r="P59" s="3"/>
      <c r="Q59" s="29">
        <v>-0.47000000000000003</v>
      </c>
      <c r="R59" s="28">
        <f t="shared" ca="1" si="42"/>
        <v>-2.2608157860656155E-5</v>
      </c>
      <c r="S59" s="27">
        <f t="shared" ref="S59:S64" ca="1" si="49">IFERROR(Q59/Q$35,0)</f>
        <v>-1.2479160490384598E-7</v>
      </c>
      <c r="T59" s="3"/>
      <c r="U59" s="29">
        <f t="array" aca="1" ref="U59" ca="1">IFERROR(SUM(IF($A59=INDIRECT($AC$11),IF(U$1&lt;=INDIRECT($AB$11),IF(V$1&gt;=INDIRECT($AB$11),INDIRECT($AD$11)*U$76,""),""),"")),0)</f>
        <v>0</v>
      </c>
      <c r="V59" s="28">
        <f t="shared" ca="1" si="44"/>
        <v>0</v>
      </c>
      <c r="W59" s="27">
        <f t="shared" ca="1" si="45"/>
        <v>0</v>
      </c>
      <c r="X59" s="3"/>
      <c r="Y59" s="3"/>
      <c r="Z59" s="94"/>
      <c r="AA59" s="93"/>
      <c r="AB59" s="100"/>
      <c r="AC59" s="100"/>
      <c r="AD59" s="101"/>
    </row>
    <row r="60" spans="1:46" hidden="1" outlineLevel="1">
      <c r="A60" s="99">
        <v>991</v>
      </c>
      <c r="B60" s="3"/>
      <c r="C60" s="30" t="s">
        <v>58</v>
      </c>
      <c r="D60" s="3"/>
      <c r="E60" s="29">
        <v>0</v>
      </c>
      <c r="F60" s="28">
        <f t="shared" ca="1" si="36"/>
        <v>0</v>
      </c>
      <c r="G60" s="27">
        <f t="shared" ca="1" si="46"/>
        <v>0</v>
      </c>
      <c r="H60" s="3"/>
      <c r="I60" s="29">
        <v>0</v>
      </c>
      <c r="J60" s="28">
        <f t="shared" ca="1" si="38"/>
        <v>0</v>
      </c>
      <c r="K60" s="27">
        <f t="shared" ca="1" si="47"/>
        <v>0</v>
      </c>
      <c r="L60" s="3"/>
      <c r="M60" s="29">
        <v>0</v>
      </c>
      <c r="N60" s="28">
        <f t="shared" ca="1" si="40"/>
        <v>0</v>
      </c>
      <c r="O60" s="27">
        <f t="shared" ca="1" si="48"/>
        <v>0</v>
      </c>
      <c r="P60" s="3"/>
      <c r="Q60" s="29">
        <v>0</v>
      </c>
      <c r="R60" s="28">
        <f t="shared" ca="1" si="42"/>
        <v>0</v>
      </c>
      <c r="S60" s="27">
        <f t="shared" ca="1" si="49"/>
        <v>0</v>
      </c>
      <c r="T60" s="3"/>
      <c r="U60" s="29">
        <f t="array" aca="1" ref="U60" ca="1">IFERROR(SUM(IF($A60=INDIRECT($AC$11),IF(U$1&lt;=INDIRECT($AB$11),IF(V$1&gt;=INDIRECT($AB$11),INDIRECT($AD$11)*U$76,""),""),"")),0)</f>
        <v>0</v>
      </c>
      <c r="V60" s="28">
        <f t="shared" ca="1" si="44"/>
        <v>0</v>
      </c>
      <c r="W60" s="27">
        <f t="shared" ca="1" si="45"/>
        <v>0</v>
      </c>
      <c r="X60" s="3"/>
      <c r="Y60" s="3"/>
      <c r="Z60" s="94"/>
      <c r="AA60" s="93"/>
      <c r="AB60" s="100"/>
      <c r="AC60" s="100"/>
      <c r="AD60" s="101"/>
    </row>
    <row r="61" spans="1:46" hidden="1" outlineLevel="1">
      <c r="A61" s="99">
        <v>992</v>
      </c>
      <c r="B61" s="3"/>
      <c r="C61" s="30" t="s">
        <v>59</v>
      </c>
      <c r="D61" s="3"/>
      <c r="E61" s="29">
        <v>0</v>
      </c>
      <c r="F61" s="28">
        <f t="shared" ca="1" si="36"/>
        <v>0</v>
      </c>
      <c r="G61" s="27">
        <f t="shared" ca="1" si="46"/>
        <v>0</v>
      </c>
      <c r="H61" s="3"/>
      <c r="I61" s="29">
        <v>0</v>
      </c>
      <c r="J61" s="28">
        <f t="shared" ca="1" si="38"/>
        <v>0</v>
      </c>
      <c r="K61" s="27">
        <f t="shared" ca="1" si="47"/>
        <v>0</v>
      </c>
      <c r="L61" s="3"/>
      <c r="M61" s="29">
        <v>0</v>
      </c>
      <c r="N61" s="28">
        <f t="shared" ca="1" si="40"/>
        <v>0</v>
      </c>
      <c r="O61" s="27">
        <f t="shared" ca="1" si="48"/>
        <v>0</v>
      </c>
      <c r="P61" s="3"/>
      <c r="Q61" s="29">
        <v>0</v>
      </c>
      <c r="R61" s="28">
        <f t="shared" ca="1" si="42"/>
        <v>0</v>
      </c>
      <c r="S61" s="27">
        <f t="shared" ca="1" si="49"/>
        <v>0</v>
      </c>
      <c r="T61" s="3"/>
      <c r="U61" s="29">
        <f t="array" aca="1" ref="U61" ca="1">IFERROR(SUM(IF($A61=INDIRECT($AC$11),IF(U$1&lt;=INDIRECT($AB$11),IF(V$1&gt;=INDIRECT($AB$11),INDIRECT($AD$11)*U$76,""),""),"")),0)</f>
        <v>0</v>
      </c>
      <c r="V61" s="28">
        <f t="shared" ca="1" si="44"/>
        <v>0</v>
      </c>
      <c r="W61" s="27">
        <f t="shared" ca="1" si="45"/>
        <v>0</v>
      </c>
      <c r="X61" s="3"/>
      <c r="Y61" s="3"/>
      <c r="AB61" s="100"/>
      <c r="AC61" s="101"/>
      <c r="AD61" s="101"/>
    </row>
    <row r="62" spans="1:46" s="31" customFormat="1" hidden="1" outlineLevel="1">
      <c r="A62" s="99">
        <v>993</v>
      </c>
      <c r="B62" s="3"/>
      <c r="C62" s="30" t="s">
        <v>60</v>
      </c>
      <c r="D62" s="3"/>
      <c r="E62" s="29">
        <v>0</v>
      </c>
      <c r="F62" s="28">
        <f t="shared" ca="1" si="36"/>
        <v>0</v>
      </c>
      <c r="G62" s="27">
        <f t="shared" ca="1" si="46"/>
        <v>0</v>
      </c>
      <c r="H62" s="3"/>
      <c r="I62" s="29">
        <v>0</v>
      </c>
      <c r="J62" s="28">
        <f t="shared" ca="1" si="38"/>
        <v>0</v>
      </c>
      <c r="K62" s="27">
        <f t="shared" ca="1" si="47"/>
        <v>0</v>
      </c>
      <c r="L62" s="3"/>
      <c r="M62" s="29">
        <v>0</v>
      </c>
      <c r="N62" s="28">
        <f t="shared" ca="1" si="40"/>
        <v>0</v>
      </c>
      <c r="O62" s="27">
        <f t="shared" ca="1" si="48"/>
        <v>0</v>
      </c>
      <c r="P62" s="3"/>
      <c r="Q62" s="29">
        <v>0</v>
      </c>
      <c r="R62" s="28">
        <f t="shared" ca="1" si="42"/>
        <v>0</v>
      </c>
      <c r="S62" s="27">
        <f t="shared" ca="1" si="49"/>
        <v>0</v>
      </c>
      <c r="T62" s="3"/>
      <c r="U62" s="29">
        <f t="array" aca="1" ref="U62" ca="1">IFERROR(SUM(IF($A62=INDIRECT($AC$11),IF(U$1&lt;=INDIRECT($AB$11),IF(V$1&gt;=INDIRECT($AB$11),INDIRECT($AD$11)*U$76,""),""),"")),0)</f>
        <v>0</v>
      </c>
      <c r="V62" s="28">
        <f t="shared" ca="1" si="44"/>
        <v>0</v>
      </c>
      <c r="W62" s="27">
        <f t="shared" ca="1" si="45"/>
        <v>0</v>
      </c>
      <c r="X62" s="32"/>
      <c r="Y62" s="32"/>
      <c r="Z62" s="92"/>
      <c r="AA62" s="93"/>
      <c r="AB62" s="101"/>
      <c r="AC62" s="101"/>
      <c r="AD62" s="10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32"/>
      <c r="AS62" s="32"/>
      <c r="AT62" s="32"/>
    </row>
    <row r="63" spans="1:46" s="31" customFormat="1" hidden="1" outlineLevel="1">
      <c r="A63" s="99">
        <v>994</v>
      </c>
      <c r="B63" s="3"/>
      <c r="C63" s="30" t="s">
        <v>504</v>
      </c>
      <c r="D63" s="3"/>
      <c r="E63" s="29">
        <v>539139.20000000007</v>
      </c>
      <c r="F63" s="28">
        <f t="shared" ca="1" si="36"/>
        <v>20.874214031283881</v>
      </c>
      <c r="G63" s="27">
        <f t="shared" ca="1" si="46"/>
        <v>0.10077451707039187</v>
      </c>
      <c r="H63" s="3"/>
      <c r="I63" s="29">
        <v>485654.81999999995</v>
      </c>
      <c r="J63" s="28">
        <f t="shared" ca="1" si="38"/>
        <v>25.454941034645419</v>
      </c>
      <c r="K63" s="27">
        <f t="shared" ca="1" si="47"/>
        <v>0.14879499630234394</v>
      </c>
      <c r="L63" s="3"/>
      <c r="M63" s="29">
        <v>467491.65</v>
      </c>
      <c r="N63" s="28">
        <f t="shared" ca="1" si="40"/>
        <v>23.987946425191687</v>
      </c>
      <c r="O63" s="27">
        <f t="shared" ca="1" si="48"/>
        <v>0.13682557480565291</v>
      </c>
      <c r="P63" s="3"/>
      <c r="Q63" s="29">
        <v>467491.65</v>
      </c>
      <c r="R63" s="28">
        <f t="shared" ca="1" si="42"/>
        <v>22.487500046252372</v>
      </c>
      <c r="S63" s="27">
        <f t="shared" ca="1" si="49"/>
        <v>0.12412560272903626</v>
      </c>
      <c r="T63" s="3"/>
      <c r="U63" s="29">
        <f t="array" aca="1" ref="U63" ca="1">IFERROR(SUM(IF($A63=INDIRECT($AC$11),IF(U$1&lt;=INDIRECT($AB$11),IF(V$1&gt;=INDIRECT($AB$11),INDIRECT($AD$11)*U$76,""),""),"")),0)</f>
        <v>0</v>
      </c>
      <c r="V63" s="28">
        <f t="shared" ca="1" si="44"/>
        <v>0</v>
      </c>
      <c r="W63" s="27">
        <f t="shared" ca="1" si="45"/>
        <v>0</v>
      </c>
      <c r="X63" s="3"/>
      <c r="Y63" s="3"/>
      <c r="Z63" s="92"/>
      <c r="AA63" s="93"/>
      <c r="AB63" s="101"/>
      <c r="AC63" s="101"/>
      <c r="AD63" s="10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32"/>
      <c r="AS63" s="32"/>
      <c r="AT63" s="32"/>
    </row>
    <row r="64" spans="1:46" s="31" customFormat="1" hidden="1" outlineLevel="1">
      <c r="A64" s="99">
        <v>995</v>
      </c>
      <c r="B64" s="3"/>
      <c r="C64" s="30" t="s">
        <v>505</v>
      </c>
      <c r="D64" s="3"/>
      <c r="E64" s="29">
        <v>1095327.44</v>
      </c>
      <c r="F64" s="28">
        <f t="shared" ca="1" si="36"/>
        <v>42.408527179804864</v>
      </c>
      <c r="G64" s="27">
        <f t="shared" ca="1" si="46"/>
        <v>0.20473579698888264</v>
      </c>
      <c r="H64" s="3"/>
      <c r="I64" s="29">
        <v>551921.30999999994</v>
      </c>
      <c r="J64" s="28">
        <f t="shared" ca="1" si="38"/>
        <v>28.928209549766756</v>
      </c>
      <c r="K64" s="27">
        <f t="shared" ca="1" si="47"/>
        <v>0.16909773340792708</v>
      </c>
      <c r="L64" s="3"/>
      <c r="M64" s="29">
        <v>621125.90999999992</v>
      </c>
      <c r="N64" s="28">
        <f t="shared" ca="1" si="40"/>
        <v>31.871232464533712</v>
      </c>
      <c r="O64" s="27">
        <f t="shared" ca="1" si="48"/>
        <v>0.18179128902609112</v>
      </c>
      <c r="P64" s="3"/>
      <c r="Q64" s="29">
        <v>621125.90999999992</v>
      </c>
      <c r="R64" s="28">
        <f t="shared" ca="1" si="42"/>
        <v>29.877686435369583</v>
      </c>
      <c r="S64" s="27">
        <f t="shared" ca="1" si="49"/>
        <v>0.16491765777928039</v>
      </c>
      <c r="T64" s="3"/>
      <c r="U64" s="29">
        <f t="array" aca="1" ref="U64" ca="1">IFERROR(SUM(IF($A64=INDIRECT($AC$11),IF(U$1&lt;=INDIRECT($AB$11),IF(V$1&gt;=INDIRECT($AB$11),INDIRECT($AD$11)*U$76,""),""),"")),0)</f>
        <v>0</v>
      </c>
      <c r="V64" s="28">
        <f t="shared" ca="1" si="44"/>
        <v>0</v>
      </c>
      <c r="W64" s="27">
        <f t="shared" ca="1" si="45"/>
        <v>0</v>
      </c>
      <c r="X64" s="3"/>
      <c r="Y64" s="3"/>
      <c r="Z64" s="92"/>
      <c r="AA64" s="93"/>
      <c r="AB64" s="101"/>
      <c r="AC64" s="101"/>
      <c r="AD64" s="10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32"/>
      <c r="AS64" s="32"/>
      <c r="AT64" s="32"/>
    </row>
    <row r="65" spans="1:46" s="31" customFormat="1" hidden="1" outlineLevel="1">
      <c r="A65" s="12"/>
      <c r="B65" s="3"/>
      <c r="C65" s="26" t="s">
        <v>4</v>
      </c>
      <c r="D65" s="3"/>
      <c r="E65" s="25">
        <v>2122182.8100000005</v>
      </c>
      <c r="F65" s="24">
        <f t="shared" ca="1" si="36"/>
        <v>82.165975298126085</v>
      </c>
      <c r="G65" s="23">
        <f t="shared" ref="G65" ca="1" si="50">IFERROR(E65/E$33,0)</f>
        <v>0.39667297019552128</v>
      </c>
      <c r="H65" s="3"/>
      <c r="I65" s="25">
        <v>1912788.1599999995</v>
      </c>
      <c r="J65" s="24">
        <f t="shared" ca="1" si="38"/>
        <v>100.25620630012052</v>
      </c>
      <c r="K65" s="23">
        <f t="shared" ref="K65" ca="1" si="51">IFERROR(I65/I$33,0)</f>
        <v>0.58604032220738012</v>
      </c>
      <c r="L65" s="3"/>
      <c r="M65" s="25">
        <v>2082861.25</v>
      </c>
      <c r="N65" s="24">
        <f t="shared" ca="1" si="40"/>
        <v>106.87584275806378</v>
      </c>
      <c r="O65" s="23">
        <f t="shared" ref="O65" ca="1" si="52">IFERROR(M65/M$33,0)</f>
        <v>0.60961235943288128</v>
      </c>
      <c r="P65" s="3"/>
      <c r="Q65" s="25">
        <v>2082861.25</v>
      </c>
      <c r="R65" s="24">
        <f t="shared" ca="1" si="42"/>
        <v>100.19075732307149</v>
      </c>
      <c r="S65" s="23">
        <f t="shared" ref="S65" ca="1" si="53">IFERROR(Q65/Q$33,0)</f>
        <v>0.55302893229687389</v>
      </c>
      <c r="T65" s="3"/>
      <c r="U65" s="25">
        <f ca="1">SUM(U38:U62)</f>
        <v>2243816.7379579553</v>
      </c>
      <c r="V65" s="24">
        <f t="shared" ca="1" si="44"/>
        <v>96.053798713953569</v>
      </c>
      <c r="W65" s="23">
        <f t="shared" ca="1" si="45"/>
        <v>0.50947362473030788</v>
      </c>
      <c r="X65" s="3"/>
      <c r="Y65" s="3"/>
      <c r="Z65" s="92"/>
      <c r="AA65" s="93"/>
      <c r="AB65" s="101"/>
      <c r="AC65" s="101"/>
      <c r="AD65" s="10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32"/>
      <c r="AS65" s="32"/>
      <c r="AT65" s="32"/>
    </row>
    <row r="66" spans="1:46" s="31" customFormat="1" hidden="1" outlineLevel="1">
      <c r="A66" s="3"/>
      <c r="B66" s="3"/>
      <c r="C66" s="22"/>
      <c r="D66" s="3"/>
      <c r="E66" s="14"/>
      <c r="F66" s="15"/>
      <c r="G66" s="13"/>
      <c r="H66" s="3"/>
      <c r="I66" s="14"/>
      <c r="J66" s="15"/>
      <c r="K66" s="13"/>
      <c r="L66" s="3"/>
      <c r="M66" s="14"/>
      <c r="N66" s="15"/>
      <c r="O66" s="13"/>
      <c r="P66" s="3"/>
      <c r="Q66" s="14"/>
      <c r="R66" s="15"/>
      <c r="S66" s="13"/>
      <c r="T66" s="3"/>
      <c r="U66" s="14"/>
      <c r="V66" s="15"/>
      <c r="W66" s="13"/>
      <c r="X66" s="3"/>
      <c r="Y66" s="3"/>
      <c r="Z66" s="92"/>
      <c r="AA66" s="105"/>
      <c r="AB66" s="101"/>
      <c r="AC66" s="101"/>
      <c r="AD66" s="10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32"/>
      <c r="AS66" s="32"/>
      <c r="AT66" s="32"/>
    </row>
    <row r="67" spans="1:46" ht="20.399999999999999" collapsed="1">
      <c r="A67" s="12"/>
      <c r="B67" s="3"/>
      <c r="C67" s="21" t="s">
        <v>570</v>
      </c>
      <c r="D67" s="3"/>
      <c r="E67" s="20">
        <v>0</v>
      </c>
      <c r="F67" s="19">
        <f ca="1">IFERROR(E67/(E$15*E$75*E$76),0)</f>
        <v>0</v>
      </c>
      <c r="G67" s="18">
        <f t="shared" ref="G67:G68" ca="1" si="54">IFERROR(E67/E$35,0)</f>
        <v>0</v>
      </c>
      <c r="H67" s="3"/>
      <c r="I67" s="20">
        <v>0</v>
      </c>
      <c r="J67" s="19">
        <f ca="1">IFERROR(I67/(I$15*I$75*I$76),0)</f>
        <v>0</v>
      </c>
      <c r="K67" s="18">
        <f t="shared" ref="K67:K68" ca="1" si="55">IFERROR(I67/I$35,0)</f>
        <v>0</v>
      </c>
      <c r="L67" s="3"/>
      <c r="M67" s="20">
        <v>0</v>
      </c>
      <c r="N67" s="19">
        <f ca="1">IFERROR(M67/(M$15*M$75*M$76),0)</f>
        <v>0</v>
      </c>
      <c r="O67" s="18">
        <f t="shared" ref="O67:O68" ca="1" si="56">IFERROR(M67/M$35,0)</f>
        <v>0</v>
      </c>
      <c r="P67" s="3"/>
      <c r="Q67" s="20">
        <v>0</v>
      </c>
      <c r="R67" s="19">
        <f ca="1">IFERROR(Q67/(Q$15*Q$75*Q$76),0)</f>
        <v>0</v>
      </c>
      <c r="S67" s="18">
        <f t="shared" ref="S67:S68" ca="1" si="57">IFERROR(Q67/Q$35,0)</f>
        <v>0</v>
      </c>
      <c r="T67" s="3"/>
      <c r="U67" s="20">
        <v>0</v>
      </c>
      <c r="V67" s="19">
        <f>IFERROR(U67/(U$15*U$75*U$76),0)</f>
        <v>0</v>
      </c>
      <c r="W67" s="18">
        <f t="shared" ref="W67:W68" ca="1" si="58">IFERROR(U67/U$35,0)</f>
        <v>0</v>
      </c>
      <c r="X67" s="3"/>
      <c r="Y67" s="3"/>
      <c r="AA67" s="93"/>
      <c r="AB67" s="101"/>
      <c r="AC67" s="101"/>
      <c r="AD67" s="101"/>
    </row>
    <row r="68" spans="1:46">
      <c r="A68" s="12"/>
      <c r="B68" s="3"/>
      <c r="C68" s="17" t="s">
        <v>3</v>
      </c>
      <c r="D68" s="3"/>
      <c r="E68" s="10">
        <f>SUM(E67,E38:E56)</f>
        <v>2122182.8100000005</v>
      </c>
      <c r="F68" s="9">
        <f ca="1">IFERROR(E68/(E$15*E$75*E$76),0)</f>
        <v>82.165975298126085</v>
      </c>
      <c r="G68" s="8">
        <f t="shared" ca="1" si="54"/>
        <v>0.39667297019552128</v>
      </c>
      <c r="H68" s="3"/>
      <c r="I68" s="10">
        <f>SUM(I67,I38:I56)</f>
        <v>1912788.2399999995</v>
      </c>
      <c r="J68" s="9">
        <f ca="1">IFERROR(I68/(I$15*I$75*I$76),0)</f>
        <v>100.25621049321241</v>
      </c>
      <c r="K68" s="8">
        <f t="shared" ca="1" si="55"/>
        <v>0.58604034671779204</v>
      </c>
      <c r="L68" s="3"/>
      <c r="M68" s="10">
        <f>SUM(M67,M38:M56)</f>
        <v>2082861.72</v>
      </c>
      <c r="N68" s="9">
        <f ca="1">IFERROR(M68/(M$15*M$75*M$76),0)</f>
        <v>106.87586687471874</v>
      </c>
      <c r="O68" s="8">
        <f t="shared" ca="1" si="56"/>
        <v>0.60961249699260056</v>
      </c>
      <c r="P68" s="3"/>
      <c r="Q68" s="10">
        <f>SUM(Q67,Q38:Q56)</f>
        <v>2082861.72</v>
      </c>
      <c r="R68" s="9">
        <f ca="1">IFERROR(Q68/(Q$15*Q$75*Q$76),0)</f>
        <v>100.19077993122934</v>
      </c>
      <c r="S68" s="8">
        <f t="shared" ca="1" si="57"/>
        <v>0.55302905708847883</v>
      </c>
      <c r="T68" s="3"/>
      <c r="U68" s="10">
        <f ca="1">SUM(U67,U38:U56)</f>
        <v>2243816.7379579553</v>
      </c>
      <c r="V68" s="9">
        <f ca="1">IFERROR(U68/(U$15*U$75*U$76),0)</f>
        <v>96.053798713953569</v>
      </c>
      <c r="W68" s="8">
        <f t="shared" ca="1" si="58"/>
        <v>0.50947362473030788</v>
      </c>
      <c r="X68" s="3"/>
      <c r="Y68" s="3"/>
      <c r="AA68" s="93"/>
      <c r="AB68" s="101"/>
      <c r="AC68" s="101"/>
      <c r="AD68" s="101"/>
    </row>
    <row r="69" spans="1:46" hidden="1" outlineLevel="1">
      <c r="A69" s="3"/>
      <c r="B69" s="3"/>
      <c r="C69" s="16"/>
      <c r="D69" s="3"/>
      <c r="E69" s="14"/>
      <c r="F69" s="15"/>
      <c r="G69" s="13"/>
      <c r="H69" s="3"/>
      <c r="I69" s="14"/>
      <c r="J69" s="15"/>
      <c r="K69" s="13"/>
      <c r="L69" s="3"/>
      <c r="M69" s="14"/>
      <c r="N69" s="15"/>
      <c r="O69" s="13"/>
      <c r="P69" s="3"/>
      <c r="Q69" s="14"/>
      <c r="R69" s="15"/>
      <c r="S69" s="13"/>
      <c r="T69" s="3"/>
      <c r="U69" s="14"/>
      <c r="V69" s="15"/>
      <c r="W69" s="13"/>
      <c r="X69" s="3"/>
      <c r="Y69" s="3"/>
      <c r="AA69" s="93"/>
      <c r="AB69" s="101"/>
      <c r="AC69" s="101"/>
      <c r="AD69" s="101"/>
    </row>
    <row r="70" spans="1:46" hidden="1" outlineLevel="1">
      <c r="A70" s="12"/>
      <c r="B70" s="3"/>
      <c r="C70" s="16"/>
      <c r="D70" s="3"/>
      <c r="E70" s="14"/>
      <c r="F70" s="15"/>
      <c r="G70" s="13"/>
      <c r="H70" s="3"/>
      <c r="I70" s="14"/>
      <c r="J70" s="15"/>
      <c r="K70" s="13"/>
      <c r="L70" s="3"/>
      <c r="M70" s="14"/>
      <c r="N70" s="15"/>
      <c r="O70" s="13"/>
      <c r="P70" s="3"/>
      <c r="Q70" s="14"/>
      <c r="R70" s="15"/>
      <c r="S70" s="13"/>
      <c r="T70" s="3"/>
      <c r="U70" s="14"/>
      <c r="V70" s="15"/>
      <c r="W70" s="13"/>
      <c r="X70" s="3"/>
      <c r="Y70" s="3"/>
      <c r="AA70" s="93"/>
      <c r="AB70" s="101"/>
      <c r="AC70" s="101"/>
      <c r="AD70" s="101"/>
    </row>
    <row r="71" spans="1:46" hidden="1" outlineLevel="1">
      <c r="A71" s="3"/>
      <c r="B71" s="3"/>
      <c r="C71" s="48" t="s">
        <v>61</v>
      </c>
      <c r="D71" s="3"/>
      <c r="E71" s="25">
        <f ca="1">E33-E65</f>
        <v>3227772.870000001</v>
      </c>
      <c r="F71" s="24">
        <f ca="1">IFERROR(E71/(E$15*E$75*E$76),0)</f>
        <v>124.97184722007128</v>
      </c>
      <c r="G71" s="23">
        <f ca="1">IFERROR(E71/E$33,0)</f>
        <v>0.60332702980447872</v>
      </c>
      <c r="H71" s="3"/>
      <c r="I71" s="25">
        <f ca="1">I33-I65</f>
        <v>1351130.8700000003</v>
      </c>
      <c r="J71" s="24">
        <f ca="1">IFERROR(I71/(I$15*I$75*I$76),0)</f>
        <v>70.817698516693767</v>
      </c>
      <c r="K71" s="23">
        <f ca="1">IFERROR(I71/I$33,0)</f>
        <v>0.41395967779261988</v>
      </c>
      <c r="L71" s="3"/>
      <c r="M71" s="25">
        <f ca="1">M33-M65</f>
        <v>1333836.6200000001</v>
      </c>
      <c r="N71" s="24">
        <f ca="1">IFERROR(M71/(M$15*M$75*M$76),0)</f>
        <v>68.441867101837573</v>
      </c>
      <c r="O71" s="23">
        <f ca="1">IFERROR(M71/M$33,0)</f>
        <v>0.39038764056711872</v>
      </c>
      <c r="P71" s="3"/>
      <c r="Q71" s="25">
        <f ca="1">Q33-Q65</f>
        <v>1683417.7425824171</v>
      </c>
      <c r="R71" s="24">
        <f ca="1">IFERROR(Q71/(Q$15*Q$75*Q$76),0)</f>
        <v>80.976540573899385</v>
      </c>
      <c r="S71" s="23">
        <f ca="1">IFERROR(Q71/Q$33,0)</f>
        <v>0.44697106770312611</v>
      </c>
      <c r="T71" s="3"/>
      <c r="U71" s="25">
        <f ca="1">U33-U65</f>
        <v>2160369.5222154334</v>
      </c>
      <c r="V71" s="24">
        <f ca="1">IFERROR(U71/(U$15*U$75*U$76),0)</f>
        <v>92.481572012646978</v>
      </c>
      <c r="W71" s="23">
        <f ca="1">IFERROR(U71/U$33,0)</f>
        <v>0.49052637526969206</v>
      </c>
      <c r="X71" s="3"/>
      <c r="Y71" s="3"/>
      <c r="AA71" s="93"/>
      <c r="AB71" s="101"/>
      <c r="AC71" s="101"/>
      <c r="AD71" s="101"/>
    </row>
    <row r="72" spans="1:46" collapsed="1">
      <c r="A72" s="3"/>
      <c r="B72" s="3"/>
      <c r="C72" s="16"/>
      <c r="D72" s="3"/>
      <c r="E72" s="14"/>
      <c r="F72" s="15"/>
      <c r="G72" s="13"/>
      <c r="H72" s="3"/>
      <c r="I72" s="14"/>
      <c r="J72" s="15"/>
      <c r="K72" s="13"/>
      <c r="L72" s="3"/>
      <c r="M72" s="14"/>
      <c r="N72" s="15"/>
      <c r="O72" s="13"/>
      <c r="P72" s="3"/>
      <c r="Q72" s="14"/>
      <c r="R72" s="15"/>
      <c r="S72" s="13"/>
      <c r="T72" s="3"/>
      <c r="U72" s="14"/>
      <c r="V72" s="15"/>
      <c r="W72" s="13"/>
      <c r="X72" s="3"/>
      <c r="Y72" s="3"/>
      <c r="AA72" s="93"/>
      <c r="AB72" s="101"/>
      <c r="AC72" s="101"/>
      <c r="AD72" s="101"/>
    </row>
    <row r="73" spans="1:46">
      <c r="A73" s="12"/>
      <c r="B73" s="3"/>
      <c r="C73" s="11" t="s">
        <v>2</v>
      </c>
      <c r="D73" s="3"/>
      <c r="E73" s="10">
        <f ca="1">E35-E68</f>
        <v>3227772.870000001</v>
      </c>
      <c r="F73" s="9">
        <f ca="1">IFERROR(E73/(E$15*E$75*E$76),0)</f>
        <v>124.97184722007128</v>
      </c>
      <c r="G73" s="8">
        <f ca="1">IFERROR(E73/E$35,0)</f>
        <v>0.60332702980447872</v>
      </c>
      <c r="H73" s="3"/>
      <c r="I73" s="10">
        <f ca="1">I35-I68</f>
        <v>1351130.7900000003</v>
      </c>
      <c r="J73" s="9">
        <f ca="1">IFERROR(I73/(I$15*I$75*I$76),0)</f>
        <v>70.817694323601884</v>
      </c>
      <c r="K73" s="8">
        <f ca="1">IFERROR(I73/I$35,0)</f>
        <v>0.41395965328220791</v>
      </c>
      <c r="L73" s="3"/>
      <c r="M73" s="10">
        <f ca="1">M35-M68</f>
        <v>1333836.1500000001</v>
      </c>
      <c r="N73" s="9">
        <f ca="1">IFERROR(M73/(M$15*M$75*M$76),0)</f>
        <v>68.441842985182618</v>
      </c>
      <c r="O73" s="8">
        <f ca="1">IFERROR(M73/M$35,0)</f>
        <v>0.39038750300739938</v>
      </c>
      <c r="P73" s="3"/>
      <c r="Q73" s="10">
        <f ca="1">Q35-Q68</f>
        <v>1683417.2725824171</v>
      </c>
      <c r="R73" s="9">
        <f ca="1">IFERROR(Q73/(Q$15*Q$75*Q$76),0)</f>
        <v>80.976517965741522</v>
      </c>
      <c r="S73" s="8">
        <f ca="1">IFERROR(Q73/Q$35,0)</f>
        <v>0.44697094291152117</v>
      </c>
      <c r="T73" s="3"/>
      <c r="U73" s="10">
        <f ca="1">U35-U68</f>
        <v>2160369.5222154334</v>
      </c>
      <c r="V73" s="9">
        <f ca="1">IFERROR(U73/(U$15*U$75*U$76),0)</f>
        <v>92.481572012646978</v>
      </c>
      <c r="W73" s="8">
        <f ca="1">IFERROR(U73/U$35,0)</f>
        <v>0.49052637526969206</v>
      </c>
      <c r="X73" s="3"/>
      <c r="Y73" s="3"/>
      <c r="AB73" s="100"/>
      <c r="AC73" s="100"/>
      <c r="AD73" s="100"/>
    </row>
    <row r="74" spans="1:46">
      <c r="A74" s="4"/>
      <c r="B74" s="3"/>
      <c r="C74" s="4"/>
      <c r="D74" s="3"/>
      <c r="E74" s="4"/>
      <c r="F74" s="7"/>
      <c r="G74" s="4"/>
      <c r="H74" s="3"/>
      <c r="I74" s="4"/>
      <c r="J74" s="7"/>
      <c r="K74" s="4"/>
      <c r="L74" s="3"/>
      <c r="M74" s="4"/>
      <c r="N74" s="7"/>
      <c r="O74" s="4"/>
      <c r="P74" s="3"/>
      <c r="Q74" s="4"/>
      <c r="R74" s="7"/>
      <c r="S74" s="4"/>
      <c r="T74" s="3"/>
      <c r="U74" s="4"/>
      <c r="V74" s="7"/>
      <c r="W74" s="4"/>
      <c r="X74" s="3"/>
      <c r="Y74" s="3"/>
      <c r="AB74" s="100"/>
      <c r="AC74" s="100"/>
      <c r="AD74" s="100"/>
    </row>
    <row r="75" spans="1:46">
      <c r="A75" s="4"/>
      <c r="B75" s="3"/>
      <c r="C75" s="5" t="s">
        <v>1</v>
      </c>
      <c r="D75" s="3"/>
      <c r="E75" s="5">
        <f>F$1-E$1+1</f>
        <v>365</v>
      </c>
      <c r="F75" s="113"/>
      <c r="G75" s="113"/>
      <c r="H75" s="3"/>
      <c r="I75" s="5">
        <f>J$1-I$1+1</f>
        <v>365</v>
      </c>
      <c r="J75" s="113"/>
      <c r="K75" s="113"/>
      <c r="L75" s="3"/>
      <c r="M75" s="5">
        <v>365</v>
      </c>
      <c r="N75" s="113"/>
      <c r="O75" s="113"/>
      <c r="P75" s="3"/>
      <c r="Q75" s="5">
        <v>365</v>
      </c>
      <c r="R75" s="113"/>
      <c r="S75" s="113"/>
      <c r="T75" s="3"/>
      <c r="U75" s="5">
        <f>V$1-U$1+1</f>
        <v>365</v>
      </c>
      <c r="V75" s="113"/>
      <c r="W75" s="113"/>
      <c r="X75" s="3"/>
      <c r="Y75" s="3"/>
      <c r="AB75" s="100"/>
      <c r="AC75" s="100"/>
      <c r="AD75" s="100"/>
    </row>
    <row r="76" spans="1:46">
      <c r="A76" s="4"/>
      <c r="B76" s="3"/>
      <c r="C76" s="5" t="s">
        <v>0</v>
      </c>
      <c r="D76" s="3"/>
      <c r="E76" s="6">
        <f>365/E75</f>
        <v>1</v>
      </c>
      <c r="F76" s="113"/>
      <c r="G76" s="113"/>
      <c r="H76" s="3"/>
      <c r="I76" s="6">
        <f>365/I75</f>
        <v>1</v>
      </c>
      <c r="J76" s="113"/>
      <c r="K76" s="113"/>
      <c r="L76" s="3"/>
      <c r="M76" s="6">
        <f>365/365</f>
        <v>1</v>
      </c>
      <c r="N76" s="114"/>
      <c r="O76" s="113"/>
      <c r="P76" s="3"/>
      <c r="Q76" s="6">
        <f>365/365</f>
        <v>1</v>
      </c>
      <c r="R76" s="114"/>
      <c r="S76" s="113"/>
      <c r="T76" s="3"/>
      <c r="U76" s="6">
        <f>365/365</f>
        <v>1</v>
      </c>
      <c r="V76" s="113"/>
      <c r="W76" s="113"/>
      <c r="X76" s="3"/>
      <c r="Y76" s="3"/>
      <c r="AB76" s="100"/>
      <c r="AC76" s="100"/>
      <c r="AD76" s="100"/>
    </row>
    <row r="77" spans="1:46">
      <c r="A77" s="4"/>
      <c r="B77" s="3"/>
      <c r="C77" s="3"/>
      <c r="D77" s="3"/>
      <c r="E77" s="3"/>
      <c r="F77" s="113"/>
      <c r="G77" s="113"/>
      <c r="H77" s="3"/>
      <c r="I77" s="3"/>
      <c r="J77" s="113"/>
      <c r="K77" s="113"/>
      <c r="L77" s="3"/>
      <c r="M77" s="3"/>
      <c r="N77" s="4"/>
      <c r="O77" s="4"/>
      <c r="P77" s="3"/>
      <c r="Q77" s="3"/>
      <c r="R77" s="4"/>
      <c r="S77" s="4"/>
      <c r="T77" s="3"/>
      <c r="U77" s="3"/>
      <c r="V77" s="113"/>
      <c r="W77" s="113"/>
      <c r="X77" s="3"/>
      <c r="Y77" s="3"/>
      <c r="AB77" s="100"/>
      <c r="AC77" s="100"/>
      <c r="AD77" s="100"/>
    </row>
    <row r="78" spans="1:46">
      <c r="A78" s="4"/>
      <c r="B78" s="3"/>
      <c r="C78" s="3"/>
      <c r="D78" s="3"/>
      <c r="E78" s="3"/>
      <c r="F78" s="113"/>
      <c r="G78" s="113"/>
      <c r="H78" s="3"/>
      <c r="I78" s="3"/>
      <c r="J78" s="113"/>
      <c r="K78" s="113"/>
      <c r="L78" s="3"/>
      <c r="M78" s="3"/>
      <c r="N78" s="4"/>
      <c r="O78" s="4"/>
      <c r="P78" s="3"/>
      <c r="Q78" s="3"/>
      <c r="R78" s="4"/>
      <c r="S78" s="4"/>
      <c r="T78" s="3"/>
      <c r="U78" s="3"/>
      <c r="V78" s="113"/>
      <c r="W78" s="113"/>
      <c r="X78" s="3"/>
      <c r="Y78" s="3"/>
      <c r="AB78" s="100"/>
      <c r="AC78" s="100"/>
      <c r="AD78" s="100"/>
    </row>
    <row r="79" spans="1:46" ht="18.600000000000001" thickBot="1">
      <c r="A79" s="4"/>
      <c r="B79" s="3"/>
      <c r="C79" s="3"/>
      <c r="D79" s="3"/>
      <c r="E79" s="3">
        <v>2014</v>
      </c>
      <c r="F79" s="113"/>
      <c r="G79" s="113"/>
      <c r="H79" s="3"/>
      <c r="I79" s="3">
        <v>2015</v>
      </c>
      <c r="J79" s="113"/>
      <c r="K79" s="113"/>
      <c r="L79" s="3"/>
      <c r="M79" s="3" t="s">
        <v>497</v>
      </c>
      <c r="N79" s="4"/>
      <c r="O79" s="4"/>
      <c r="P79" s="3"/>
      <c r="Q79" s="3" t="s">
        <v>497</v>
      </c>
      <c r="R79" s="4"/>
      <c r="S79" s="4"/>
      <c r="T79" s="3"/>
      <c r="U79" s="3"/>
      <c r="V79" s="113"/>
      <c r="W79" s="113"/>
      <c r="X79" s="3"/>
      <c r="Y79" s="3"/>
      <c r="AB79" s="100"/>
      <c r="AC79" s="100"/>
      <c r="AD79" s="100"/>
    </row>
    <row r="80" spans="1:46">
      <c r="A80" s="261">
        <v>222</v>
      </c>
      <c r="B80" s="238"/>
      <c r="C80" s="258" t="s">
        <v>145</v>
      </c>
      <c r="D80" s="238"/>
      <c r="E80" s="254">
        <f t="array" aca="1" ref="E80" ca="1">SUM(IF(LEFT($A80,3)=LEFT(INDIRECT($AC$11),3),INDIRECT($AD$11),""))*E$76</f>
        <v>5349955.68</v>
      </c>
      <c r="F80" s="240"/>
      <c r="G80" s="240"/>
      <c r="H80" s="238"/>
      <c r="I80" s="239">
        <f t="array" aca="1" ref="I80" ca="1">SUM(IF(LEFT($A80,3)=LEFT(INDIRECT($AC$11),3),INDIRECT($AE$11),""))*I$76</f>
        <v>3263919.03</v>
      </c>
      <c r="J80" s="240"/>
      <c r="K80" s="240"/>
      <c r="L80" s="238"/>
      <c r="M80" s="239">
        <f t="array" aca="1" ref="M80" ca="1">SUM(IF(LEFT($A80,3)=LEFT(INDIRECT($AC$11),3),INDIRECT($AF$11),""))*M$76</f>
        <v>3416697.8700000006</v>
      </c>
      <c r="N80" s="241"/>
      <c r="O80" s="241"/>
      <c r="P80" s="238"/>
      <c r="Q80" s="239">
        <f t="array" aca="1" ref="Q80" ca="1">SUM(IF(LEFT($A80,3)=LEFT(INDIRECT($AC$11),3),INDIRECT($AF$11),""))*Q$76</f>
        <v>3416697.8700000006</v>
      </c>
      <c r="R80" s="241"/>
      <c r="S80" s="241"/>
      <c r="T80" s="238"/>
      <c r="U80" s="3"/>
      <c r="V80" s="113"/>
      <c r="W80" s="113"/>
      <c r="X80" s="3"/>
      <c r="Y80" s="3"/>
      <c r="AB80" s="100"/>
      <c r="AC80" s="100"/>
      <c r="AD80" s="100"/>
    </row>
    <row r="81" spans="1:30">
      <c r="A81" s="262">
        <v>333</v>
      </c>
      <c r="B81" s="15"/>
      <c r="C81" s="259" t="s">
        <v>149</v>
      </c>
      <c r="D81" s="15"/>
      <c r="E81" s="255">
        <f t="array" aca="1" ref="E81" ca="1">SUM(IF(LEFT($A81,3)=LEFT(INDIRECT($AC$11),3),INDIRECT($AD$11),""))*E$76</f>
        <v>4531008.8600000003</v>
      </c>
      <c r="F81" s="247"/>
      <c r="G81" s="247"/>
      <c r="H81" s="248"/>
      <c r="I81" s="246">
        <f t="array" aca="1" ref="I81" ca="1">SUM(IF(LEFT($A81,3)=LEFT(INDIRECT($AC$11),3),INDIRECT($AE$11),""))*I$76</f>
        <v>3415795.81</v>
      </c>
      <c r="J81" s="247"/>
      <c r="K81" s="247"/>
      <c r="L81" s="248"/>
      <c r="M81" s="246">
        <f t="array" aca="1" ref="M81" ca="1">SUM(IF(LEFT($A81,3)=LEFT(INDIRECT($AC$11),3),INDIRECT($AF$11),""))*M$76</f>
        <v>3677441.8900000006</v>
      </c>
      <c r="N81" s="249"/>
      <c r="O81" s="249"/>
      <c r="P81" s="248"/>
      <c r="Q81" s="246">
        <f t="array" aca="1" ref="Q81" ca="1">SUM(IF(LEFT($A81,3)=LEFT(INDIRECT($AC$11),3),INDIRECT($AF$11),""))*Q$76</f>
        <v>3677441.8900000006</v>
      </c>
      <c r="R81" s="249"/>
      <c r="S81" s="249"/>
      <c r="T81" s="248"/>
      <c r="U81" s="3"/>
      <c r="V81" s="113"/>
      <c r="W81" s="113"/>
      <c r="X81" s="3"/>
      <c r="Y81" s="3"/>
      <c r="AB81" s="100"/>
      <c r="AC81" s="100"/>
      <c r="AD81" s="100"/>
    </row>
    <row r="82" spans="1:30">
      <c r="A82" s="262">
        <v>444</v>
      </c>
      <c r="B82" s="15"/>
      <c r="C82" s="259" t="s">
        <v>355</v>
      </c>
      <c r="D82" s="15"/>
      <c r="E82" s="256">
        <f t="array" aca="1" ref="E82" ca="1">SUM(IF(LEFT($A82,3)=LEFT(INDIRECT($AC$11),3),INDIRECT($AD$11),""))*E$76</f>
        <v>818946.82000000018</v>
      </c>
      <c r="F82" s="251"/>
      <c r="G82" s="251"/>
      <c r="H82" s="252"/>
      <c r="I82" s="250">
        <f t="array" aca="1" ref="I82" ca="1">SUM(IF(LEFT($A82,3)=LEFT(INDIRECT($AC$11),3),INDIRECT($AE$11),""))*I$76</f>
        <v>-151876.77999999977</v>
      </c>
      <c r="J82" s="251"/>
      <c r="K82" s="251"/>
      <c r="L82" s="252"/>
      <c r="M82" s="250">
        <f t="array" aca="1" ref="M82" ca="1">SUM(IF(LEFT($A82,3)=LEFT(INDIRECT($AC$11),3),INDIRECT($AF$11),""))*M$76</f>
        <v>-260744.01999999949</v>
      </c>
      <c r="N82" s="253"/>
      <c r="O82" s="253"/>
      <c r="P82" s="252"/>
      <c r="Q82" s="250">
        <f t="array" aca="1" ref="Q82" ca="1">SUM(IF(LEFT($A82,3)=LEFT(INDIRECT($AC$11),3),INDIRECT($AF$11),""))*Q$76</f>
        <v>-260744.01999999949</v>
      </c>
      <c r="R82" s="253"/>
      <c r="S82" s="253"/>
      <c r="T82" s="252"/>
      <c r="U82" s="3"/>
      <c r="V82" s="113"/>
      <c r="W82" s="113"/>
      <c r="X82" s="3"/>
      <c r="Y82" s="3"/>
      <c r="AB82" s="100"/>
      <c r="AC82" s="100"/>
      <c r="AD82" s="100"/>
    </row>
    <row r="83" spans="1:30" ht="18.600000000000001" thickBot="1">
      <c r="A83" s="263"/>
      <c r="B83" s="242"/>
      <c r="C83" s="260" t="s">
        <v>560</v>
      </c>
      <c r="D83" s="242"/>
      <c r="E83" s="257">
        <f ca="1">E82-E71</f>
        <v>-2408826.0500000007</v>
      </c>
      <c r="F83" s="244"/>
      <c r="G83" s="244"/>
      <c r="H83" s="242"/>
      <c r="I83" s="243">
        <f ca="1">I82-I71</f>
        <v>-1503007.6500000001</v>
      </c>
      <c r="J83" s="244"/>
      <c r="K83" s="244"/>
      <c r="L83" s="242"/>
      <c r="M83" s="243">
        <f ca="1">M82-M71</f>
        <v>-1594580.6399999997</v>
      </c>
      <c r="N83" s="245"/>
      <c r="O83" s="245"/>
      <c r="P83" s="242"/>
      <c r="Q83" s="243">
        <f ca="1">Q82-Q71</f>
        <v>-1944161.7625824166</v>
      </c>
      <c r="R83" s="245"/>
      <c r="S83" s="245"/>
      <c r="T83" s="242"/>
      <c r="U83" s="3"/>
      <c r="V83" s="113"/>
      <c r="W83" s="113"/>
      <c r="X83" s="3"/>
      <c r="Y83" s="3"/>
      <c r="AB83" s="100"/>
      <c r="AC83" s="100"/>
      <c r="AD83" s="100"/>
    </row>
    <row r="84" spans="1:30">
      <c r="A84" s="4"/>
      <c r="B84" s="3"/>
      <c r="C84" s="3"/>
      <c r="D84" s="3"/>
      <c r="E84" s="237"/>
      <c r="F84" s="113"/>
      <c r="G84" s="113"/>
      <c r="H84" s="3"/>
      <c r="I84" s="3"/>
      <c r="J84" s="113"/>
      <c r="K84" s="113"/>
      <c r="L84" s="3"/>
      <c r="M84" s="3"/>
      <c r="N84" s="4"/>
      <c r="O84" s="4"/>
      <c r="P84" s="3"/>
      <c r="Q84" s="3"/>
      <c r="R84" s="4"/>
      <c r="S84" s="4"/>
      <c r="T84" s="3"/>
      <c r="U84" s="3"/>
      <c r="V84" s="113"/>
      <c r="W84" s="113"/>
      <c r="X84" s="3"/>
      <c r="Y84" s="3"/>
      <c r="AB84" s="100"/>
      <c r="AC84" s="100"/>
      <c r="AD84" s="100"/>
    </row>
    <row r="85" spans="1:30">
      <c r="A85" s="4"/>
      <c r="B85" s="3"/>
      <c r="C85" s="3"/>
      <c r="D85" s="3"/>
      <c r="E85" s="3"/>
      <c r="F85" s="113"/>
      <c r="G85" s="113"/>
      <c r="H85" s="3"/>
      <c r="I85" s="3"/>
      <c r="J85" s="113"/>
      <c r="K85" s="113"/>
      <c r="L85" s="3"/>
      <c r="M85" s="3"/>
      <c r="N85" s="4"/>
      <c r="O85" s="4"/>
      <c r="P85" s="3"/>
      <c r="Q85" s="3"/>
      <c r="R85" s="4"/>
      <c r="S85" s="4"/>
      <c r="T85" s="3"/>
      <c r="U85" s="3"/>
      <c r="V85" s="113"/>
      <c r="W85" s="113"/>
      <c r="X85" s="3"/>
      <c r="Y85" s="3"/>
      <c r="AB85" s="100"/>
      <c r="AC85" s="100"/>
      <c r="AD85" s="100"/>
    </row>
    <row r="86" spans="1:30">
      <c r="A86" s="4"/>
      <c r="B86" s="3"/>
      <c r="C86" s="3"/>
      <c r="D86" s="3"/>
      <c r="E86" s="3"/>
      <c r="F86" s="113"/>
      <c r="G86" s="113"/>
      <c r="H86" s="3"/>
      <c r="I86" s="3"/>
      <c r="J86" s="113"/>
      <c r="K86" s="113"/>
      <c r="L86" s="3"/>
      <c r="M86" s="3"/>
      <c r="N86" s="4"/>
      <c r="O86" s="4"/>
      <c r="P86" s="3"/>
      <c r="Q86" s="3"/>
      <c r="R86" s="4"/>
      <c r="S86" s="4"/>
      <c r="T86" s="3"/>
      <c r="U86" s="3"/>
      <c r="V86" s="113"/>
      <c r="W86" s="113"/>
      <c r="X86" s="3"/>
      <c r="Y86" s="3"/>
      <c r="AB86" s="100"/>
      <c r="AC86" s="100"/>
      <c r="AD86" s="100"/>
    </row>
    <row r="87" spans="1:30">
      <c r="A87" s="4"/>
      <c r="B87" s="3"/>
      <c r="C87" s="3"/>
      <c r="D87" s="3"/>
      <c r="E87" s="3"/>
      <c r="F87" s="113"/>
      <c r="G87" s="113"/>
      <c r="H87" s="3"/>
      <c r="I87" s="3"/>
      <c r="J87" s="113"/>
      <c r="K87" s="113"/>
      <c r="L87" s="3"/>
      <c r="M87" s="3"/>
      <c r="N87" s="4"/>
      <c r="O87" s="4"/>
      <c r="P87" s="3"/>
      <c r="Q87" s="3"/>
      <c r="R87" s="4"/>
      <c r="S87" s="4"/>
      <c r="T87" s="3"/>
      <c r="U87" s="3"/>
      <c r="V87" s="113"/>
      <c r="W87" s="113"/>
      <c r="X87" s="3"/>
      <c r="Y87" s="3"/>
      <c r="AB87" s="100"/>
      <c r="AC87" s="100"/>
      <c r="AD87" s="100"/>
    </row>
    <row r="88" spans="1:30">
      <c r="A88" s="4"/>
      <c r="B88" s="3"/>
      <c r="C88" s="3"/>
      <c r="D88" s="3"/>
      <c r="E88" s="3"/>
      <c r="F88" s="113"/>
      <c r="G88" s="113"/>
      <c r="H88" s="3"/>
      <c r="I88" s="3"/>
      <c r="J88" s="113"/>
      <c r="K88" s="113"/>
      <c r="L88" s="3"/>
      <c r="M88" s="3"/>
      <c r="N88" s="4"/>
      <c r="O88" s="4"/>
      <c r="P88" s="3"/>
      <c r="Q88" s="3"/>
      <c r="R88" s="4"/>
      <c r="S88" s="4"/>
      <c r="T88" s="3"/>
      <c r="U88" s="3"/>
      <c r="V88" s="113"/>
      <c r="W88" s="113"/>
      <c r="X88" s="3"/>
      <c r="Y88" s="3"/>
      <c r="AB88" s="100"/>
      <c r="AC88" s="100"/>
      <c r="AD88" s="100"/>
    </row>
    <row r="89" spans="1:30">
      <c r="D89" s="3"/>
      <c r="E89" s="3"/>
      <c r="F89" s="4"/>
      <c r="G89" s="4"/>
      <c r="H89" s="3"/>
      <c r="I89" s="3"/>
      <c r="J89" s="4"/>
      <c r="K89" s="4"/>
      <c r="L89" s="3"/>
      <c r="M89" s="3"/>
      <c r="N89" s="4"/>
      <c r="O89" s="4"/>
      <c r="P89" s="3"/>
      <c r="Q89" s="3"/>
      <c r="R89" s="4"/>
      <c r="S89" s="4"/>
      <c r="T89" s="3"/>
      <c r="U89" s="3"/>
      <c r="V89" s="4"/>
      <c r="W89" s="4"/>
      <c r="X89" s="3"/>
      <c r="Y89" s="3"/>
      <c r="AB89" s="100"/>
      <c r="AC89" s="100"/>
      <c r="AD89" s="100"/>
    </row>
    <row r="90" spans="1:30">
      <c r="C90" s="115" t="s">
        <v>62</v>
      </c>
      <c r="D90" s="3"/>
      <c r="E90" s="3"/>
      <c r="F90" s="4"/>
      <c r="G90" s="4"/>
      <c r="H90" s="3"/>
      <c r="I90" s="3"/>
      <c r="J90" s="4"/>
      <c r="K90" s="4"/>
      <c r="L90" s="3"/>
      <c r="M90" s="3"/>
      <c r="N90" s="4"/>
      <c r="O90" s="4"/>
      <c r="P90" s="3"/>
      <c r="Q90" s="3"/>
      <c r="R90" s="4"/>
      <c r="S90" s="4"/>
      <c r="T90" s="3"/>
      <c r="U90" s="3"/>
      <c r="V90" s="4"/>
      <c r="W90" s="4"/>
      <c r="X90" s="3"/>
      <c r="Y90" s="3"/>
      <c r="AB90" s="100"/>
      <c r="AC90" s="100"/>
      <c r="AD90" s="100"/>
    </row>
    <row r="91" spans="1:30">
      <c r="C91" s="32" t="s">
        <v>563</v>
      </c>
      <c r="D91" s="3"/>
      <c r="E91" s="3"/>
      <c r="F91" s="4"/>
      <c r="G91" s="4"/>
      <c r="H91" s="3"/>
      <c r="I91" s="3"/>
      <c r="J91" s="4"/>
      <c r="K91" s="4"/>
      <c r="L91" s="3"/>
      <c r="M91" s="3"/>
      <c r="N91" s="4"/>
      <c r="O91" s="4"/>
      <c r="P91" s="3"/>
      <c r="Q91" s="3"/>
      <c r="R91" s="4"/>
      <c r="S91" s="4"/>
      <c r="T91" s="3"/>
      <c r="U91" s="3"/>
      <c r="V91" s="4"/>
      <c r="W91" s="4"/>
      <c r="X91" s="3"/>
      <c r="Y91" s="3"/>
      <c r="AB91" s="100"/>
      <c r="AC91" s="100"/>
      <c r="AD91" s="100"/>
    </row>
    <row r="92" spans="1:30">
      <c r="C92" s="32" t="s">
        <v>493</v>
      </c>
      <c r="D92" s="210"/>
      <c r="E92" s="213"/>
      <c r="F92" s="214"/>
      <c r="G92" s="215"/>
      <c r="H92" s="210"/>
      <c r="I92" s="213"/>
      <c r="J92" s="214"/>
      <c r="K92" s="215"/>
      <c r="L92" s="210"/>
      <c r="M92" s="213"/>
      <c r="N92" s="214"/>
      <c r="O92" s="215"/>
      <c r="P92" s="210"/>
      <c r="Q92" s="213"/>
      <c r="R92" s="214"/>
      <c r="S92" s="215"/>
      <c r="T92" s="210"/>
      <c r="U92" s="213"/>
      <c r="V92" s="214"/>
      <c r="W92" s="215"/>
      <c r="X92" s="3"/>
      <c r="Y92" s="3"/>
      <c r="AB92" s="100"/>
      <c r="AC92" s="100"/>
      <c r="AD92" s="100"/>
    </row>
    <row r="93" spans="1:30">
      <c r="C93" s="32" t="s">
        <v>564</v>
      </c>
      <c r="D93" s="210"/>
      <c r="E93" s="213"/>
      <c r="F93" s="214"/>
      <c r="G93" s="215"/>
      <c r="H93" s="210"/>
      <c r="I93" s="213"/>
      <c r="J93" s="214"/>
      <c r="K93" s="215"/>
      <c r="L93" s="210"/>
      <c r="M93" s="213"/>
      <c r="N93" s="214"/>
      <c r="O93" s="215"/>
      <c r="P93" s="210"/>
      <c r="Q93" s="213"/>
      <c r="R93" s="214"/>
      <c r="S93" s="215"/>
      <c r="T93" s="210"/>
      <c r="U93" s="213"/>
      <c r="V93" s="214"/>
      <c r="W93" s="215"/>
      <c r="X93" s="3"/>
      <c r="Y93" s="3"/>
    </row>
    <row r="94" spans="1:30">
      <c r="C94" s="32" t="s">
        <v>567</v>
      </c>
      <c r="D94" s="210"/>
      <c r="E94" s="213"/>
      <c r="F94" s="214"/>
      <c r="G94" s="215"/>
      <c r="H94" s="210"/>
      <c r="I94" s="213"/>
      <c r="J94" s="214"/>
      <c r="K94" s="215"/>
      <c r="L94" s="210"/>
      <c r="M94" s="213"/>
      <c r="N94" s="214"/>
      <c r="O94" s="215"/>
      <c r="P94" s="210"/>
      <c r="Q94" s="213"/>
      <c r="R94" s="214"/>
      <c r="S94" s="215"/>
      <c r="T94" s="210"/>
      <c r="U94" s="213"/>
      <c r="V94" s="214"/>
      <c r="W94" s="215"/>
      <c r="X94" s="3"/>
      <c r="Y94" s="3"/>
    </row>
    <row r="95" spans="1:30">
      <c r="C95" s="32" t="s">
        <v>569</v>
      </c>
      <c r="D95" s="210"/>
      <c r="E95" s="216"/>
      <c r="F95" s="217"/>
      <c r="G95" s="218"/>
      <c r="H95" s="210"/>
      <c r="I95" s="216"/>
      <c r="J95" s="217"/>
      <c r="K95" s="218"/>
      <c r="L95" s="210"/>
      <c r="M95" s="216"/>
      <c r="N95" s="217"/>
      <c r="O95" s="218"/>
      <c r="P95" s="210"/>
      <c r="Q95" s="216"/>
      <c r="R95" s="217"/>
      <c r="S95" s="218"/>
      <c r="T95" s="210"/>
      <c r="U95" s="216"/>
      <c r="V95" s="217"/>
      <c r="W95" s="218"/>
      <c r="X95" s="3"/>
      <c r="Y95" s="3"/>
    </row>
    <row r="96" spans="1:30">
      <c r="C96" s="264" t="s">
        <v>571</v>
      </c>
    </row>
    <row r="98" spans="3:23">
      <c r="C98" s="264" t="s">
        <v>572</v>
      </c>
      <c r="U98" s="210"/>
      <c r="V98" s="210"/>
      <c r="W98" s="210"/>
    </row>
    <row r="99" spans="3:23">
      <c r="E99" s="2"/>
      <c r="U99" s="210"/>
      <c r="V99" s="210"/>
      <c r="W99" s="210"/>
    </row>
    <row r="100" spans="3:23">
      <c r="E100" s="2"/>
      <c r="F100" s="2"/>
      <c r="G100" s="2"/>
      <c r="U100" s="210"/>
      <c r="V100" s="210"/>
      <c r="W100" s="210"/>
    </row>
    <row r="101" spans="3:23">
      <c r="U101" s="210"/>
      <c r="V101" s="210"/>
      <c r="W101" s="210"/>
    </row>
    <row r="102" spans="3:23">
      <c r="C102" s="211"/>
      <c r="D102" s="210"/>
      <c r="E102" s="212"/>
      <c r="F102" s="212"/>
      <c r="G102" s="210"/>
      <c r="H102" s="210"/>
      <c r="I102" s="212"/>
      <c r="J102" s="212"/>
      <c r="K102" s="210"/>
      <c r="L102" s="210"/>
      <c r="M102" s="212"/>
      <c r="N102" s="212"/>
      <c r="O102" s="210"/>
      <c r="P102" s="210"/>
      <c r="Q102" s="212"/>
      <c r="R102" s="212"/>
      <c r="S102" s="210"/>
      <c r="T102" s="210"/>
      <c r="U102" s="212"/>
      <c r="V102" s="212"/>
      <c r="W102" s="210"/>
    </row>
    <row r="103" spans="3:23">
      <c r="C103" s="211"/>
      <c r="D103" s="210"/>
      <c r="E103" s="212"/>
      <c r="F103" s="212"/>
      <c r="G103" s="210"/>
      <c r="H103" s="210"/>
      <c r="I103" s="212"/>
      <c r="J103" s="212"/>
      <c r="K103" s="210"/>
      <c r="L103" s="210"/>
      <c r="M103" s="212"/>
      <c r="N103" s="212"/>
      <c r="O103" s="210"/>
      <c r="P103" s="210"/>
      <c r="Q103" s="212"/>
      <c r="R103" s="212"/>
      <c r="S103" s="210"/>
      <c r="T103" s="210"/>
      <c r="U103" s="212"/>
      <c r="V103" s="212"/>
      <c r="W103" s="210"/>
    </row>
    <row r="104" spans="3:23">
      <c r="C104" s="211"/>
      <c r="D104" s="210"/>
      <c r="E104" s="212"/>
      <c r="F104" s="212"/>
      <c r="G104" s="210"/>
      <c r="H104" s="210"/>
      <c r="I104" s="212"/>
      <c r="J104" s="212"/>
      <c r="K104" s="210"/>
      <c r="L104" s="210"/>
      <c r="M104" s="212"/>
      <c r="N104" s="212"/>
      <c r="O104" s="210"/>
      <c r="P104" s="210"/>
      <c r="Q104" s="212"/>
      <c r="R104" s="212"/>
      <c r="S104" s="210"/>
      <c r="T104" s="210"/>
      <c r="U104" s="212"/>
      <c r="V104" s="212"/>
      <c r="W104" s="210"/>
    </row>
    <row r="105" spans="3:23">
      <c r="C105" s="211"/>
      <c r="D105" s="210"/>
      <c r="E105" s="212"/>
      <c r="F105" s="212"/>
      <c r="G105" s="210"/>
      <c r="H105" s="210"/>
      <c r="I105" s="212"/>
      <c r="J105" s="212"/>
      <c r="K105" s="210"/>
      <c r="L105" s="210"/>
      <c r="M105" s="212"/>
      <c r="N105" s="212"/>
      <c r="O105" s="210"/>
      <c r="P105" s="210"/>
      <c r="Q105" s="212"/>
      <c r="R105" s="212"/>
      <c r="S105" s="210"/>
      <c r="T105" s="210"/>
      <c r="U105" s="212"/>
      <c r="V105" s="212"/>
      <c r="W105" s="210"/>
    </row>
    <row r="106" spans="3:23">
      <c r="C106" s="210"/>
      <c r="D106" s="210"/>
      <c r="E106" s="210"/>
      <c r="F106" s="210"/>
      <c r="G106" s="210"/>
      <c r="H106" s="210"/>
      <c r="I106" s="210"/>
      <c r="J106" s="210"/>
      <c r="K106" s="210"/>
      <c r="L106" s="210"/>
      <c r="M106" s="210"/>
      <c r="N106" s="210"/>
      <c r="O106" s="210"/>
      <c r="P106" s="210"/>
      <c r="Q106" s="210"/>
      <c r="R106" s="210"/>
      <c r="S106" s="210"/>
      <c r="T106" s="210"/>
      <c r="U106" s="210"/>
      <c r="V106" s="210"/>
      <c r="W106" s="210"/>
    </row>
  </sheetData>
  <conditionalFormatting sqref="A58:A60 A31:A32 A21:A25 A62:A64 A9:A13 A27:A29 A38:A56">
    <cfRule type="cellIs" dxfId="41" priority="19" operator="between">
      <formula>1000</formula>
      <formula>9999</formula>
    </cfRule>
    <cfRule type="cellIs" dxfId="40" priority="20" operator="between">
      <formula>400</formula>
      <formula>499</formula>
    </cfRule>
    <cfRule type="cellIs" dxfId="39" priority="21" operator="between">
      <formula>300</formula>
      <formula>399</formula>
    </cfRule>
    <cfRule type="cellIs" dxfId="38" priority="22" operator="between">
      <formula>200</formula>
      <formula>299</formula>
    </cfRule>
    <cfRule type="cellIs" dxfId="37" priority="23" operator="between">
      <formula>100</formula>
      <formula>199</formula>
    </cfRule>
    <cfRule type="cellIs" dxfId="36" priority="24" operator="between">
      <formula>900</formula>
      <formula>999</formula>
    </cfRule>
  </conditionalFormatting>
  <conditionalFormatting sqref="A61">
    <cfRule type="cellIs" dxfId="35" priority="13" operator="between">
      <formula>1000</formula>
      <formula>9999</formula>
    </cfRule>
    <cfRule type="cellIs" dxfId="34" priority="14" operator="between">
      <formula>400</formula>
      <formula>499</formula>
    </cfRule>
    <cfRule type="cellIs" dxfId="33" priority="15" operator="between">
      <formula>300</formula>
      <formula>399</formula>
    </cfRule>
    <cfRule type="cellIs" dxfId="32" priority="16" operator="between">
      <formula>200</formula>
      <formula>299</formula>
    </cfRule>
    <cfRule type="cellIs" dxfId="31" priority="17" operator="between">
      <formula>100</formula>
      <formula>199</formula>
    </cfRule>
    <cfRule type="cellIs" dxfId="30" priority="18" operator="between">
      <formula>900</formula>
      <formula>999</formula>
    </cfRule>
  </conditionalFormatting>
  <conditionalFormatting sqref="A15">
    <cfRule type="cellIs" dxfId="29" priority="7" operator="between">
      <formula>1000</formula>
      <formula>9999</formula>
    </cfRule>
    <cfRule type="cellIs" dxfId="28" priority="8" operator="between">
      <formula>400</formula>
      <formula>499</formula>
    </cfRule>
    <cfRule type="cellIs" dxfId="27" priority="9" operator="between">
      <formula>300</formula>
      <formula>399</formula>
    </cfRule>
    <cfRule type="cellIs" dxfId="26" priority="10" operator="between">
      <formula>200</formula>
      <formula>299</formula>
    </cfRule>
    <cfRule type="cellIs" dxfId="25" priority="11" operator="between">
      <formula>100</formula>
      <formula>199</formula>
    </cfRule>
    <cfRule type="cellIs" dxfId="24" priority="12" operator="between">
      <formula>900</formula>
      <formula>999</formula>
    </cfRule>
  </conditionalFormatting>
  <conditionalFormatting sqref="A14">
    <cfRule type="cellIs" dxfId="23" priority="1" operator="between">
      <formula>1000</formula>
      <formula>9999</formula>
    </cfRule>
    <cfRule type="cellIs" dxfId="22" priority="2" operator="between">
      <formula>400</formula>
      <formula>499</formula>
    </cfRule>
    <cfRule type="cellIs" dxfId="21" priority="3" operator="between">
      <formula>300</formula>
      <formula>399</formula>
    </cfRule>
    <cfRule type="cellIs" dxfId="20" priority="4" operator="between">
      <formula>200</formula>
      <formula>299</formula>
    </cfRule>
    <cfRule type="cellIs" dxfId="19" priority="5" operator="between">
      <formula>100</formula>
      <formula>199</formula>
    </cfRule>
    <cfRule type="cellIs" dxfId="18" priority="6" operator="between">
      <formula>900</formula>
      <formula>999</formula>
    </cfRule>
  </conditionalFormatting>
  <pageMargins left="0.7" right="0.7" top="0.75" bottom="0.75" header="0.3" footer="0.3"/>
  <pageSetup orientation="portrait" verticalDpi="0" r:id="rId1"/>
  <ignoredErrors>
    <ignoredError sqref="E9:P39 E41:P43 O40:P40 K40:L40 G40:H40 E46:P55 O44:P45 K45:L45 G45:H45 E57:P68 E56:P56 G44:H44 U9:W37 U57:W68 K44:L44 U73:V77 W44 V38:W38 V53:W53 U54:W55 V47:W47 V46:W46 V42:W42 W39 W41 U48:W52 V43:W43 V56:W56 W45 W40 U38 U42 U40:V40 U47 U45:V45 U56 U44:V44 U43 U53 U41:V41 U39:V39 U46 R38:S67" unlocked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  <pageSetUpPr fitToPage="1"/>
  </sheetPr>
  <dimension ref="A1:AM209"/>
  <sheetViews>
    <sheetView zoomScale="70" zoomScaleNormal="70" workbookViewId="0">
      <pane xSplit="8" ySplit="9" topLeftCell="I11" activePane="bottomRight" state="frozen"/>
      <selection activeCell="C42" sqref="C42"/>
      <selection pane="topRight" activeCell="C42" sqref="C42"/>
      <selection pane="bottomLeft" activeCell="C42" sqref="C42"/>
      <selection pane="bottomRight" activeCell="J13" sqref="J13:U13"/>
    </sheetView>
  </sheetViews>
  <sheetFormatPr defaultColWidth="9.109375" defaultRowHeight="13.2" outlineLevelRow="1" outlineLevelCol="1"/>
  <cols>
    <col min="1" max="1" width="15.88671875" style="131" customWidth="1"/>
    <col min="2" max="2" width="7.5546875" style="132" customWidth="1"/>
    <col min="3" max="3" width="65" style="131" customWidth="1"/>
    <col min="4" max="4" width="31.109375" style="131" hidden="1" customWidth="1" outlineLevel="1"/>
    <col min="5" max="5" width="47.5546875" style="131" hidden="1" customWidth="1" outlineLevel="1"/>
    <col min="6" max="6" width="34.6640625" style="131" hidden="1" customWidth="1" outlineLevel="1"/>
    <col min="7" max="7" width="3.5546875" style="133" customWidth="1" collapsed="1"/>
    <col min="8" max="8" width="32.109375" style="131" customWidth="1"/>
    <col min="9" max="9" width="9.5546875" style="131" customWidth="1"/>
    <col min="10" max="27" width="14.6640625" style="132" customWidth="1" outlineLevel="1"/>
    <col min="28" max="39" width="14.6640625" style="132" customWidth="1"/>
    <col min="40" max="254" width="9.109375" style="131"/>
    <col min="255" max="256" width="15.88671875" style="131" customWidth="1"/>
    <col min="257" max="257" width="26.5546875" style="131" customWidth="1"/>
    <col min="258" max="258" width="15.88671875" style="131" customWidth="1"/>
    <col min="259" max="259" width="34.6640625" style="131" customWidth="1"/>
    <col min="260" max="260" width="3.5546875" style="131" customWidth="1"/>
    <col min="261" max="261" width="31" style="131" bestFit="1" customWidth="1"/>
    <col min="262" max="262" width="7" style="131" customWidth="1"/>
    <col min="263" max="275" width="14.6640625" style="131" customWidth="1"/>
    <col min="276" max="287" width="0" style="131" hidden="1" customWidth="1"/>
    <col min="288" max="295" width="14.6640625" style="131" customWidth="1"/>
    <col min="296" max="510" width="9.109375" style="131"/>
    <col min="511" max="512" width="15.88671875" style="131" customWidth="1"/>
    <col min="513" max="513" width="26.5546875" style="131" customWidth="1"/>
    <col min="514" max="514" width="15.88671875" style="131" customWidth="1"/>
    <col min="515" max="515" width="34.6640625" style="131" customWidth="1"/>
    <col min="516" max="516" width="3.5546875" style="131" customWidth="1"/>
    <col min="517" max="517" width="31" style="131" bestFit="1" customWidth="1"/>
    <col min="518" max="518" width="7" style="131" customWidth="1"/>
    <col min="519" max="531" width="14.6640625" style="131" customWidth="1"/>
    <col min="532" max="543" width="0" style="131" hidden="1" customWidth="1"/>
    <col min="544" max="551" width="14.6640625" style="131" customWidth="1"/>
    <col min="552" max="766" width="9.109375" style="131"/>
    <col min="767" max="768" width="15.88671875" style="131" customWidth="1"/>
    <col min="769" max="769" width="26.5546875" style="131" customWidth="1"/>
    <col min="770" max="770" width="15.88671875" style="131" customWidth="1"/>
    <col min="771" max="771" width="34.6640625" style="131" customWidth="1"/>
    <col min="772" max="772" width="3.5546875" style="131" customWidth="1"/>
    <col min="773" max="773" width="31" style="131" bestFit="1" customWidth="1"/>
    <col min="774" max="774" width="7" style="131" customWidth="1"/>
    <col min="775" max="787" width="14.6640625" style="131" customWidth="1"/>
    <col min="788" max="799" width="0" style="131" hidden="1" customWidth="1"/>
    <col min="800" max="807" width="14.6640625" style="131" customWidth="1"/>
    <col min="808" max="1022" width="9.109375" style="131"/>
    <col min="1023" max="1024" width="15.88671875" style="131" customWidth="1"/>
    <col min="1025" max="1025" width="26.5546875" style="131" customWidth="1"/>
    <col min="1026" max="1026" width="15.88671875" style="131" customWidth="1"/>
    <col min="1027" max="1027" width="34.6640625" style="131" customWidth="1"/>
    <col min="1028" max="1028" width="3.5546875" style="131" customWidth="1"/>
    <col min="1029" max="1029" width="31" style="131" bestFit="1" customWidth="1"/>
    <col min="1030" max="1030" width="7" style="131" customWidth="1"/>
    <col min="1031" max="1043" width="14.6640625" style="131" customWidth="1"/>
    <col min="1044" max="1055" width="0" style="131" hidden="1" customWidth="1"/>
    <col min="1056" max="1063" width="14.6640625" style="131" customWidth="1"/>
    <col min="1064" max="1278" width="9.109375" style="131"/>
    <col min="1279" max="1280" width="15.88671875" style="131" customWidth="1"/>
    <col min="1281" max="1281" width="26.5546875" style="131" customWidth="1"/>
    <col min="1282" max="1282" width="15.88671875" style="131" customWidth="1"/>
    <col min="1283" max="1283" width="34.6640625" style="131" customWidth="1"/>
    <col min="1284" max="1284" width="3.5546875" style="131" customWidth="1"/>
    <col min="1285" max="1285" width="31" style="131" bestFit="1" customWidth="1"/>
    <col min="1286" max="1286" width="7" style="131" customWidth="1"/>
    <col min="1287" max="1299" width="14.6640625" style="131" customWidth="1"/>
    <col min="1300" max="1311" width="0" style="131" hidden="1" customWidth="1"/>
    <col min="1312" max="1319" width="14.6640625" style="131" customWidth="1"/>
    <col min="1320" max="1534" width="9.109375" style="131"/>
    <col min="1535" max="1536" width="15.88671875" style="131" customWidth="1"/>
    <col min="1537" max="1537" width="26.5546875" style="131" customWidth="1"/>
    <col min="1538" max="1538" width="15.88671875" style="131" customWidth="1"/>
    <col min="1539" max="1539" width="34.6640625" style="131" customWidth="1"/>
    <col min="1540" max="1540" width="3.5546875" style="131" customWidth="1"/>
    <col min="1541" max="1541" width="31" style="131" bestFit="1" customWidth="1"/>
    <col min="1542" max="1542" width="7" style="131" customWidth="1"/>
    <col min="1543" max="1555" width="14.6640625" style="131" customWidth="1"/>
    <col min="1556" max="1567" width="0" style="131" hidden="1" customWidth="1"/>
    <col min="1568" max="1575" width="14.6640625" style="131" customWidth="1"/>
    <col min="1576" max="1790" width="9.109375" style="131"/>
    <col min="1791" max="1792" width="15.88671875" style="131" customWidth="1"/>
    <col min="1793" max="1793" width="26.5546875" style="131" customWidth="1"/>
    <col min="1794" max="1794" width="15.88671875" style="131" customWidth="1"/>
    <col min="1795" max="1795" width="34.6640625" style="131" customWidth="1"/>
    <col min="1796" max="1796" width="3.5546875" style="131" customWidth="1"/>
    <col min="1797" max="1797" width="31" style="131" bestFit="1" customWidth="1"/>
    <col min="1798" max="1798" width="7" style="131" customWidth="1"/>
    <col min="1799" max="1811" width="14.6640625" style="131" customWidth="1"/>
    <col min="1812" max="1823" width="0" style="131" hidden="1" customWidth="1"/>
    <col min="1824" max="1831" width="14.6640625" style="131" customWidth="1"/>
    <col min="1832" max="2046" width="9.109375" style="131"/>
    <col min="2047" max="2048" width="15.88671875" style="131" customWidth="1"/>
    <col min="2049" max="2049" width="26.5546875" style="131" customWidth="1"/>
    <col min="2050" max="2050" width="15.88671875" style="131" customWidth="1"/>
    <col min="2051" max="2051" width="34.6640625" style="131" customWidth="1"/>
    <col min="2052" max="2052" width="3.5546875" style="131" customWidth="1"/>
    <col min="2053" max="2053" width="31" style="131" bestFit="1" customWidth="1"/>
    <col min="2054" max="2054" width="7" style="131" customWidth="1"/>
    <col min="2055" max="2067" width="14.6640625" style="131" customWidth="1"/>
    <col min="2068" max="2079" width="0" style="131" hidden="1" customWidth="1"/>
    <col min="2080" max="2087" width="14.6640625" style="131" customWidth="1"/>
    <col min="2088" max="2302" width="9.109375" style="131"/>
    <col min="2303" max="2304" width="15.88671875" style="131" customWidth="1"/>
    <col min="2305" max="2305" width="26.5546875" style="131" customWidth="1"/>
    <col min="2306" max="2306" width="15.88671875" style="131" customWidth="1"/>
    <col min="2307" max="2307" width="34.6640625" style="131" customWidth="1"/>
    <col min="2308" max="2308" width="3.5546875" style="131" customWidth="1"/>
    <col min="2309" max="2309" width="31" style="131" bestFit="1" customWidth="1"/>
    <col min="2310" max="2310" width="7" style="131" customWidth="1"/>
    <col min="2311" max="2323" width="14.6640625" style="131" customWidth="1"/>
    <col min="2324" max="2335" width="0" style="131" hidden="1" customWidth="1"/>
    <col min="2336" max="2343" width="14.6640625" style="131" customWidth="1"/>
    <col min="2344" max="2558" width="9.109375" style="131"/>
    <col min="2559" max="2560" width="15.88671875" style="131" customWidth="1"/>
    <col min="2561" max="2561" width="26.5546875" style="131" customWidth="1"/>
    <col min="2562" max="2562" width="15.88671875" style="131" customWidth="1"/>
    <col min="2563" max="2563" width="34.6640625" style="131" customWidth="1"/>
    <col min="2564" max="2564" width="3.5546875" style="131" customWidth="1"/>
    <col min="2565" max="2565" width="31" style="131" bestFit="1" customWidth="1"/>
    <col min="2566" max="2566" width="7" style="131" customWidth="1"/>
    <col min="2567" max="2579" width="14.6640625" style="131" customWidth="1"/>
    <col min="2580" max="2591" width="0" style="131" hidden="1" customWidth="1"/>
    <col min="2592" max="2599" width="14.6640625" style="131" customWidth="1"/>
    <col min="2600" max="2814" width="9.109375" style="131"/>
    <col min="2815" max="2816" width="15.88671875" style="131" customWidth="1"/>
    <col min="2817" max="2817" width="26.5546875" style="131" customWidth="1"/>
    <col min="2818" max="2818" width="15.88671875" style="131" customWidth="1"/>
    <col min="2819" max="2819" width="34.6640625" style="131" customWidth="1"/>
    <col min="2820" max="2820" width="3.5546875" style="131" customWidth="1"/>
    <col min="2821" max="2821" width="31" style="131" bestFit="1" customWidth="1"/>
    <col min="2822" max="2822" width="7" style="131" customWidth="1"/>
    <col min="2823" max="2835" width="14.6640625" style="131" customWidth="1"/>
    <col min="2836" max="2847" width="0" style="131" hidden="1" customWidth="1"/>
    <col min="2848" max="2855" width="14.6640625" style="131" customWidth="1"/>
    <col min="2856" max="3070" width="9.109375" style="131"/>
    <col min="3071" max="3072" width="15.88671875" style="131" customWidth="1"/>
    <col min="3073" max="3073" width="26.5546875" style="131" customWidth="1"/>
    <col min="3074" max="3074" width="15.88671875" style="131" customWidth="1"/>
    <col min="3075" max="3075" width="34.6640625" style="131" customWidth="1"/>
    <col min="3076" max="3076" width="3.5546875" style="131" customWidth="1"/>
    <col min="3077" max="3077" width="31" style="131" bestFit="1" customWidth="1"/>
    <col min="3078" max="3078" width="7" style="131" customWidth="1"/>
    <col min="3079" max="3091" width="14.6640625" style="131" customWidth="1"/>
    <col min="3092" max="3103" width="0" style="131" hidden="1" customWidth="1"/>
    <col min="3104" max="3111" width="14.6640625" style="131" customWidth="1"/>
    <col min="3112" max="3326" width="9.109375" style="131"/>
    <col min="3327" max="3328" width="15.88671875" style="131" customWidth="1"/>
    <col min="3329" max="3329" width="26.5546875" style="131" customWidth="1"/>
    <col min="3330" max="3330" width="15.88671875" style="131" customWidth="1"/>
    <col min="3331" max="3331" width="34.6640625" style="131" customWidth="1"/>
    <col min="3332" max="3332" width="3.5546875" style="131" customWidth="1"/>
    <col min="3333" max="3333" width="31" style="131" bestFit="1" customWidth="1"/>
    <col min="3334" max="3334" width="7" style="131" customWidth="1"/>
    <col min="3335" max="3347" width="14.6640625" style="131" customWidth="1"/>
    <col min="3348" max="3359" width="0" style="131" hidden="1" customWidth="1"/>
    <col min="3360" max="3367" width="14.6640625" style="131" customWidth="1"/>
    <col min="3368" max="3582" width="9.109375" style="131"/>
    <col min="3583" max="3584" width="15.88671875" style="131" customWidth="1"/>
    <col min="3585" max="3585" width="26.5546875" style="131" customWidth="1"/>
    <col min="3586" max="3586" width="15.88671875" style="131" customWidth="1"/>
    <col min="3587" max="3587" width="34.6640625" style="131" customWidth="1"/>
    <col min="3588" max="3588" width="3.5546875" style="131" customWidth="1"/>
    <col min="3589" max="3589" width="31" style="131" bestFit="1" customWidth="1"/>
    <col min="3590" max="3590" width="7" style="131" customWidth="1"/>
    <col min="3591" max="3603" width="14.6640625" style="131" customWidth="1"/>
    <col min="3604" max="3615" width="0" style="131" hidden="1" customWidth="1"/>
    <col min="3616" max="3623" width="14.6640625" style="131" customWidth="1"/>
    <col min="3624" max="3838" width="9.109375" style="131"/>
    <col min="3839" max="3840" width="15.88671875" style="131" customWidth="1"/>
    <col min="3841" max="3841" width="26.5546875" style="131" customWidth="1"/>
    <col min="3842" max="3842" width="15.88671875" style="131" customWidth="1"/>
    <col min="3843" max="3843" width="34.6640625" style="131" customWidth="1"/>
    <col min="3844" max="3844" width="3.5546875" style="131" customWidth="1"/>
    <col min="3845" max="3845" width="31" style="131" bestFit="1" customWidth="1"/>
    <col min="3846" max="3846" width="7" style="131" customWidth="1"/>
    <col min="3847" max="3859" width="14.6640625" style="131" customWidth="1"/>
    <col min="3860" max="3871" width="0" style="131" hidden="1" customWidth="1"/>
    <col min="3872" max="3879" width="14.6640625" style="131" customWidth="1"/>
    <col min="3880" max="4094" width="9.109375" style="131"/>
    <col min="4095" max="4096" width="15.88671875" style="131" customWidth="1"/>
    <col min="4097" max="4097" width="26.5546875" style="131" customWidth="1"/>
    <col min="4098" max="4098" width="15.88671875" style="131" customWidth="1"/>
    <col min="4099" max="4099" width="34.6640625" style="131" customWidth="1"/>
    <col min="4100" max="4100" width="3.5546875" style="131" customWidth="1"/>
    <col min="4101" max="4101" width="31" style="131" bestFit="1" customWidth="1"/>
    <col min="4102" max="4102" width="7" style="131" customWidth="1"/>
    <col min="4103" max="4115" width="14.6640625" style="131" customWidth="1"/>
    <col min="4116" max="4127" width="0" style="131" hidden="1" customWidth="1"/>
    <col min="4128" max="4135" width="14.6640625" style="131" customWidth="1"/>
    <col min="4136" max="4350" width="9.109375" style="131"/>
    <col min="4351" max="4352" width="15.88671875" style="131" customWidth="1"/>
    <col min="4353" max="4353" width="26.5546875" style="131" customWidth="1"/>
    <col min="4354" max="4354" width="15.88671875" style="131" customWidth="1"/>
    <col min="4355" max="4355" width="34.6640625" style="131" customWidth="1"/>
    <col min="4356" max="4356" width="3.5546875" style="131" customWidth="1"/>
    <col min="4357" max="4357" width="31" style="131" bestFit="1" customWidth="1"/>
    <col min="4358" max="4358" width="7" style="131" customWidth="1"/>
    <col min="4359" max="4371" width="14.6640625" style="131" customWidth="1"/>
    <col min="4372" max="4383" width="0" style="131" hidden="1" customWidth="1"/>
    <col min="4384" max="4391" width="14.6640625" style="131" customWidth="1"/>
    <col min="4392" max="4606" width="9.109375" style="131"/>
    <col min="4607" max="4608" width="15.88671875" style="131" customWidth="1"/>
    <col min="4609" max="4609" width="26.5546875" style="131" customWidth="1"/>
    <col min="4610" max="4610" width="15.88671875" style="131" customWidth="1"/>
    <col min="4611" max="4611" width="34.6640625" style="131" customWidth="1"/>
    <col min="4612" max="4612" width="3.5546875" style="131" customWidth="1"/>
    <col min="4613" max="4613" width="31" style="131" bestFit="1" customWidth="1"/>
    <col min="4614" max="4614" width="7" style="131" customWidth="1"/>
    <col min="4615" max="4627" width="14.6640625" style="131" customWidth="1"/>
    <col min="4628" max="4639" width="0" style="131" hidden="1" customWidth="1"/>
    <col min="4640" max="4647" width="14.6640625" style="131" customWidth="1"/>
    <col min="4648" max="4862" width="9.109375" style="131"/>
    <col min="4863" max="4864" width="15.88671875" style="131" customWidth="1"/>
    <col min="4865" max="4865" width="26.5546875" style="131" customWidth="1"/>
    <col min="4866" max="4866" width="15.88671875" style="131" customWidth="1"/>
    <col min="4867" max="4867" width="34.6640625" style="131" customWidth="1"/>
    <col min="4868" max="4868" width="3.5546875" style="131" customWidth="1"/>
    <col min="4869" max="4869" width="31" style="131" bestFit="1" customWidth="1"/>
    <col min="4870" max="4870" width="7" style="131" customWidth="1"/>
    <col min="4871" max="4883" width="14.6640625" style="131" customWidth="1"/>
    <col min="4884" max="4895" width="0" style="131" hidden="1" customWidth="1"/>
    <col min="4896" max="4903" width="14.6640625" style="131" customWidth="1"/>
    <col min="4904" max="5118" width="9.109375" style="131"/>
    <col min="5119" max="5120" width="15.88671875" style="131" customWidth="1"/>
    <col min="5121" max="5121" width="26.5546875" style="131" customWidth="1"/>
    <col min="5122" max="5122" width="15.88671875" style="131" customWidth="1"/>
    <col min="5123" max="5123" width="34.6640625" style="131" customWidth="1"/>
    <col min="5124" max="5124" width="3.5546875" style="131" customWidth="1"/>
    <col min="5125" max="5125" width="31" style="131" bestFit="1" customWidth="1"/>
    <col min="5126" max="5126" width="7" style="131" customWidth="1"/>
    <col min="5127" max="5139" width="14.6640625" style="131" customWidth="1"/>
    <col min="5140" max="5151" width="0" style="131" hidden="1" customWidth="1"/>
    <col min="5152" max="5159" width="14.6640625" style="131" customWidth="1"/>
    <col min="5160" max="5374" width="9.109375" style="131"/>
    <col min="5375" max="5376" width="15.88671875" style="131" customWidth="1"/>
    <col min="5377" max="5377" width="26.5546875" style="131" customWidth="1"/>
    <col min="5378" max="5378" width="15.88671875" style="131" customWidth="1"/>
    <col min="5379" max="5379" width="34.6640625" style="131" customWidth="1"/>
    <col min="5380" max="5380" width="3.5546875" style="131" customWidth="1"/>
    <col min="5381" max="5381" width="31" style="131" bestFit="1" customWidth="1"/>
    <col min="5382" max="5382" width="7" style="131" customWidth="1"/>
    <col min="5383" max="5395" width="14.6640625" style="131" customWidth="1"/>
    <col min="5396" max="5407" width="0" style="131" hidden="1" customWidth="1"/>
    <col min="5408" max="5415" width="14.6640625" style="131" customWidth="1"/>
    <col min="5416" max="5630" width="9.109375" style="131"/>
    <col min="5631" max="5632" width="15.88671875" style="131" customWidth="1"/>
    <col min="5633" max="5633" width="26.5546875" style="131" customWidth="1"/>
    <col min="5634" max="5634" width="15.88671875" style="131" customWidth="1"/>
    <col min="5635" max="5635" width="34.6640625" style="131" customWidth="1"/>
    <col min="5636" max="5636" width="3.5546875" style="131" customWidth="1"/>
    <col min="5637" max="5637" width="31" style="131" bestFit="1" customWidth="1"/>
    <col min="5638" max="5638" width="7" style="131" customWidth="1"/>
    <col min="5639" max="5651" width="14.6640625" style="131" customWidth="1"/>
    <col min="5652" max="5663" width="0" style="131" hidden="1" customWidth="1"/>
    <col min="5664" max="5671" width="14.6640625" style="131" customWidth="1"/>
    <col min="5672" max="5886" width="9.109375" style="131"/>
    <col min="5887" max="5888" width="15.88671875" style="131" customWidth="1"/>
    <col min="5889" max="5889" width="26.5546875" style="131" customWidth="1"/>
    <col min="5890" max="5890" width="15.88671875" style="131" customWidth="1"/>
    <col min="5891" max="5891" width="34.6640625" style="131" customWidth="1"/>
    <col min="5892" max="5892" width="3.5546875" style="131" customWidth="1"/>
    <col min="5893" max="5893" width="31" style="131" bestFit="1" customWidth="1"/>
    <col min="5894" max="5894" width="7" style="131" customWidth="1"/>
    <col min="5895" max="5907" width="14.6640625" style="131" customWidth="1"/>
    <col min="5908" max="5919" width="0" style="131" hidden="1" customWidth="1"/>
    <col min="5920" max="5927" width="14.6640625" style="131" customWidth="1"/>
    <col min="5928" max="6142" width="9.109375" style="131"/>
    <col min="6143" max="6144" width="15.88671875" style="131" customWidth="1"/>
    <col min="6145" max="6145" width="26.5546875" style="131" customWidth="1"/>
    <col min="6146" max="6146" width="15.88671875" style="131" customWidth="1"/>
    <col min="6147" max="6147" width="34.6640625" style="131" customWidth="1"/>
    <col min="6148" max="6148" width="3.5546875" style="131" customWidth="1"/>
    <col min="6149" max="6149" width="31" style="131" bestFit="1" customWidth="1"/>
    <col min="6150" max="6150" width="7" style="131" customWidth="1"/>
    <col min="6151" max="6163" width="14.6640625" style="131" customWidth="1"/>
    <col min="6164" max="6175" width="0" style="131" hidden="1" customWidth="1"/>
    <col min="6176" max="6183" width="14.6640625" style="131" customWidth="1"/>
    <col min="6184" max="6398" width="9.109375" style="131"/>
    <col min="6399" max="6400" width="15.88671875" style="131" customWidth="1"/>
    <col min="6401" max="6401" width="26.5546875" style="131" customWidth="1"/>
    <col min="6402" max="6402" width="15.88671875" style="131" customWidth="1"/>
    <col min="6403" max="6403" width="34.6640625" style="131" customWidth="1"/>
    <col min="6404" max="6404" width="3.5546875" style="131" customWidth="1"/>
    <col min="6405" max="6405" width="31" style="131" bestFit="1" customWidth="1"/>
    <col min="6406" max="6406" width="7" style="131" customWidth="1"/>
    <col min="6407" max="6419" width="14.6640625" style="131" customWidth="1"/>
    <col min="6420" max="6431" width="0" style="131" hidden="1" customWidth="1"/>
    <col min="6432" max="6439" width="14.6640625" style="131" customWidth="1"/>
    <col min="6440" max="6654" width="9.109375" style="131"/>
    <col min="6655" max="6656" width="15.88671875" style="131" customWidth="1"/>
    <col min="6657" max="6657" width="26.5546875" style="131" customWidth="1"/>
    <col min="6658" max="6658" width="15.88671875" style="131" customWidth="1"/>
    <col min="6659" max="6659" width="34.6640625" style="131" customWidth="1"/>
    <col min="6660" max="6660" width="3.5546875" style="131" customWidth="1"/>
    <col min="6661" max="6661" width="31" style="131" bestFit="1" customWidth="1"/>
    <col min="6662" max="6662" width="7" style="131" customWidth="1"/>
    <col min="6663" max="6675" width="14.6640625" style="131" customWidth="1"/>
    <col min="6676" max="6687" width="0" style="131" hidden="1" customWidth="1"/>
    <col min="6688" max="6695" width="14.6640625" style="131" customWidth="1"/>
    <col min="6696" max="6910" width="9.109375" style="131"/>
    <col min="6911" max="6912" width="15.88671875" style="131" customWidth="1"/>
    <col min="6913" max="6913" width="26.5546875" style="131" customWidth="1"/>
    <col min="6914" max="6914" width="15.88671875" style="131" customWidth="1"/>
    <col min="6915" max="6915" width="34.6640625" style="131" customWidth="1"/>
    <col min="6916" max="6916" width="3.5546875" style="131" customWidth="1"/>
    <col min="6917" max="6917" width="31" style="131" bestFit="1" customWidth="1"/>
    <col min="6918" max="6918" width="7" style="131" customWidth="1"/>
    <col min="6919" max="6931" width="14.6640625" style="131" customWidth="1"/>
    <col min="6932" max="6943" width="0" style="131" hidden="1" customWidth="1"/>
    <col min="6944" max="6951" width="14.6640625" style="131" customWidth="1"/>
    <col min="6952" max="7166" width="9.109375" style="131"/>
    <col min="7167" max="7168" width="15.88671875" style="131" customWidth="1"/>
    <col min="7169" max="7169" width="26.5546875" style="131" customWidth="1"/>
    <col min="7170" max="7170" width="15.88671875" style="131" customWidth="1"/>
    <col min="7171" max="7171" width="34.6640625" style="131" customWidth="1"/>
    <col min="7172" max="7172" width="3.5546875" style="131" customWidth="1"/>
    <col min="7173" max="7173" width="31" style="131" bestFit="1" customWidth="1"/>
    <col min="7174" max="7174" width="7" style="131" customWidth="1"/>
    <col min="7175" max="7187" width="14.6640625" style="131" customWidth="1"/>
    <col min="7188" max="7199" width="0" style="131" hidden="1" customWidth="1"/>
    <col min="7200" max="7207" width="14.6640625" style="131" customWidth="1"/>
    <col min="7208" max="7422" width="9.109375" style="131"/>
    <col min="7423" max="7424" width="15.88671875" style="131" customWidth="1"/>
    <col min="7425" max="7425" width="26.5546875" style="131" customWidth="1"/>
    <col min="7426" max="7426" width="15.88671875" style="131" customWidth="1"/>
    <col min="7427" max="7427" width="34.6640625" style="131" customWidth="1"/>
    <col min="7428" max="7428" width="3.5546875" style="131" customWidth="1"/>
    <col min="7429" max="7429" width="31" style="131" bestFit="1" customWidth="1"/>
    <col min="7430" max="7430" width="7" style="131" customWidth="1"/>
    <col min="7431" max="7443" width="14.6640625" style="131" customWidth="1"/>
    <col min="7444" max="7455" width="0" style="131" hidden="1" customWidth="1"/>
    <col min="7456" max="7463" width="14.6640625" style="131" customWidth="1"/>
    <col min="7464" max="7678" width="9.109375" style="131"/>
    <col min="7679" max="7680" width="15.88671875" style="131" customWidth="1"/>
    <col min="7681" max="7681" width="26.5546875" style="131" customWidth="1"/>
    <col min="7682" max="7682" width="15.88671875" style="131" customWidth="1"/>
    <col min="7683" max="7683" width="34.6640625" style="131" customWidth="1"/>
    <col min="7684" max="7684" width="3.5546875" style="131" customWidth="1"/>
    <col min="7685" max="7685" width="31" style="131" bestFit="1" customWidth="1"/>
    <col min="7686" max="7686" width="7" style="131" customWidth="1"/>
    <col min="7687" max="7699" width="14.6640625" style="131" customWidth="1"/>
    <col min="7700" max="7711" width="0" style="131" hidden="1" customWidth="1"/>
    <col min="7712" max="7719" width="14.6640625" style="131" customWidth="1"/>
    <col min="7720" max="7934" width="9.109375" style="131"/>
    <col min="7935" max="7936" width="15.88671875" style="131" customWidth="1"/>
    <col min="7937" max="7937" width="26.5546875" style="131" customWidth="1"/>
    <col min="7938" max="7938" width="15.88671875" style="131" customWidth="1"/>
    <col min="7939" max="7939" width="34.6640625" style="131" customWidth="1"/>
    <col min="7940" max="7940" width="3.5546875" style="131" customWidth="1"/>
    <col min="7941" max="7941" width="31" style="131" bestFit="1" customWidth="1"/>
    <col min="7942" max="7942" width="7" style="131" customWidth="1"/>
    <col min="7943" max="7955" width="14.6640625" style="131" customWidth="1"/>
    <col min="7956" max="7967" width="0" style="131" hidden="1" customWidth="1"/>
    <col min="7968" max="7975" width="14.6640625" style="131" customWidth="1"/>
    <col min="7976" max="8190" width="9.109375" style="131"/>
    <col min="8191" max="8192" width="15.88671875" style="131" customWidth="1"/>
    <col min="8193" max="8193" width="26.5546875" style="131" customWidth="1"/>
    <col min="8194" max="8194" width="15.88671875" style="131" customWidth="1"/>
    <col min="8195" max="8195" width="34.6640625" style="131" customWidth="1"/>
    <col min="8196" max="8196" width="3.5546875" style="131" customWidth="1"/>
    <col min="8197" max="8197" width="31" style="131" bestFit="1" customWidth="1"/>
    <col min="8198" max="8198" width="7" style="131" customWidth="1"/>
    <col min="8199" max="8211" width="14.6640625" style="131" customWidth="1"/>
    <col min="8212" max="8223" width="0" style="131" hidden="1" customWidth="1"/>
    <col min="8224" max="8231" width="14.6640625" style="131" customWidth="1"/>
    <col min="8232" max="8446" width="9.109375" style="131"/>
    <col min="8447" max="8448" width="15.88671875" style="131" customWidth="1"/>
    <col min="8449" max="8449" width="26.5546875" style="131" customWidth="1"/>
    <col min="8450" max="8450" width="15.88671875" style="131" customWidth="1"/>
    <col min="8451" max="8451" width="34.6640625" style="131" customWidth="1"/>
    <col min="8452" max="8452" width="3.5546875" style="131" customWidth="1"/>
    <col min="8453" max="8453" width="31" style="131" bestFit="1" customWidth="1"/>
    <col min="8454" max="8454" width="7" style="131" customWidth="1"/>
    <col min="8455" max="8467" width="14.6640625" style="131" customWidth="1"/>
    <col min="8468" max="8479" width="0" style="131" hidden="1" customWidth="1"/>
    <col min="8480" max="8487" width="14.6640625" style="131" customWidth="1"/>
    <col min="8488" max="8702" width="9.109375" style="131"/>
    <col min="8703" max="8704" width="15.88671875" style="131" customWidth="1"/>
    <col min="8705" max="8705" width="26.5546875" style="131" customWidth="1"/>
    <col min="8706" max="8706" width="15.88671875" style="131" customWidth="1"/>
    <col min="8707" max="8707" width="34.6640625" style="131" customWidth="1"/>
    <col min="8708" max="8708" width="3.5546875" style="131" customWidth="1"/>
    <col min="8709" max="8709" width="31" style="131" bestFit="1" customWidth="1"/>
    <col min="8710" max="8710" width="7" style="131" customWidth="1"/>
    <col min="8711" max="8723" width="14.6640625" style="131" customWidth="1"/>
    <col min="8724" max="8735" width="0" style="131" hidden="1" customWidth="1"/>
    <col min="8736" max="8743" width="14.6640625" style="131" customWidth="1"/>
    <col min="8744" max="8958" width="9.109375" style="131"/>
    <col min="8959" max="8960" width="15.88671875" style="131" customWidth="1"/>
    <col min="8961" max="8961" width="26.5546875" style="131" customWidth="1"/>
    <col min="8962" max="8962" width="15.88671875" style="131" customWidth="1"/>
    <col min="8963" max="8963" width="34.6640625" style="131" customWidth="1"/>
    <col min="8964" max="8964" width="3.5546875" style="131" customWidth="1"/>
    <col min="8965" max="8965" width="31" style="131" bestFit="1" customWidth="1"/>
    <col min="8966" max="8966" width="7" style="131" customWidth="1"/>
    <col min="8967" max="8979" width="14.6640625" style="131" customWidth="1"/>
    <col min="8980" max="8991" width="0" style="131" hidden="1" customWidth="1"/>
    <col min="8992" max="8999" width="14.6640625" style="131" customWidth="1"/>
    <col min="9000" max="9214" width="9.109375" style="131"/>
    <col min="9215" max="9216" width="15.88671875" style="131" customWidth="1"/>
    <col min="9217" max="9217" width="26.5546875" style="131" customWidth="1"/>
    <col min="9218" max="9218" width="15.88671875" style="131" customWidth="1"/>
    <col min="9219" max="9219" width="34.6640625" style="131" customWidth="1"/>
    <col min="9220" max="9220" width="3.5546875" style="131" customWidth="1"/>
    <col min="9221" max="9221" width="31" style="131" bestFit="1" customWidth="1"/>
    <col min="9222" max="9222" width="7" style="131" customWidth="1"/>
    <col min="9223" max="9235" width="14.6640625" style="131" customWidth="1"/>
    <col min="9236" max="9247" width="0" style="131" hidden="1" customWidth="1"/>
    <col min="9248" max="9255" width="14.6640625" style="131" customWidth="1"/>
    <col min="9256" max="9470" width="9.109375" style="131"/>
    <col min="9471" max="9472" width="15.88671875" style="131" customWidth="1"/>
    <col min="9473" max="9473" width="26.5546875" style="131" customWidth="1"/>
    <col min="9474" max="9474" width="15.88671875" style="131" customWidth="1"/>
    <col min="9475" max="9475" width="34.6640625" style="131" customWidth="1"/>
    <col min="9476" max="9476" width="3.5546875" style="131" customWidth="1"/>
    <col min="9477" max="9477" width="31" style="131" bestFit="1" customWidth="1"/>
    <col min="9478" max="9478" width="7" style="131" customWidth="1"/>
    <col min="9479" max="9491" width="14.6640625" style="131" customWidth="1"/>
    <col min="9492" max="9503" width="0" style="131" hidden="1" customWidth="1"/>
    <col min="9504" max="9511" width="14.6640625" style="131" customWidth="1"/>
    <col min="9512" max="9726" width="9.109375" style="131"/>
    <col min="9727" max="9728" width="15.88671875" style="131" customWidth="1"/>
    <col min="9729" max="9729" width="26.5546875" style="131" customWidth="1"/>
    <col min="9730" max="9730" width="15.88671875" style="131" customWidth="1"/>
    <col min="9731" max="9731" width="34.6640625" style="131" customWidth="1"/>
    <col min="9732" max="9732" width="3.5546875" style="131" customWidth="1"/>
    <col min="9733" max="9733" width="31" style="131" bestFit="1" customWidth="1"/>
    <col min="9734" max="9734" width="7" style="131" customWidth="1"/>
    <col min="9735" max="9747" width="14.6640625" style="131" customWidth="1"/>
    <col min="9748" max="9759" width="0" style="131" hidden="1" customWidth="1"/>
    <col min="9760" max="9767" width="14.6640625" style="131" customWidth="1"/>
    <col min="9768" max="9982" width="9.109375" style="131"/>
    <col min="9983" max="9984" width="15.88671875" style="131" customWidth="1"/>
    <col min="9985" max="9985" width="26.5546875" style="131" customWidth="1"/>
    <col min="9986" max="9986" width="15.88671875" style="131" customWidth="1"/>
    <col min="9987" max="9987" width="34.6640625" style="131" customWidth="1"/>
    <col min="9988" max="9988" width="3.5546875" style="131" customWidth="1"/>
    <col min="9989" max="9989" width="31" style="131" bestFit="1" customWidth="1"/>
    <col min="9990" max="9990" width="7" style="131" customWidth="1"/>
    <col min="9991" max="10003" width="14.6640625" style="131" customWidth="1"/>
    <col min="10004" max="10015" width="0" style="131" hidden="1" customWidth="1"/>
    <col min="10016" max="10023" width="14.6640625" style="131" customWidth="1"/>
    <col min="10024" max="10238" width="9.109375" style="131"/>
    <col min="10239" max="10240" width="15.88671875" style="131" customWidth="1"/>
    <col min="10241" max="10241" width="26.5546875" style="131" customWidth="1"/>
    <col min="10242" max="10242" width="15.88671875" style="131" customWidth="1"/>
    <col min="10243" max="10243" width="34.6640625" style="131" customWidth="1"/>
    <col min="10244" max="10244" width="3.5546875" style="131" customWidth="1"/>
    <col min="10245" max="10245" width="31" style="131" bestFit="1" customWidth="1"/>
    <col min="10246" max="10246" width="7" style="131" customWidth="1"/>
    <col min="10247" max="10259" width="14.6640625" style="131" customWidth="1"/>
    <col min="10260" max="10271" width="0" style="131" hidden="1" customWidth="1"/>
    <col min="10272" max="10279" width="14.6640625" style="131" customWidth="1"/>
    <col min="10280" max="10494" width="9.109375" style="131"/>
    <col min="10495" max="10496" width="15.88671875" style="131" customWidth="1"/>
    <col min="10497" max="10497" width="26.5546875" style="131" customWidth="1"/>
    <col min="10498" max="10498" width="15.88671875" style="131" customWidth="1"/>
    <col min="10499" max="10499" width="34.6640625" style="131" customWidth="1"/>
    <col min="10500" max="10500" width="3.5546875" style="131" customWidth="1"/>
    <col min="10501" max="10501" width="31" style="131" bestFit="1" customWidth="1"/>
    <col min="10502" max="10502" width="7" style="131" customWidth="1"/>
    <col min="10503" max="10515" width="14.6640625" style="131" customWidth="1"/>
    <col min="10516" max="10527" width="0" style="131" hidden="1" customWidth="1"/>
    <col min="10528" max="10535" width="14.6640625" style="131" customWidth="1"/>
    <col min="10536" max="10750" width="9.109375" style="131"/>
    <col min="10751" max="10752" width="15.88671875" style="131" customWidth="1"/>
    <col min="10753" max="10753" width="26.5546875" style="131" customWidth="1"/>
    <col min="10754" max="10754" width="15.88671875" style="131" customWidth="1"/>
    <col min="10755" max="10755" width="34.6640625" style="131" customWidth="1"/>
    <col min="10756" max="10756" width="3.5546875" style="131" customWidth="1"/>
    <col min="10757" max="10757" width="31" style="131" bestFit="1" customWidth="1"/>
    <col min="10758" max="10758" width="7" style="131" customWidth="1"/>
    <col min="10759" max="10771" width="14.6640625" style="131" customWidth="1"/>
    <col min="10772" max="10783" width="0" style="131" hidden="1" customWidth="1"/>
    <col min="10784" max="10791" width="14.6640625" style="131" customWidth="1"/>
    <col min="10792" max="11006" width="9.109375" style="131"/>
    <col min="11007" max="11008" width="15.88671875" style="131" customWidth="1"/>
    <col min="11009" max="11009" width="26.5546875" style="131" customWidth="1"/>
    <col min="11010" max="11010" width="15.88671875" style="131" customWidth="1"/>
    <col min="11011" max="11011" width="34.6640625" style="131" customWidth="1"/>
    <col min="11012" max="11012" width="3.5546875" style="131" customWidth="1"/>
    <col min="11013" max="11013" width="31" style="131" bestFit="1" customWidth="1"/>
    <col min="11014" max="11014" width="7" style="131" customWidth="1"/>
    <col min="11015" max="11027" width="14.6640625" style="131" customWidth="1"/>
    <col min="11028" max="11039" width="0" style="131" hidden="1" customWidth="1"/>
    <col min="11040" max="11047" width="14.6640625" style="131" customWidth="1"/>
    <col min="11048" max="11262" width="9.109375" style="131"/>
    <col min="11263" max="11264" width="15.88671875" style="131" customWidth="1"/>
    <col min="11265" max="11265" width="26.5546875" style="131" customWidth="1"/>
    <col min="11266" max="11266" width="15.88671875" style="131" customWidth="1"/>
    <col min="11267" max="11267" width="34.6640625" style="131" customWidth="1"/>
    <col min="11268" max="11268" width="3.5546875" style="131" customWidth="1"/>
    <col min="11269" max="11269" width="31" style="131" bestFit="1" customWidth="1"/>
    <col min="11270" max="11270" width="7" style="131" customWidth="1"/>
    <col min="11271" max="11283" width="14.6640625" style="131" customWidth="1"/>
    <col min="11284" max="11295" width="0" style="131" hidden="1" customWidth="1"/>
    <col min="11296" max="11303" width="14.6640625" style="131" customWidth="1"/>
    <col min="11304" max="11518" width="9.109375" style="131"/>
    <col min="11519" max="11520" width="15.88671875" style="131" customWidth="1"/>
    <col min="11521" max="11521" width="26.5546875" style="131" customWidth="1"/>
    <col min="11522" max="11522" width="15.88671875" style="131" customWidth="1"/>
    <col min="11523" max="11523" width="34.6640625" style="131" customWidth="1"/>
    <col min="11524" max="11524" width="3.5546875" style="131" customWidth="1"/>
    <col min="11525" max="11525" width="31" style="131" bestFit="1" customWidth="1"/>
    <col min="11526" max="11526" width="7" style="131" customWidth="1"/>
    <col min="11527" max="11539" width="14.6640625" style="131" customWidth="1"/>
    <col min="11540" max="11551" width="0" style="131" hidden="1" customWidth="1"/>
    <col min="11552" max="11559" width="14.6640625" style="131" customWidth="1"/>
    <col min="11560" max="11774" width="9.109375" style="131"/>
    <col min="11775" max="11776" width="15.88671875" style="131" customWidth="1"/>
    <col min="11777" max="11777" width="26.5546875" style="131" customWidth="1"/>
    <col min="11778" max="11778" width="15.88671875" style="131" customWidth="1"/>
    <col min="11779" max="11779" width="34.6640625" style="131" customWidth="1"/>
    <col min="11780" max="11780" width="3.5546875" style="131" customWidth="1"/>
    <col min="11781" max="11781" width="31" style="131" bestFit="1" customWidth="1"/>
    <col min="11782" max="11782" width="7" style="131" customWidth="1"/>
    <col min="11783" max="11795" width="14.6640625" style="131" customWidth="1"/>
    <col min="11796" max="11807" width="0" style="131" hidden="1" customWidth="1"/>
    <col min="11808" max="11815" width="14.6640625" style="131" customWidth="1"/>
    <col min="11816" max="12030" width="9.109375" style="131"/>
    <col min="12031" max="12032" width="15.88671875" style="131" customWidth="1"/>
    <col min="12033" max="12033" width="26.5546875" style="131" customWidth="1"/>
    <col min="12034" max="12034" width="15.88671875" style="131" customWidth="1"/>
    <col min="12035" max="12035" width="34.6640625" style="131" customWidth="1"/>
    <col min="12036" max="12036" width="3.5546875" style="131" customWidth="1"/>
    <col min="12037" max="12037" width="31" style="131" bestFit="1" customWidth="1"/>
    <col min="12038" max="12038" width="7" style="131" customWidth="1"/>
    <col min="12039" max="12051" width="14.6640625" style="131" customWidth="1"/>
    <col min="12052" max="12063" width="0" style="131" hidden="1" customWidth="1"/>
    <col min="12064" max="12071" width="14.6640625" style="131" customWidth="1"/>
    <col min="12072" max="12286" width="9.109375" style="131"/>
    <col min="12287" max="12288" width="15.88671875" style="131" customWidth="1"/>
    <col min="12289" max="12289" width="26.5546875" style="131" customWidth="1"/>
    <col min="12290" max="12290" width="15.88671875" style="131" customWidth="1"/>
    <col min="12291" max="12291" width="34.6640625" style="131" customWidth="1"/>
    <col min="12292" max="12292" width="3.5546875" style="131" customWidth="1"/>
    <col min="12293" max="12293" width="31" style="131" bestFit="1" customWidth="1"/>
    <col min="12294" max="12294" width="7" style="131" customWidth="1"/>
    <col min="12295" max="12307" width="14.6640625" style="131" customWidth="1"/>
    <col min="12308" max="12319" width="0" style="131" hidden="1" customWidth="1"/>
    <col min="12320" max="12327" width="14.6640625" style="131" customWidth="1"/>
    <col min="12328" max="12542" width="9.109375" style="131"/>
    <col min="12543" max="12544" width="15.88671875" style="131" customWidth="1"/>
    <col min="12545" max="12545" width="26.5546875" style="131" customWidth="1"/>
    <col min="12546" max="12546" width="15.88671875" style="131" customWidth="1"/>
    <col min="12547" max="12547" width="34.6640625" style="131" customWidth="1"/>
    <col min="12548" max="12548" width="3.5546875" style="131" customWidth="1"/>
    <col min="12549" max="12549" width="31" style="131" bestFit="1" customWidth="1"/>
    <col min="12550" max="12550" width="7" style="131" customWidth="1"/>
    <col min="12551" max="12563" width="14.6640625" style="131" customWidth="1"/>
    <col min="12564" max="12575" width="0" style="131" hidden="1" customWidth="1"/>
    <col min="12576" max="12583" width="14.6640625" style="131" customWidth="1"/>
    <col min="12584" max="12798" width="9.109375" style="131"/>
    <col min="12799" max="12800" width="15.88671875" style="131" customWidth="1"/>
    <col min="12801" max="12801" width="26.5546875" style="131" customWidth="1"/>
    <col min="12802" max="12802" width="15.88671875" style="131" customWidth="1"/>
    <col min="12803" max="12803" width="34.6640625" style="131" customWidth="1"/>
    <col min="12804" max="12804" width="3.5546875" style="131" customWidth="1"/>
    <col min="12805" max="12805" width="31" style="131" bestFit="1" customWidth="1"/>
    <col min="12806" max="12806" width="7" style="131" customWidth="1"/>
    <col min="12807" max="12819" width="14.6640625" style="131" customWidth="1"/>
    <col min="12820" max="12831" width="0" style="131" hidden="1" customWidth="1"/>
    <col min="12832" max="12839" width="14.6640625" style="131" customWidth="1"/>
    <col min="12840" max="13054" width="9.109375" style="131"/>
    <col min="13055" max="13056" width="15.88671875" style="131" customWidth="1"/>
    <col min="13057" max="13057" width="26.5546875" style="131" customWidth="1"/>
    <col min="13058" max="13058" width="15.88671875" style="131" customWidth="1"/>
    <col min="13059" max="13059" width="34.6640625" style="131" customWidth="1"/>
    <col min="13060" max="13060" width="3.5546875" style="131" customWidth="1"/>
    <col min="13061" max="13061" width="31" style="131" bestFit="1" customWidth="1"/>
    <col min="13062" max="13062" width="7" style="131" customWidth="1"/>
    <col min="13063" max="13075" width="14.6640625" style="131" customWidth="1"/>
    <col min="13076" max="13087" width="0" style="131" hidden="1" customWidth="1"/>
    <col min="13088" max="13095" width="14.6640625" style="131" customWidth="1"/>
    <col min="13096" max="13310" width="9.109375" style="131"/>
    <col min="13311" max="13312" width="15.88671875" style="131" customWidth="1"/>
    <col min="13313" max="13313" width="26.5546875" style="131" customWidth="1"/>
    <col min="13314" max="13314" width="15.88671875" style="131" customWidth="1"/>
    <col min="13315" max="13315" width="34.6640625" style="131" customWidth="1"/>
    <col min="13316" max="13316" width="3.5546875" style="131" customWidth="1"/>
    <col min="13317" max="13317" width="31" style="131" bestFit="1" customWidth="1"/>
    <col min="13318" max="13318" width="7" style="131" customWidth="1"/>
    <col min="13319" max="13331" width="14.6640625" style="131" customWidth="1"/>
    <col min="13332" max="13343" width="0" style="131" hidden="1" customWidth="1"/>
    <col min="13344" max="13351" width="14.6640625" style="131" customWidth="1"/>
    <col min="13352" max="13566" width="9.109375" style="131"/>
    <col min="13567" max="13568" width="15.88671875" style="131" customWidth="1"/>
    <col min="13569" max="13569" width="26.5546875" style="131" customWidth="1"/>
    <col min="13570" max="13570" width="15.88671875" style="131" customWidth="1"/>
    <col min="13571" max="13571" width="34.6640625" style="131" customWidth="1"/>
    <col min="13572" max="13572" width="3.5546875" style="131" customWidth="1"/>
    <col min="13573" max="13573" width="31" style="131" bestFit="1" customWidth="1"/>
    <col min="13574" max="13574" width="7" style="131" customWidth="1"/>
    <col min="13575" max="13587" width="14.6640625" style="131" customWidth="1"/>
    <col min="13588" max="13599" width="0" style="131" hidden="1" customWidth="1"/>
    <col min="13600" max="13607" width="14.6640625" style="131" customWidth="1"/>
    <col min="13608" max="13822" width="9.109375" style="131"/>
    <col min="13823" max="13824" width="15.88671875" style="131" customWidth="1"/>
    <col min="13825" max="13825" width="26.5546875" style="131" customWidth="1"/>
    <col min="13826" max="13826" width="15.88671875" style="131" customWidth="1"/>
    <col min="13827" max="13827" width="34.6640625" style="131" customWidth="1"/>
    <col min="13828" max="13828" width="3.5546875" style="131" customWidth="1"/>
    <col min="13829" max="13829" width="31" style="131" bestFit="1" customWidth="1"/>
    <col min="13830" max="13830" width="7" style="131" customWidth="1"/>
    <col min="13831" max="13843" width="14.6640625" style="131" customWidth="1"/>
    <col min="13844" max="13855" width="0" style="131" hidden="1" customWidth="1"/>
    <col min="13856" max="13863" width="14.6640625" style="131" customWidth="1"/>
    <col min="13864" max="14078" width="9.109375" style="131"/>
    <col min="14079" max="14080" width="15.88671875" style="131" customWidth="1"/>
    <col min="14081" max="14081" width="26.5546875" style="131" customWidth="1"/>
    <col min="14082" max="14082" width="15.88671875" style="131" customWidth="1"/>
    <col min="14083" max="14083" width="34.6640625" style="131" customWidth="1"/>
    <col min="14084" max="14084" width="3.5546875" style="131" customWidth="1"/>
    <col min="14085" max="14085" width="31" style="131" bestFit="1" customWidth="1"/>
    <col min="14086" max="14086" width="7" style="131" customWidth="1"/>
    <col min="14087" max="14099" width="14.6640625" style="131" customWidth="1"/>
    <col min="14100" max="14111" width="0" style="131" hidden="1" customWidth="1"/>
    <col min="14112" max="14119" width="14.6640625" style="131" customWidth="1"/>
    <col min="14120" max="14334" width="9.109375" style="131"/>
    <col min="14335" max="14336" width="15.88671875" style="131" customWidth="1"/>
    <col min="14337" max="14337" width="26.5546875" style="131" customWidth="1"/>
    <col min="14338" max="14338" width="15.88671875" style="131" customWidth="1"/>
    <col min="14339" max="14339" width="34.6640625" style="131" customWidth="1"/>
    <col min="14340" max="14340" width="3.5546875" style="131" customWidth="1"/>
    <col min="14341" max="14341" width="31" style="131" bestFit="1" customWidth="1"/>
    <col min="14342" max="14342" width="7" style="131" customWidth="1"/>
    <col min="14343" max="14355" width="14.6640625" style="131" customWidth="1"/>
    <col min="14356" max="14367" width="0" style="131" hidden="1" customWidth="1"/>
    <col min="14368" max="14375" width="14.6640625" style="131" customWidth="1"/>
    <col min="14376" max="14590" width="9.109375" style="131"/>
    <col min="14591" max="14592" width="15.88671875" style="131" customWidth="1"/>
    <col min="14593" max="14593" width="26.5546875" style="131" customWidth="1"/>
    <col min="14594" max="14594" width="15.88671875" style="131" customWidth="1"/>
    <col min="14595" max="14595" width="34.6640625" style="131" customWidth="1"/>
    <col min="14596" max="14596" width="3.5546875" style="131" customWidth="1"/>
    <col min="14597" max="14597" width="31" style="131" bestFit="1" customWidth="1"/>
    <col min="14598" max="14598" width="7" style="131" customWidth="1"/>
    <col min="14599" max="14611" width="14.6640625" style="131" customWidth="1"/>
    <col min="14612" max="14623" width="0" style="131" hidden="1" customWidth="1"/>
    <col min="14624" max="14631" width="14.6640625" style="131" customWidth="1"/>
    <col min="14632" max="14846" width="9.109375" style="131"/>
    <col min="14847" max="14848" width="15.88671875" style="131" customWidth="1"/>
    <col min="14849" max="14849" width="26.5546875" style="131" customWidth="1"/>
    <col min="14850" max="14850" width="15.88671875" style="131" customWidth="1"/>
    <col min="14851" max="14851" width="34.6640625" style="131" customWidth="1"/>
    <col min="14852" max="14852" width="3.5546875" style="131" customWidth="1"/>
    <col min="14853" max="14853" width="31" style="131" bestFit="1" customWidth="1"/>
    <col min="14854" max="14854" width="7" style="131" customWidth="1"/>
    <col min="14855" max="14867" width="14.6640625" style="131" customWidth="1"/>
    <col min="14868" max="14879" width="0" style="131" hidden="1" customWidth="1"/>
    <col min="14880" max="14887" width="14.6640625" style="131" customWidth="1"/>
    <col min="14888" max="15102" width="9.109375" style="131"/>
    <col min="15103" max="15104" width="15.88671875" style="131" customWidth="1"/>
    <col min="15105" max="15105" width="26.5546875" style="131" customWidth="1"/>
    <col min="15106" max="15106" width="15.88671875" style="131" customWidth="1"/>
    <col min="15107" max="15107" width="34.6640625" style="131" customWidth="1"/>
    <col min="15108" max="15108" width="3.5546875" style="131" customWidth="1"/>
    <col min="15109" max="15109" width="31" style="131" bestFit="1" customWidth="1"/>
    <col min="15110" max="15110" width="7" style="131" customWidth="1"/>
    <col min="15111" max="15123" width="14.6640625" style="131" customWidth="1"/>
    <col min="15124" max="15135" width="0" style="131" hidden="1" customWidth="1"/>
    <col min="15136" max="15143" width="14.6640625" style="131" customWidth="1"/>
    <col min="15144" max="15358" width="9.109375" style="131"/>
    <col min="15359" max="15360" width="15.88671875" style="131" customWidth="1"/>
    <col min="15361" max="15361" width="26.5546875" style="131" customWidth="1"/>
    <col min="15362" max="15362" width="15.88671875" style="131" customWidth="1"/>
    <col min="15363" max="15363" width="34.6640625" style="131" customWidth="1"/>
    <col min="15364" max="15364" width="3.5546875" style="131" customWidth="1"/>
    <col min="15365" max="15365" width="31" style="131" bestFit="1" customWidth="1"/>
    <col min="15366" max="15366" width="7" style="131" customWidth="1"/>
    <col min="15367" max="15379" width="14.6640625" style="131" customWidth="1"/>
    <col min="15380" max="15391" width="0" style="131" hidden="1" customWidth="1"/>
    <col min="15392" max="15399" width="14.6640625" style="131" customWidth="1"/>
    <col min="15400" max="15614" width="9.109375" style="131"/>
    <col min="15615" max="15616" width="15.88671875" style="131" customWidth="1"/>
    <col min="15617" max="15617" width="26.5546875" style="131" customWidth="1"/>
    <col min="15618" max="15618" width="15.88671875" style="131" customWidth="1"/>
    <col min="15619" max="15619" width="34.6640625" style="131" customWidth="1"/>
    <col min="15620" max="15620" width="3.5546875" style="131" customWidth="1"/>
    <col min="15621" max="15621" width="31" style="131" bestFit="1" customWidth="1"/>
    <col min="15622" max="15622" width="7" style="131" customWidth="1"/>
    <col min="15623" max="15635" width="14.6640625" style="131" customWidth="1"/>
    <col min="15636" max="15647" width="0" style="131" hidden="1" customWidth="1"/>
    <col min="15648" max="15655" width="14.6640625" style="131" customWidth="1"/>
    <col min="15656" max="15870" width="9.109375" style="131"/>
    <col min="15871" max="15872" width="15.88671875" style="131" customWidth="1"/>
    <col min="15873" max="15873" width="26.5546875" style="131" customWidth="1"/>
    <col min="15874" max="15874" width="15.88671875" style="131" customWidth="1"/>
    <col min="15875" max="15875" width="34.6640625" style="131" customWidth="1"/>
    <col min="15876" max="15876" width="3.5546875" style="131" customWidth="1"/>
    <col min="15877" max="15877" width="31" style="131" bestFit="1" customWidth="1"/>
    <col min="15878" max="15878" width="7" style="131" customWidth="1"/>
    <col min="15879" max="15891" width="14.6640625" style="131" customWidth="1"/>
    <col min="15892" max="15903" width="0" style="131" hidden="1" customWidth="1"/>
    <col min="15904" max="15911" width="14.6640625" style="131" customWidth="1"/>
    <col min="15912" max="16126" width="9.109375" style="131"/>
    <col min="16127" max="16128" width="15.88671875" style="131" customWidth="1"/>
    <col min="16129" max="16129" width="26.5546875" style="131" customWidth="1"/>
    <col min="16130" max="16130" width="15.88671875" style="131" customWidth="1"/>
    <col min="16131" max="16131" width="34.6640625" style="131" customWidth="1"/>
    <col min="16132" max="16132" width="3.5546875" style="131" customWidth="1"/>
    <col min="16133" max="16133" width="31" style="131" bestFit="1" customWidth="1"/>
    <col min="16134" max="16134" width="7" style="131" customWidth="1"/>
    <col min="16135" max="16147" width="14.6640625" style="131" customWidth="1"/>
    <col min="16148" max="16159" width="0" style="131" hidden="1" customWidth="1"/>
    <col min="16160" max="16167" width="14.6640625" style="131" customWidth="1"/>
    <col min="16168" max="16384" width="9.109375" style="131"/>
  </cols>
  <sheetData>
    <row r="1" spans="1:39" ht="15" hidden="1" customHeight="1">
      <c r="H1" s="134" t="s">
        <v>63</v>
      </c>
      <c r="I1" s="134" t="s">
        <v>64</v>
      </c>
      <c r="J1" s="132" t="s">
        <v>65</v>
      </c>
      <c r="K1" s="132" t="s">
        <v>66</v>
      </c>
      <c r="L1" s="132" t="s">
        <v>67</v>
      </c>
      <c r="M1" s="132" t="s">
        <v>68</v>
      </c>
      <c r="N1" s="132" t="s">
        <v>69</v>
      </c>
      <c r="O1" s="132" t="s">
        <v>70</v>
      </c>
      <c r="P1" s="132" t="s">
        <v>71</v>
      </c>
      <c r="Q1" s="132" t="s">
        <v>72</v>
      </c>
      <c r="R1" s="132" t="s">
        <v>73</v>
      </c>
      <c r="S1" s="132" t="s">
        <v>74</v>
      </c>
      <c r="T1" s="132" t="s">
        <v>75</v>
      </c>
      <c r="U1" s="132" t="s">
        <v>76</v>
      </c>
      <c r="V1" s="132" t="s">
        <v>77</v>
      </c>
      <c r="W1" s="132" t="s">
        <v>78</v>
      </c>
      <c r="X1" s="132" t="s">
        <v>79</v>
      </c>
      <c r="Y1" s="132" t="s">
        <v>80</v>
      </c>
      <c r="Z1" s="132" t="s">
        <v>81</v>
      </c>
      <c r="AA1" s="132" t="s">
        <v>82</v>
      </c>
      <c r="AB1" s="132" t="s">
        <v>83</v>
      </c>
      <c r="AC1" s="132" t="s">
        <v>84</v>
      </c>
      <c r="AD1" s="132" t="s">
        <v>85</v>
      </c>
      <c r="AE1" s="132" t="s">
        <v>86</v>
      </c>
      <c r="AF1" s="132" t="s">
        <v>87</v>
      </c>
      <c r="AG1" s="132" t="s">
        <v>88</v>
      </c>
      <c r="AH1" s="132" t="s">
        <v>89</v>
      </c>
      <c r="AI1" s="132" t="s">
        <v>90</v>
      </c>
      <c r="AJ1" s="132" t="s">
        <v>91</v>
      </c>
      <c r="AK1" s="132" t="s">
        <v>92</v>
      </c>
      <c r="AL1" s="132" t="s">
        <v>93</v>
      </c>
      <c r="AM1" s="132" t="s">
        <v>94</v>
      </c>
    </row>
    <row r="2" spans="1:39" ht="13.8">
      <c r="A2" s="136" t="s">
        <v>95</v>
      </c>
      <c r="B2" s="136" t="s">
        <v>96</v>
      </c>
      <c r="C2" s="136" t="s">
        <v>97</v>
      </c>
      <c r="D2" s="136" t="s">
        <v>98</v>
      </c>
      <c r="E2" s="136" t="s">
        <v>99</v>
      </c>
      <c r="F2" s="136" t="s">
        <v>374</v>
      </c>
      <c r="G2" s="137"/>
      <c r="H2" s="138"/>
    </row>
    <row r="3" spans="1:39" ht="17.399999999999999">
      <c r="A3" s="139"/>
      <c r="B3" s="140"/>
      <c r="C3" s="141"/>
      <c r="D3" s="141"/>
      <c r="E3" s="141"/>
      <c r="F3" s="141"/>
      <c r="H3" s="138" t="s">
        <v>100</v>
      </c>
    </row>
    <row r="4" spans="1:39" ht="13.8">
      <c r="A4" s="142" t="str">
        <f t="shared" ref="A4:A37" si="0">IF(AND(LEN(H4)&gt;0,LEN(H3)=0,LEFT(H4,3)&lt;&gt;"TOT"),"GROUP","")</f>
        <v/>
      </c>
      <c r="B4" s="140" t="str">
        <f t="shared" ref="B4:B48" ca="1" si="1">IF(LEN(A4)=0,"",IFERROR(VLOOKUP(C4,INDIRECT(A4&amp;"_LOOKUP"),2,FALSE),"-100"))</f>
        <v/>
      </c>
      <c r="C4" s="141" t="str">
        <f t="shared" ref="C4:C68" si="2">IF(LEN(D4)&gt;0,TRIM(E4&amp;" "&amp;D4),"")</f>
        <v/>
      </c>
      <c r="D4" s="141" t="str">
        <f t="shared" ref="D4:D68" si="3">IFERROR(IF(AND(LEN(A4)&gt;0,A4&lt;&gt;"GROUP"),UPPER(H4),""),"")</f>
        <v/>
      </c>
      <c r="E4" s="141" t="str">
        <f t="shared" ref="E4:E68" si="4">IFERROR(IF(A4="GROUP",UPPER(H4),IF(AND(LEN(A4)&gt;0,A4&lt;&gt;"GROUP"),UPPER(E3),"")),"")</f>
        <v/>
      </c>
      <c r="F4" s="141"/>
      <c r="H4" s="143" t="s">
        <v>101</v>
      </c>
    </row>
    <row r="5" spans="1:39" ht="13.8">
      <c r="A5" s="142" t="str">
        <f t="shared" si="0"/>
        <v/>
      </c>
      <c r="B5" s="140" t="str">
        <f t="shared" ca="1" si="1"/>
        <v/>
      </c>
      <c r="C5" s="141" t="str">
        <f t="shared" si="2"/>
        <v/>
      </c>
      <c r="D5" s="141" t="str">
        <f t="shared" si="3"/>
        <v/>
      </c>
      <c r="E5" s="141" t="str">
        <f t="shared" si="4"/>
        <v/>
      </c>
      <c r="F5" s="141"/>
      <c r="H5" s="143" t="s">
        <v>102</v>
      </c>
    </row>
    <row r="6" spans="1:39" s="145" customFormat="1" ht="13.8">
      <c r="A6" s="142" t="str">
        <f t="shared" si="0"/>
        <v/>
      </c>
      <c r="B6" s="140" t="str">
        <f t="shared" ca="1" si="1"/>
        <v/>
      </c>
      <c r="C6" s="141" t="str">
        <f t="shared" si="2"/>
        <v/>
      </c>
      <c r="D6" s="141" t="str">
        <f t="shared" si="3"/>
        <v/>
      </c>
      <c r="E6" s="141" t="str">
        <f t="shared" si="4"/>
        <v/>
      </c>
      <c r="F6" s="141"/>
      <c r="G6" s="144"/>
      <c r="H6" s="143" t="s">
        <v>103</v>
      </c>
      <c r="I6" s="131"/>
      <c r="J6" s="145">
        <v>31</v>
      </c>
      <c r="K6" s="145">
        <v>28</v>
      </c>
      <c r="L6" s="145">
        <v>31</v>
      </c>
      <c r="M6" s="145">
        <v>30</v>
      </c>
      <c r="N6" s="145">
        <v>31</v>
      </c>
      <c r="O6" s="145">
        <v>30</v>
      </c>
      <c r="P6" s="145">
        <v>31</v>
      </c>
      <c r="Q6" s="145">
        <v>31</v>
      </c>
      <c r="R6" s="145">
        <v>30</v>
      </c>
      <c r="S6" s="145">
        <v>31</v>
      </c>
      <c r="T6" s="145">
        <v>30</v>
      </c>
      <c r="U6" s="145">
        <v>31</v>
      </c>
      <c r="V6" s="145">
        <v>31</v>
      </c>
      <c r="W6" s="145">
        <v>28</v>
      </c>
      <c r="X6" s="145">
        <v>31</v>
      </c>
      <c r="Y6" s="145">
        <v>30</v>
      </c>
      <c r="Z6" s="145">
        <v>31</v>
      </c>
      <c r="AA6" s="145">
        <v>30</v>
      </c>
      <c r="AB6" s="145">
        <v>31</v>
      </c>
      <c r="AC6" s="145">
        <v>31</v>
      </c>
      <c r="AD6" s="145">
        <v>30</v>
      </c>
      <c r="AE6" s="145">
        <v>31</v>
      </c>
      <c r="AF6" s="145">
        <v>30</v>
      </c>
      <c r="AG6" s="145">
        <v>31</v>
      </c>
      <c r="AH6" s="145">
        <v>31</v>
      </c>
      <c r="AI6" s="145">
        <v>29</v>
      </c>
      <c r="AJ6" s="145">
        <v>31</v>
      </c>
      <c r="AK6" s="145">
        <v>30</v>
      </c>
      <c r="AL6" s="145">
        <v>31</v>
      </c>
      <c r="AM6" s="145">
        <v>30</v>
      </c>
    </row>
    <row r="7" spans="1:39" s="147" customFormat="1" ht="13.8">
      <c r="A7" s="142" t="str">
        <f t="shared" si="0"/>
        <v/>
      </c>
      <c r="B7" s="140" t="str">
        <f t="shared" ca="1" si="1"/>
        <v/>
      </c>
      <c r="C7" s="141" t="str">
        <f t="shared" si="2"/>
        <v/>
      </c>
      <c r="D7" s="141" t="str">
        <f t="shared" si="3"/>
        <v/>
      </c>
      <c r="E7" s="141" t="str">
        <f t="shared" si="4"/>
        <v/>
      </c>
      <c r="F7" s="141"/>
      <c r="G7" s="146"/>
      <c r="J7" s="145">
        <v>1</v>
      </c>
      <c r="K7" s="145">
        <v>1</v>
      </c>
      <c r="L7" s="145">
        <v>1</v>
      </c>
      <c r="M7" s="145">
        <v>1</v>
      </c>
      <c r="N7" s="145">
        <v>1</v>
      </c>
      <c r="O7" s="145">
        <v>1</v>
      </c>
      <c r="P7" s="145">
        <v>1</v>
      </c>
      <c r="Q7" s="145">
        <v>1</v>
      </c>
      <c r="R7" s="145">
        <v>1</v>
      </c>
      <c r="S7" s="145">
        <v>1</v>
      </c>
      <c r="T7" s="145">
        <v>1</v>
      </c>
      <c r="U7" s="145">
        <v>1</v>
      </c>
      <c r="V7" s="145">
        <v>1</v>
      </c>
      <c r="W7" s="145">
        <v>1</v>
      </c>
      <c r="X7" s="145">
        <v>1</v>
      </c>
      <c r="Y7" s="145">
        <v>1</v>
      </c>
      <c r="Z7" s="145">
        <v>1</v>
      </c>
      <c r="AA7" s="145">
        <v>1</v>
      </c>
      <c r="AB7" s="145">
        <v>1</v>
      </c>
      <c r="AC7" s="145">
        <v>1</v>
      </c>
      <c r="AD7" s="145">
        <v>1</v>
      </c>
      <c r="AE7" s="145">
        <v>1</v>
      </c>
      <c r="AF7" s="145">
        <v>1</v>
      </c>
      <c r="AG7" s="145">
        <v>1</v>
      </c>
      <c r="AH7" s="145">
        <v>1</v>
      </c>
      <c r="AI7" s="145">
        <v>1</v>
      </c>
      <c r="AJ7" s="145">
        <v>1</v>
      </c>
      <c r="AK7" s="145">
        <v>1</v>
      </c>
      <c r="AL7" s="145">
        <v>1</v>
      </c>
      <c r="AM7" s="145">
        <v>1</v>
      </c>
    </row>
    <row r="8" spans="1:39" ht="13.8">
      <c r="A8" s="142" t="str">
        <f t="shared" si="0"/>
        <v/>
      </c>
      <c r="B8" s="140" t="str">
        <f t="shared" ca="1" si="1"/>
        <v/>
      </c>
      <c r="C8" s="141" t="str">
        <f t="shared" si="2"/>
        <v/>
      </c>
      <c r="D8" s="141" t="str">
        <f t="shared" si="3"/>
        <v/>
      </c>
      <c r="E8" s="141" t="str">
        <f t="shared" si="4"/>
        <v/>
      </c>
      <c r="F8" s="141"/>
      <c r="H8" s="148"/>
      <c r="I8" s="132"/>
    </row>
    <row r="9" spans="1:39" ht="13.8">
      <c r="A9" s="142" t="str">
        <f t="shared" si="0"/>
        <v/>
      </c>
      <c r="B9" s="140" t="str">
        <f t="shared" ca="1" si="1"/>
        <v/>
      </c>
      <c r="C9" s="141" t="str">
        <f t="shared" si="2"/>
        <v/>
      </c>
      <c r="D9" s="141" t="str">
        <f t="shared" si="3"/>
        <v/>
      </c>
      <c r="E9" s="141" t="str">
        <f t="shared" si="4"/>
        <v/>
      </c>
      <c r="F9" s="141"/>
      <c r="G9" s="149"/>
      <c r="J9" s="150" t="s">
        <v>104</v>
      </c>
      <c r="K9" s="150" t="s">
        <v>105</v>
      </c>
      <c r="L9" s="150" t="s">
        <v>106</v>
      </c>
      <c r="M9" s="150" t="s">
        <v>107</v>
      </c>
      <c r="N9" s="150" t="s">
        <v>108</v>
      </c>
      <c r="O9" s="150" t="s">
        <v>109</v>
      </c>
      <c r="P9" s="150" t="s">
        <v>110</v>
      </c>
      <c r="Q9" s="150" t="s">
        <v>111</v>
      </c>
      <c r="R9" s="150" t="s">
        <v>112</v>
      </c>
      <c r="S9" s="150" t="s">
        <v>113</v>
      </c>
      <c r="T9" s="150" t="s">
        <v>114</v>
      </c>
      <c r="U9" s="150" t="s">
        <v>115</v>
      </c>
      <c r="V9" s="150" t="s">
        <v>116</v>
      </c>
      <c r="W9" s="150" t="s">
        <v>117</v>
      </c>
      <c r="X9" s="150" t="s">
        <v>118</v>
      </c>
      <c r="Y9" s="150" t="s">
        <v>119</v>
      </c>
      <c r="Z9" s="150" t="s">
        <v>120</v>
      </c>
      <c r="AA9" s="150" t="s">
        <v>121</v>
      </c>
      <c r="AB9" s="150" t="s">
        <v>122</v>
      </c>
      <c r="AC9" s="150" t="s">
        <v>123</v>
      </c>
      <c r="AD9" s="150" t="s">
        <v>124</v>
      </c>
      <c r="AE9" s="150" t="s">
        <v>125</v>
      </c>
      <c r="AF9" s="150" t="s">
        <v>126</v>
      </c>
      <c r="AG9" s="150" t="s">
        <v>127</v>
      </c>
      <c r="AH9" s="150" t="s">
        <v>128</v>
      </c>
      <c r="AI9" s="150" t="s">
        <v>129</v>
      </c>
      <c r="AJ9" s="150" t="s">
        <v>130</v>
      </c>
      <c r="AK9" s="150" t="s">
        <v>131</v>
      </c>
      <c r="AL9" s="150" t="s">
        <v>132</v>
      </c>
      <c r="AM9" s="150" t="s">
        <v>133</v>
      </c>
    </row>
    <row r="10" spans="1:39" ht="13.8" hidden="1">
      <c r="A10" s="142" t="str">
        <f t="shared" si="0"/>
        <v>GROUP</v>
      </c>
      <c r="B10" s="140" t="str">
        <f t="shared" ca="1" si="1"/>
        <v>-100</v>
      </c>
      <c r="C10" s="141" t="str">
        <f t="shared" si="2"/>
        <v/>
      </c>
      <c r="D10" s="141" t="str">
        <f t="shared" si="3"/>
        <v/>
      </c>
      <c r="E10" s="141" t="str">
        <f t="shared" si="4"/>
        <v>LICENSED BEDS</v>
      </c>
      <c r="F10" s="141"/>
      <c r="G10" s="151"/>
      <c r="H10" s="131" t="s">
        <v>134</v>
      </c>
      <c r="I10" s="131" t="s">
        <v>135</v>
      </c>
      <c r="J10" s="152">
        <v>101</v>
      </c>
      <c r="K10" s="152">
        <v>101</v>
      </c>
      <c r="L10" s="152">
        <v>101</v>
      </c>
      <c r="M10" s="152">
        <v>101</v>
      </c>
      <c r="N10" s="152">
        <v>101</v>
      </c>
      <c r="O10" s="152">
        <v>101</v>
      </c>
      <c r="P10" s="152">
        <v>101</v>
      </c>
      <c r="Q10" s="152">
        <v>101</v>
      </c>
      <c r="R10" s="152">
        <v>101</v>
      </c>
      <c r="S10" s="152">
        <v>101</v>
      </c>
      <c r="T10" s="152">
        <v>101</v>
      </c>
      <c r="U10" s="152">
        <v>101</v>
      </c>
      <c r="V10" s="152">
        <v>101</v>
      </c>
      <c r="W10" s="152">
        <v>101</v>
      </c>
      <c r="X10" s="152">
        <v>101</v>
      </c>
      <c r="Y10" s="152">
        <v>101</v>
      </c>
      <c r="Z10" s="152">
        <v>101</v>
      </c>
      <c r="AA10" s="152">
        <v>101</v>
      </c>
      <c r="AB10" s="152">
        <v>101</v>
      </c>
      <c r="AC10" s="152">
        <v>101</v>
      </c>
      <c r="AD10" s="152">
        <v>101</v>
      </c>
      <c r="AE10" s="152">
        <v>101</v>
      </c>
      <c r="AF10" s="152">
        <v>101</v>
      </c>
      <c r="AG10" s="152">
        <v>101</v>
      </c>
      <c r="AH10" s="152">
        <v>101</v>
      </c>
      <c r="AI10" s="152">
        <v>101</v>
      </c>
      <c r="AJ10" s="152">
        <v>101</v>
      </c>
      <c r="AK10" s="152">
        <v>101</v>
      </c>
      <c r="AL10" s="152">
        <v>101</v>
      </c>
      <c r="AM10" s="152">
        <v>101</v>
      </c>
    </row>
    <row r="11" spans="1:39" s="135" customFormat="1" ht="13.8">
      <c r="A11" s="142" t="str">
        <f t="shared" si="0"/>
        <v/>
      </c>
      <c r="B11" s="140" t="str">
        <f t="shared" ca="1" si="1"/>
        <v/>
      </c>
      <c r="C11" s="141" t="str">
        <f t="shared" si="2"/>
        <v/>
      </c>
      <c r="D11" s="141" t="str">
        <f t="shared" si="3"/>
        <v/>
      </c>
      <c r="E11" s="141" t="str">
        <f t="shared" si="4"/>
        <v/>
      </c>
      <c r="F11" s="141"/>
      <c r="G11" s="153"/>
      <c r="H11" s="154" t="s">
        <v>134</v>
      </c>
      <c r="I11" s="154"/>
      <c r="J11" s="135">
        <f t="shared" ref="J11:U11" si="5">+J10/J7</f>
        <v>101</v>
      </c>
      <c r="K11" s="135">
        <f t="shared" si="5"/>
        <v>101</v>
      </c>
      <c r="L11" s="135">
        <f t="shared" si="5"/>
        <v>101</v>
      </c>
      <c r="M11" s="135">
        <f t="shared" si="5"/>
        <v>101</v>
      </c>
      <c r="N11" s="135">
        <f t="shared" si="5"/>
        <v>101</v>
      </c>
      <c r="O11" s="135">
        <f t="shared" si="5"/>
        <v>101</v>
      </c>
      <c r="P11" s="135">
        <f t="shared" si="5"/>
        <v>101</v>
      </c>
      <c r="Q11" s="135">
        <f t="shared" si="5"/>
        <v>101</v>
      </c>
      <c r="R11" s="135">
        <f t="shared" si="5"/>
        <v>101</v>
      </c>
      <c r="S11" s="135">
        <f t="shared" si="5"/>
        <v>101</v>
      </c>
      <c r="T11" s="135">
        <f t="shared" si="5"/>
        <v>101</v>
      </c>
      <c r="U11" s="135">
        <f t="shared" si="5"/>
        <v>101</v>
      </c>
      <c r="V11" s="135">
        <f t="shared" ref="V11:AG11" si="6">+V10/V7</f>
        <v>101</v>
      </c>
      <c r="W11" s="135">
        <f t="shared" si="6"/>
        <v>101</v>
      </c>
      <c r="X11" s="135">
        <f t="shared" si="6"/>
        <v>101</v>
      </c>
      <c r="Y11" s="135">
        <f t="shared" si="6"/>
        <v>101</v>
      </c>
      <c r="Z11" s="135">
        <f t="shared" si="6"/>
        <v>101</v>
      </c>
      <c r="AA11" s="135">
        <f t="shared" si="6"/>
        <v>101</v>
      </c>
      <c r="AB11" s="135">
        <f t="shared" si="6"/>
        <v>101</v>
      </c>
      <c r="AC11" s="135">
        <f t="shared" si="6"/>
        <v>101</v>
      </c>
      <c r="AD11" s="135">
        <f t="shared" si="6"/>
        <v>101</v>
      </c>
      <c r="AE11" s="135">
        <f t="shared" si="6"/>
        <v>101</v>
      </c>
      <c r="AF11" s="135">
        <f t="shared" si="6"/>
        <v>101</v>
      </c>
      <c r="AG11" s="135">
        <f t="shared" si="6"/>
        <v>101</v>
      </c>
      <c r="AH11" s="135">
        <f t="shared" ref="AH11:AM11" si="7">+AH10/AH7</f>
        <v>101</v>
      </c>
      <c r="AI11" s="135">
        <f t="shared" si="7"/>
        <v>101</v>
      </c>
      <c r="AJ11" s="135">
        <f t="shared" si="7"/>
        <v>101</v>
      </c>
      <c r="AK11" s="135">
        <f t="shared" si="7"/>
        <v>101</v>
      </c>
      <c r="AL11" s="135">
        <f t="shared" si="7"/>
        <v>101</v>
      </c>
      <c r="AM11" s="135">
        <f t="shared" si="7"/>
        <v>101</v>
      </c>
    </row>
    <row r="12" spans="1:39" s="135" customFormat="1" ht="13.8">
      <c r="A12" s="142" t="str">
        <f t="shared" si="0"/>
        <v/>
      </c>
      <c r="B12" s="140" t="str">
        <f t="shared" ca="1" si="1"/>
        <v/>
      </c>
      <c r="C12" s="141" t="str">
        <f t="shared" si="2"/>
        <v/>
      </c>
      <c r="D12" s="141" t="str">
        <f t="shared" si="3"/>
        <v/>
      </c>
      <c r="E12" s="141" t="str">
        <f t="shared" si="4"/>
        <v/>
      </c>
      <c r="F12" s="141"/>
      <c r="G12" s="153"/>
      <c r="H12" s="154" t="s">
        <v>136</v>
      </c>
      <c r="I12" s="154" t="s">
        <v>137</v>
      </c>
      <c r="J12" s="135">
        <v>94</v>
      </c>
      <c r="K12" s="135">
        <v>94</v>
      </c>
      <c r="L12" s="135">
        <v>94</v>
      </c>
      <c r="M12" s="135">
        <v>94</v>
      </c>
      <c r="N12" s="135">
        <v>84</v>
      </c>
      <c r="O12" s="135">
        <v>84</v>
      </c>
      <c r="P12" s="135">
        <v>84</v>
      </c>
      <c r="Q12" s="135">
        <v>84</v>
      </c>
      <c r="R12" s="135">
        <v>84</v>
      </c>
      <c r="S12" s="135">
        <v>84</v>
      </c>
      <c r="T12" s="135">
        <v>84</v>
      </c>
      <c r="U12" s="135">
        <v>84</v>
      </c>
      <c r="V12" s="135">
        <v>84</v>
      </c>
      <c r="W12" s="135">
        <v>89</v>
      </c>
      <c r="X12" s="135">
        <v>89</v>
      </c>
      <c r="Y12" s="135">
        <v>89</v>
      </c>
      <c r="Z12" s="135">
        <v>89</v>
      </c>
      <c r="AA12" s="135">
        <v>89</v>
      </c>
      <c r="AB12" s="135">
        <v>89</v>
      </c>
      <c r="AC12" s="135">
        <v>85</v>
      </c>
      <c r="AD12" s="135">
        <v>85</v>
      </c>
      <c r="AE12" s="135">
        <v>85</v>
      </c>
      <c r="AF12" s="135">
        <v>85</v>
      </c>
      <c r="AG12" s="135">
        <v>85</v>
      </c>
      <c r="AH12" s="135">
        <v>85</v>
      </c>
      <c r="AI12" s="135">
        <v>85</v>
      </c>
      <c r="AJ12" s="135">
        <v>85</v>
      </c>
      <c r="AK12" s="135">
        <v>85</v>
      </c>
      <c r="AL12" s="135">
        <v>85</v>
      </c>
      <c r="AM12" s="135">
        <v>85</v>
      </c>
    </row>
    <row r="13" spans="1:39" s="135" customFormat="1" ht="13.8">
      <c r="A13" s="142" t="str">
        <f t="shared" si="0"/>
        <v/>
      </c>
      <c r="B13" s="140" t="str">
        <f t="shared" ca="1" si="1"/>
        <v/>
      </c>
      <c r="C13" s="141" t="str">
        <f t="shared" si="2"/>
        <v/>
      </c>
      <c r="D13" s="141" t="str">
        <f t="shared" si="3"/>
        <v/>
      </c>
      <c r="E13" s="141" t="str">
        <f t="shared" si="4"/>
        <v/>
      </c>
      <c r="F13" s="141"/>
      <c r="G13" s="153"/>
      <c r="H13" s="154" t="s">
        <v>136</v>
      </c>
      <c r="I13" s="154"/>
      <c r="J13" s="135">
        <f t="shared" ref="J13:U13" si="8">+J12/J7</f>
        <v>94</v>
      </c>
      <c r="K13" s="135">
        <f t="shared" si="8"/>
        <v>94</v>
      </c>
      <c r="L13" s="135">
        <f t="shared" si="8"/>
        <v>94</v>
      </c>
      <c r="M13" s="135">
        <f t="shared" si="8"/>
        <v>94</v>
      </c>
      <c r="N13" s="135">
        <f t="shared" si="8"/>
        <v>84</v>
      </c>
      <c r="O13" s="135">
        <f t="shared" si="8"/>
        <v>84</v>
      </c>
      <c r="P13" s="135">
        <f t="shared" si="8"/>
        <v>84</v>
      </c>
      <c r="Q13" s="135">
        <f t="shared" si="8"/>
        <v>84</v>
      </c>
      <c r="R13" s="135">
        <f t="shared" si="8"/>
        <v>84</v>
      </c>
      <c r="S13" s="135">
        <f t="shared" si="8"/>
        <v>84</v>
      </c>
      <c r="T13" s="135">
        <f t="shared" si="8"/>
        <v>84</v>
      </c>
      <c r="U13" s="135">
        <f t="shared" si="8"/>
        <v>84</v>
      </c>
      <c r="V13" s="135">
        <f t="shared" ref="V13:AG13" si="9">+V12/V7</f>
        <v>84</v>
      </c>
      <c r="W13" s="135">
        <f t="shared" si="9"/>
        <v>89</v>
      </c>
      <c r="X13" s="135">
        <f t="shared" si="9"/>
        <v>89</v>
      </c>
      <c r="Y13" s="135">
        <f t="shared" si="9"/>
        <v>89</v>
      </c>
      <c r="Z13" s="135">
        <f t="shared" si="9"/>
        <v>89</v>
      </c>
      <c r="AA13" s="135">
        <f t="shared" si="9"/>
        <v>89</v>
      </c>
      <c r="AB13" s="135">
        <f t="shared" si="9"/>
        <v>89</v>
      </c>
      <c r="AC13" s="135">
        <f t="shared" si="9"/>
        <v>85</v>
      </c>
      <c r="AD13" s="135">
        <f t="shared" si="9"/>
        <v>85</v>
      </c>
      <c r="AE13" s="135">
        <f t="shared" si="9"/>
        <v>85</v>
      </c>
      <c r="AF13" s="135">
        <f t="shared" si="9"/>
        <v>85</v>
      </c>
      <c r="AG13" s="135">
        <f t="shared" si="9"/>
        <v>85</v>
      </c>
      <c r="AH13" s="135">
        <f t="shared" ref="AH13:AM13" si="10">+AH12/AH7</f>
        <v>85</v>
      </c>
      <c r="AI13" s="135">
        <f t="shared" si="10"/>
        <v>85</v>
      </c>
      <c r="AJ13" s="135">
        <f t="shared" si="10"/>
        <v>85</v>
      </c>
      <c r="AK13" s="135">
        <f t="shared" si="10"/>
        <v>85</v>
      </c>
      <c r="AL13" s="135">
        <f t="shared" si="10"/>
        <v>85</v>
      </c>
      <c r="AM13" s="135">
        <f t="shared" si="10"/>
        <v>85</v>
      </c>
    </row>
    <row r="14" spans="1:39" s="135" customFormat="1" ht="13.8">
      <c r="A14" s="142" t="str">
        <f t="shared" si="0"/>
        <v/>
      </c>
      <c r="B14" s="140" t="str">
        <f t="shared" ca="1" si="1"/>
        <v/>
      </c>
      <c r="C14" s="141" t="str">
        <f t="shared" si="2"/>
        <v/>
      </c>
      <c r="D14" s="141" t="str">
        <f t="shared" si="3"/>
        <v/>
      </c>
      <c r="E14" s="141" t="str">
        <f t="shared" si="4"/>
        <v/>
      </c>
      <c r="F14" s="141"/>
      <c r="G14" s="155"/>
      <c r="H14" s="154" t="s">
        <v>138</v>
      </c>
      <c r="I14" s="154"/>
      <c r="J14" s="156">
        <f t="shared" ref="J14:U14" si="11">IF(J13=0,0,+J21/J13)</f>
        <v>0.79375428963623884</v>
      </c>
      <c r="K14" s="156">
        <f t="shared" si="11"/>
        <v>0.8271276595744681</v>
      </c>
      <c r="L14" s="156">
        <f t="shared" si="11"/>
        <v>0.77487989018531234</v>
      </c>
      <c r="M14" s="156">
        <f t="shared" si="11"/>
        <v>0.79397163120567382</v>
      </c>
      <c r="N14" s="156">
        <f t="shared" si="11"/>
        <v>0.89900153609831024</v>
      </c>
      <c r="O14" s="156">
        <f t="shared" si="11"/>
        <v>0.85992063492063497</v>
      </c>
      <c r="P14" s="156">
        <f t="shared" si="11"/>
        <v>0.83141321044546856</v>
      </c>
      <c r="Q14" s="156">
        <f t="shared" si="11"/>
        <v>0.8552227342549924</v>
      </c>
      <c r="R14" s="156">
        <f t="shared" si="11"/>
        <v>0.80753968253968245</v>
      </c>
      <c r="S14" s="156">
        <f t="shared" si="11"/>
        <v>0.73425499231950853</v>
      </c>
      <c r="T14" s="156">
        <f t="shared" si="11"/>
        <v>0.78412698412698401</v>
      </c>
      <c r="U14" s="156">
        <f t="shared" si="11"/>
        <v>0.7749615975422427</v>
      </c>
      <c r="V14" s="156">
        <f t="shared" ref="V14:AG14" si="12">IF(V13=0,0,+V21/V13)</f>
        <v>0.71159754224270355</v>
      </c>
      <c r="W14" s="156">
        <f t="shared" si="12"/>
        <v>0.6095505617977528</v>
      </c>
      <c r="X14" s="156">
        <f t="shared" si="12"/>
        <v>0.59695541862993839</v>
      </c>
      <c r="Y14" s="156">
        <f t="shared" si="12"/>
        <v>0.62059925093632962</v>
      </c>
      <c r="Z14" s="156">
        <f t="shared" si="12"/>
        <v>0.59623051830373319</v>
      </c>
      <c r="AA14" s="156">
        <f t="shared" si="12"/>
        <v>0.59250936329588011</v>
      </c>
      <c r="AB14" s="156">
        <f t="shared" si="12"/>
        <v>0.56940920623414282</v>
      </c>
      <c r="AC14" s="156">
        <f t="shared" si="12"/>
        <v>0.61100569259962056</v>
      </c>
      <c r="AD14" s="156">
        <f t="shared" si="12"/>
        <v>0.58352941176470585</v>
      </c>
      <c r="AE14" s="156">
        <f t="shared" si="12"/>
        <v>0.54876660341555983</v>
      </c>
      <c r="AF14" s="156">
        <f t="shared" si="12"/>
        <v>0.57176470588235295</v>
      </c>
      <c r="AG14" s="156">
        <f t="shared" si="12"/>
        <v>0.60834914611005697</v>
      </c>
      <c r="AH14" s="156">
        <f t="shared" ref="AH14:AM14" si="13">IF(AH13=0,0,+AH21/AH13)</f>
        <v>0.65958254269449712</v>
      </c>
      <c r="AI14" s="156">
        <f t="shared" si="13"/>
        <v>0.69858012170385397</v>
      </c>
      <c r="AJ14" s="156">
        <f t="shared" si="13"/>
        <v>0.68804554079696401</v>
      </c>
      <c r="AK14" s="156">
        <f t="shared" si="13"/>
        <v>0.65176470588235291</v>
      </c>
      <c r="AL14" s="156">
        <f t="shared" si="13"/>
        <v>0.64933586337760918</v>
      </c>
      <c r="AM14" s="156">
        <f t="shared" si="13"/>
        <v>0.67450980392156867</v>
      </c>
    </row>
    <row r="15" spans="1:39" ht="13.8">
      <c r="A15" s="142"/>
      <c r="B15" s="140"/>
      <c r="C15" s="141"/>
      <c r="D15" s="141"/>
      <c r="E15" s="141"/>
      <c r="F15" s="141"/>
      <c r="G15" s="149"/>
      <c r="J15" s="150"/>
      <c r="K15" s="150"/>
      <c r="L15" s="150"/>
      <c r="M15" s="150"/>
      <c r="N15" s="150"/>
      <c r="O15" s="150"/>
      <c r="P15" s="150"/>
      <c r="Q15" s="150"/>
      <c r="R15" s="150"/>
      <c r="S15" s="150"/>
      <c r="T15" s="150"/>
      <c r="U15" s="150"/>
      <c r="V15" s="150"/>
      <c r="W15" s="150"/>
      <c r="X15" s="150"/>
      <c r="Y15" s="150"/>
      <c r="Z15" s="150"/>
      <c r="AA15" s="150"/>
      <c r="AB15" s="150"/>
      <c r="AC15" s="150"/>
      <c r="AD15" s="150"/>
      <c r="AE15" s="150"/>
      <c r="AF15" s="150"/>
      <c r="AG15" s="150"/>
      <c r="AH15" s="150"/>
      <c r="AI15" s="150"/>
      <c r="AJ15" s="150"/>
      <c r="AK15" s="150"/>
      <c r="AL15" s="150"/>
      <c r="AM15" s="150"/>
    </row>
    <row r="16" spans="1:39" s="135" customFormat="1" ht="13.8">
      <c r="A16" s="142"/>
      <c r="B16" s="140"/>
      <c r="C16" s="141"/>
      <c r="D16" s="141"/>
      <c r="E16" s="141"/>
      <c r="F16" s="141"/>
      <c r="G16" s="157"/>
      <c r="H16" s="154" t="s">
        <v>139</v>
      </c>
      <c r="I16" s="154"/>
      <c r="J16" s="158">
        <f t="shared" ref="J16:AM16" si="14">+J24/J$6</f>
        <v>7.225806451612903</v>
      </c>
      <c r="K16" s="158">
        <f t="shared" si="14"/>
        <v>8.9642857142857135</v>
      </c>
      <c r="L16" s="158">
        <f t="shared" si="14"/>
        <v>8.193548387096774</v>
      </c>
      <c r="M16" s="158">
        <f t="shared" si="14"/>
        <v>12.2</v>
      </c>
      <c r="N16" s="158">
        <f t="shared" si="14"/>
        <v>8.258064516129032</v>
      </c>
      <c r="O16" s="158">
        <f t="shared" si="14"/>
        <v>8.8333333333333339</v>
      </c>
      <c r="P16" s="158">
        <f t="shared" si="14"/>
        <v>11.193548387096774</v>
      </c>
      <c r="Q16" s="158">
        <f t="shared" si="14"/>
        <v>9</v>
      </c>
      <c r="R16" s="158">
        <f t="shared" si="14"/>
        <v>11.1</v>
      </c>
      <c r="S16" s="158">
        <f t="shared" si="14"/>
        <v>9.5806451612903221</v>
      </c>
      <c r="T16" s="158">
        <f t="shared" si="14"/>
        <v>8.1</v>
      </c>
      <c r="U16" s="158">
        <f t="shared" si="14"/>
        <v>8.4838709677419359</v>
      </c>
      <c r="V16" s="158">
        <f t="shared" si="14"/>
        <v>7.870967741935484</v>
      </c>
      <c r="W16" s="158">
        <f t="shared" si="14"/>
        <v>7</v>
      </c>
      <c r="X16" s="158">
        <f t="shared" si="14"/>
        <v>7.064516129032258</v>
      </c>
      <c r="Y16" s="158">
        <f t="shared" si="14"/>
        <v>7.1</v>
      </c>
      <c r="Z16" s="158">
        <f t="shared" si="14"/>
        <v>8</v>
      </c>
      <c r="AA16" s="158">
        <f t="shared" si="14"/>
        <v>8.4</v>
      </c>
      <c r="AB16" s="158">
        <f t="shared" si="14"/>
        <v>9.4193548387096779</v>
      </c>
      <c r="AC16" s="158">
        <f t="shared" si="14"/>
        <v>9.2258064516129039</v>
      </c>
      <c r="AD16" s="158">
        <f t="shared" si="14"/>
        <v>10</v>
      </c>
      <c r="AE16" s="158">
        <f t="shared" si="14"/>
        <v>9</v>
      </c>
      <c r="AF16" s="158">
        <f t="shared" si="14"/>
        <v>9.0333333333333332</v>
      </c>
      <c r="AG16" s="158">
        <f t="shared" si="14"/>
        <v>12.741935483870968</v>
      </c>
      <c r="AH16" s="158">
        <f t="shared" si="14"/>
        <v>9.8387096774193541</v>
      </c>
      <c r="AI16" s="158">
        <f t="shared" si="14"/>
        <v>10.310344827586206</v>
      </c>
      <c r="AJ16" s="158">
        <f t="shared" si="14"/>
        <v>9.7096774193548381</v>
      </c>
      <c r="AK16" s="158">
        <f t="shared" si="14"/>
        <v>10.199999999999999</v>
      </c>
      <c r="AL16" s="158">
        <f t="shared" si="14"/>
        <v>5.645161290322581</v>
      </c>
      <c r="AM16" s="158">
        <f t="shared" si="14"/>
        <v>9.3666666666666671</v>
      </c>
    </row>
    <row r="17" spans="1:39" s="135" customFormat="1" ht="13.8">
      <c r="A17" s="142" t="str">
        <f t="shared" si="0"/>
        <v/>
      </c>
      <c r="B17" s="140" t="str">
        <f t="shared" ca="1" si="1"/>
        <v/>
      </c>
      <c r="C17" s="141" t="str">
        <f t="shared" si="2"/>
        <v/>
      </c>
      <c r="D17" s="141" t="str">
        <f t="shared" si="3"/>
        <v/>
      </c>
      <c r="E17" s="141" t="str">
        <f t="shared" si="4"/>
        <v/>
      </c>
      <c r="F17" s="141"/>
      <c r="G17" s="157"/>
      <c r="H17" s="154" t="s">
        <v>29</v>
      </c>
      <c r="I17" s="154"/>
      <c r="J17" s="158">
        <f t="shared" ref="J17:AM17" si="15">+J25/J$6</f>
        <v>10.096774193548388</v>
      </c>
      <c r="K17" s="158">
        <f t="shared" si="15"/>
        <v>10.035714285714286</v>
      </c>
      <c r="L17" s="158">
        <f t="shared" si="15"/>
        <v>9.0967741935483879</v>
      </c>
      <c r="M17" s="158">
        <f t="shared" si="15"/>
        <v>10.933333333333334</v>
      </c>
      <c r="N17" s="158">
        <f t="shared" si="15"/>
        <v>10.806451612903226</v>
      </c>
      <c r="O17" s="158">
        <f t="shared" si="15"/>
        <v>9.1</v>
      </c>
      <c r="P17" s="158">
        <f t="shared" si="15"/>
        <v>8.5161290322580641</v>
      </c>
      <c r="Q17" s="158">
        <f t="shared" si="15"/>
        <v>6.612903225806452</v>
      </c>
      <c r="R17" s="158">
        <f t="shared" si="15"/>
        <v>3.0333333333333332</v>
      </c>
      <c r="S17" s="158">
        <f t="shared" si="15"/>
        <v>2.032258064516129</v>
      </c>
      <c r="T17" s="158">
        <f t="shared" si="15"/>
        <v>3.1666666666666665</v>
      </c>
      <c r="U17" s="158">
        <f t="shared" si="15"/>
        <v>5</v>
      </c>
      <c r="V17" s="158">
        <f t="shared" si="15"/>
        <v>4.258064516129032</v>
      </c>
      <c r="W17" s="158">
        <f t="shared" si="15"/>
        <v>3.9642857142857144</v>
      </c>
      <c r="X17" s="158">
        <f t="shared" si="15"/>
        <v>4.5161290322580649</v>
      </c>
      <c r="Y17" s="158">
        <f t="shared" si="15"/>
        <v>4.3666666666666663</v>
      </c>
      <c r="Z17" s="158">
        <f t="shared" si="15"/>
        <v>1.935483870967742</v>
      </c>
      <c r="AA17" s="158">
        <f t="shared" si="15"/>
        <v>0.9</v>
      </c>
      <c r="AB17" s="158">
        <f t="shared" si="15"/>
        <v>1.096774193548387</v>
      </c>
      <c r="AC17" s="158">
        <f t="shared" si="15"/>
        <v>2.5806451612903225</v>
      </c>
      <c r="AD17" s="158">
        <f t="shared" si="15"/>
        <v>2.7666666666666666</v>
      </c>
      <c r="AE17" s="158">
        <f t="shared" si="15"/>
        <v>3.2580645161290325</v>
      </c>
      <c r="AF17" s="158">
        <f t="shared" si="15"/>
        <v>4.333333333333333</v>
      </c>
      <c r="AG17" s="158">
        <f t="shared" si="15"/>
        <v>5.580645161290323</v>
      </c>
      <c r="AH17" s="158">
        <f t="shared" si="15"/>
        <v>8.3548387096774199</v>
      </c>
      <c r="AI17" s="158">
        <f t="shared" si="15"/>
        <v>8.068965517241379</v>
      </c>
      <c r="AJ17" s="158">
        <f t="shared" si="15"/>
        <v>8.258064516129032</v>
      </c>
      <c r="AK17" s="158">
        <f t="shared" si="15"/>
        <v>6.3666666666666663</v>
      </c>
      <c r="AL17" s="158">
        <f t="shared" si="15"/>
        <v>7.612903225806452</v>
      </c>
      <c r="AM17" s="158">
        <f t="shared" si="15"/>
        <v>8.1999999999999993</v>
      </c>
    </row>
    <row r="18" spans="1:39" s="135" customFormat="1" ht="13.8">
      <c r="A18" s="142" t="str">
        <f t="shared" si="0"/>
        <v/>
      </c>
      <c r="B18" s="140" t="str">
        <f t="shared" ca="1" si="1"/>
        <v/>
      </c>
      <c r="C18" s="141" t="str">
        <f t="shared" si="2"/>
        <v/>
      </c>
      <c r="D18" s="141" t="str">
        <f t="shared" si="3"/>
        <v/>
      </c>
      <c r="E18" s="141" t="str">
        <f t="shared" si="4"/>
        <v/>
      </c>
      <c r="F18" s="141"/>
      <c r="G18" s="157"/>
      <c r="H18" s="154" t="s">
        <v>28</v>
      </c>
      <c r="I18" s="154"/>
      <c r="J18" s="158">
        <f t="shared" ref="J18:AM18" si="16">+J26/J$6</f>
        <v>48.12903225806452</v>
      </c>
      <c r="K18" s="158">
        <f t="shared" si="16"/>
        <v>52.535714285714285</v>
      </c>
      <c r="L18" s="158">
        <f t="shared" si="16"/>
        <v>51</v>
      </c>
      <c r="M18" s="158">
        <f t="shared" si="16"/>
        <v>45.56666666666667</v>
      </c>
      <c r="N18" s="158">
        <f t="shared" si="16"/>
        <v>49.483870967741936</v>
      </c>
      <c r="O18" s="158">
        <f t="shared" si="16"/>
        <v>48.466666666666669</v>
      </c>
      <c r="P18" s="158">
        <f t="shared" si="16"/>
        <v>45.70967741935484</v>
      </c>
      <c r="Q18" s="158">
        <f t="shared" si="16"/>
        <v>51.548387096774192</v>
      </c>
      <c r="R18" s="158">
        <f t="shared" si="16"/>
        <v>48.133333333333333</v>
      </c>
      <c r="S18" s="158">
        <f t="shared" si="16"/>
        <v>44.967741935483872</v>
      </c>
      <c r="T18" s="158">
        <f t="shared" si="16"/>
        <v>48.766666666666666</v>
      </c>
      <c r="U18" s="158">
        <f t="shared" si="16"/>
        <v>46.193548387096776</v>
      </c>
      <c r="V18" s="158">
        <f t="shared" si="16"/>
        <v>42.806451612903224</v>
      </c>
      <c r="W18" s="158">
        <f t="shared" si="16"/>
        <v>40.642857142857146</v>
      </c>
      <c r="X18" s="158">
        <f t="shared" si="16"/>
        <v>39.225806451612904</v>
      </c>
      <c r="Y18" s="158">
        <f t="shared" si="16"/>
        <v>40.200000000000003</v>
      </c>
      <c r="Z18" s="158">
        <f t="shared" si="16"/>
        <v>39.193548387096776</v>
      </c>
      <c r="AA18" s="158">
        <f t="shared" si="16"/>
        <v>39.5</v>
      </c>
      <c r="AB18" s="158">
        <f t="shared" si="16"/>
        <v>36.806451612903224</v>
      </c>
      <c r="AC18" s="158">
        <f t="shared" si="16"/>
        <v>36.12903225806452</v>
      </c>
      <c r="AD18" s="158">
        <f t="shared" si="16"/>
        <v>34.266666666666666</v>
      </c>
      <c r="AE18" s="158">
        <f t="shared" si="16"/>
        <v>31.967741935483872</v>
      </c>
      <c r="AF18" s="158">
        <f t="shared" si="16"/>
        <v>31.4</v>
      </c>
      <c r="AG18" s="158">
        <f t="shared" si="16"/>
        <v>29.032258064516128</v>
      </c>
      <c r="AH18" s="158">
        <f t="shared" si="16"/>
        <v>33.161290322580648</v>
      </c>
      <c r="AI18" s="158">
        <f t="shared" si="16"/>
        <v>35.758620689655174</v>
      </c>
      <c r="AJ18" s="158">
        <f t="shared" si="16"/>
        <v>36.87096774193548</v>
      </c>
      <c r="AK18" s="158">
        <f t="shared" si="16"/>
        <v>32.966666666666669</v>
      </c>
      <c r="AL18" s="158">
        <f t="shared" si="16"/>
        <v>36.903225806451616</v>
      </c>
      <c r="AM18" s="158">
        <f t="shared" si="16"/>
        <v>34.633333333333333</v>
      </c>
    </row>
    <row r="19" spans="1:39" s="135" customFormat="1" ht="13.8">
      <c r="A19" s="142" t="str">
        <f t="shared" si="0"/>
        <v/>
      </c>
      <c r="B19" s="140" t="str">
        <f t="shared" ca="1" si="1"/>
        <v/>
      </c>
      <c r="C19" s="141" t="str">
        <f t="shared" si="2"/>
        <v/>
      </c>
      <c r="D19" s="141" t="str">
        <f t="shared" si="3"/>
        <v/>
      </c>
      <c r="E19" s="141" t="str">
        <f t="shared" si="4"/>
        <v/>
      </c>
      <c r="F19" s="141"/>
      <c r="G19" s="157"/>
      <c r="H19" s="154" t="s">
        <v>27</v>
      </c>
      <c r="I19" s="154"/>
      <c r="J19" s="158">
        <f t="shared" ref="J19:AM19" si="17">+J27/J$6</f>
        <v>5.709677419354839</v>
      </c>
      <c r="K19" s="158">
        <f t="shared" si="17"/>
        <v>4.9285714285714288</v>
      </c>
      <c r="L19" s="158">
        <f t="shared" si="17"/>
        <v>4.419354838709677</v>
      </c>
      <c r="M19" s="158">
        <f t="shared" si="17"/>
        <v>4.9000000000000004</v>
      </c>
      <c r="N19" s="158">
        <f t="shared" si="17"/>
        <v>4.935483870967742</v>
      </c>
      <c r="O19" s="158">
        <f t="shared" si="17"/>
        <v>5</v>
      </c>
      <c r="P19" s="158">
        <f t="shared" si="17"/>
        <v>4.225806451612903</v>
      </c>
      <c r="Q19" s="158">
        <f t="shared" si="17"/>
        <v>3.2903225806451615</v>
      </c>
      <c r="R19" s="158">
        <f t="shared" si="17"/>
        <v>5.4666666666666668</v>
      </c>
      <c r="S19" s="158">
        <f t="shared" si="17"/>
        <v>5.096774193548387</v>
      </c>
      <c r="T19" s="158">
        <f t="shared" si="17"/>
        <v>4.9000000000000004</v>
      </c>
      <c r="U19" s="158">
        <f t="shared" si="17"/>
        <v>5.387096774193548</v>
      </c>
      <c r="V19" s="158">
        <f t="shared" si="17"/>
        <v>4.838709677419355</v>
      </c>
      <c r="W19" s="158">
        <f t="shared" si="17"/>
        <v>2.6428571428571428</v>
      </c>
      <c r="X19" s="158">
        <f t="shared" si="17"/>
        <v>2.032258064516129</v>
      </c>
      <c r="Y19" s="158">
        <f t="shared" si="17"/>
        <v>2.5666666666666669</v>
      </c>
      <c r="Z19" s="158">
        <f t="shared" si="17"/>
        <v>2.774193548387097</v>
      </c>
      <c r="AA19" s="158">
        <f t="shared" si="17"/>
        <v>3.3666666666666667</v>
      </c>
      <c r="AB19" s="158">
        <f t="shared" si="17"/>
        <v>3</v>
      </c>
      <c r="AC19" s="158">
        <f t="shared" si="17"/>
        <v>3</v>
      </c>
      <c r="AD19" s="158">
        <f t="shared" si="17"/>
        <v>2.5666666666666669</v>
      </c>
      <c r="AE19" s="158">
        <f t="shared" si="17"/>
        <v>2.4193548387096775</v>
      </c>
      <c r="AF19" s="158">
        <f t="shared" si="17"/>
        <v>3.8333333333333335</v>
      </c>
      <c r="AG19" s="158">
        <f t="shared" si="17"/>
        <v>4.354838709677419</v>
      </c>
      <c r="AH19" s="158">
        <f t="shared" si="17"/>
        <v>4.709677419354839</v>
      </c>
      <c r="AI19" s="158">
        <f t="shared" si="17"/>
        <v>4.3103448275862073</v>
      </c>
      <c r="AJ19" s="158">
        <f t="shared" si="17"/>
        <v>3.2903225806451615</v>
      </c>
      <c r="AK19" s="158">
        <f t="shared" si="17"/>
        <v>5.7666666666666666</v>
      </c>
      <c r="AL19" s="158">
        <f t="shared" si="17"/>
        <v>4.774193548387097</v>
      </c>
      <c r="AM19" s="158">
        <f t="shared" si="17"/>
        <v>4.2333333333333334</v>
      </c>
    </row>
    <row r="20" spans="1:39" s="135" customFormat="1" ht="13.8">
      <c r="A20" s="142" t="str">
        <f t="shared" si="0"/>
        <v/>
      </c>
      <c r="B20" s="140" t="str">
        <f t="shared" ca="1" si="1"/>
        <v/>
      </c>
      <c r="C20" s="141" t="str">
        <f t="shared" si="2"/>
        <v/>
      </c>
      <c r="D20" s="141" t="str">
        <f t="shared" si="3"/>
        <v/>
      </c>
      <c r="E20" s="141" t="str">
        <f t="shared" si="4"/>
        <v/>
      </c>
      <c r="F20" s="141"/>
      <c r="G20" s="157"/>
      <c r="H20" s="154" t="s">
        <v>11</v>
      </c>
      <c r="I20" s="154"/>
      <c r="J20" s="159">
        <f t="shared" ref="J20:AM20" si="18">+J28/J$6</f>
        <v>3.4516129032258065</v>
      </c>
      <c r="K20" s="159">
        <f t="shared" si="18"/>
        <v>1.2857142857142858</v>
      </c>
      <c r="L20" s="159">
        <f t="shared" si="18"/>
        <v>0.12903225806451613</v>
      </c>
      <c r="M20" s="159">
        <f t="shared" si="18"/>
        <v>1.0333333333333334</v>
      </c>
      <c r="N20" s="159">
        <f t="shared" si="18"/>
        <v>2.032258064516129</v>
      </c>
      <c r="O20" s="159">
        <f t="shared" si="18"/>
        <v>0.83333333333333337</v>
      </c>
      <c r="P20" s="159">
        <f t="shared" si="18"/>
        <v>0.19354838709677419</v>
      </c>
      <c r="Q20" s="159">
        <f t="shared" si="18"/>
        <v>1.3870967741935485</v>
      </c>
      <c r="R20" s="159">
        <f t="shared" si="18"/>
        <v>0.1</v>
      </c>
      <c r="S20" s="159">
        <f t="shared" si="18"/>
        <v>0</v>
      </c>
      <c r="T20" s="159">
        <f t="shared" si="18"/>
        <v>0.93333333333333335</v>
      </c>
      <c r="U20" s="159">
        <f t="shared" si="18"/>
        <v>3.2258064516129031E-2</v>
      </c>
      <c r="V20" s="159">
        <f t="shared" si="18"/>
        <v>0</v>
      </c>
      <c r="W20" s="159">
        <f t="shared" si="18"/>
        <v>0</v>
      </c>
      <c r="X20" s="159">
        <f t="shared" si="18"/>
        <v>0.29032258064516131</v>
      </c>
      <c r="Y20" s="159">
        <f t="shared" si="18"/>
        <v>1</v>
      </c>
      <c r="Z20" s="159">
        <f t="shared" si="18"/>
        <v>1.1612903225806452</v>
      </c>
      <c r="AA20" s="159">
        <f t="shared" si="18"/>
        <v>0.56666666666666665</v>
      </c>
      <c r="AB20" s="159">
        <f t="shared" si="18"/>
        <v>0.35483870967741937</v>
      </c>
      <c r="AC20" s="159">
        <f t="shared" si="18"/>
        <v>1</v>
      </c>
      <c r="AD20" s="159">
        <f t="shared" si="18"/>
        <v>0</v>
      </c>
      <c r="AE20" s="159">
        <f t="shared" si="18"/>
        <v>0</v>
      </c>
      <c r="AF20" s="159">
        <f t="shared" si="18"/>
        <v>0</v>
      </c>
      <c r="AG20" s="159">
        <f t="shared" si="18"/>
        <v>0</v>
      </c>
      <c r="AH20" s="159">
        <f t="shared" si="18"/>
        <v>0</v>
      </c>
      <c r="AI20" s="159">
        <f t="shared" si="18"/>
        <v>0.93103448275862066</v>
      </c>
      <c r="AJ20" s="159">
        <f t="shared" si="18"/>
        <v>0.35483870967741937</v>
      </c>
      <c r="AK20" s="159">
        <f t="shared" si="18"/>
        <v>0.1</v>
      </c>
      <c r="AL20" s="159">
        <f t="shared" si="18"/>
        <v>0.25806451612903225</v>
      </c>
      <c r="AM20" s="159">
        <f t="shared" si="18"/>
        <v>0.9</v>
      </c>
    </row>
    <row r="21" spans="1:39" s="164" customFormat="1" ht="13.8">
      <c r="A21" s="142" t="str">
        <f t="shared" ref="A21" si="19">IF(AND(LEN(H21)&gt;0,LEN(H20)=0,LEFT(H21,3)&lt;&gt;"TOT"),"GROUP","")</f>
        <v/>
      </c>
      <c r="B21" s="140" t="str">
        <f t="shared" ref="B21" ca="1" si="20">IF(LEN(A21)=0,"",IFERROR(VLOOKUP(C21,INDIRECT(A21&amp;"_LOOKUP"),2,FALSE),"-100"))</f>
        <v/>
      </c>
      <c r="C21" s="141" t="str">
        <f t="shared" ref="C21" si="21">IF(LEN(D21)&gt;0,TRIM(E21&amp;" "&amp;D21),"")</f>
        <v/>
      </c>
      <c r="D21" s="141" t="str">
        <f t="shared" ref="D21" si="22">IFERROR(IF(AND(LEN(A21)&gt;0,A21&lt;&gt;"GROUP"),UPPER(H21),""),"")</f>
        <v/>
      </c>
      <c r="E21" s="141" t="str">
        <f t="shared" ref="E21" si="23">IFERROR(IF(A21="GROUP",UPPER(H21),IF(AND(LEN(A21)&gt;0,A21&lt;&gt;"GROUP"),UPPER(E20),"")),"")</f>
        <v/>
      </c>
      <c r="F21" s="141" t="str">
        <f>TRIM(I21)</f>
        <v/>
      </c>
      <c r="G21" s="160"/>
      <c r="H21" s="161" t="s">
        <v>140</v>
      </c>
      <c r="I21" s="162"/>
      <c r="J21" s="163">
        <f t="shared" ref="J21:AM21" si="24">+J29/J$6</f>
        <v>74.612903225806448</v>
      </c>
      <c r="K21" s="163">
        <f t="shared" si="24"/>
        <v>77.75</v>
      </c>
      <c r="L21" s="163">
        <f t="shared" si="24"/>
        <v>72.838709677419359</v>
      </c>
      <c r="M21" s="163">
        <f t="shared" si="24"/>
        <v>74.63333333333334</v>
      </c>
      <c r="N21" s="163">
        <f t="shared" si="24"/>
        <v>75.516129032258064</v>
      </c>
      <c r="O21" s="163">
        <f t="shared" si="24"/>
        <v>72.233333333333334</v>
      </c>
      <c r="P21" s="163">
        <f t="shared" si="24"/>
        <v>69.838709677419359</v>
      </c>
      <c r="Q21" s="163">
        <f t="shared" si="24"/>
        <v>71.838709677419359</v>
      </c>
      <c r="R21" s="163">
        <f t="shared" si="24"/>
        <v>67.833333333333329</v>
      </c>
      <c r="S21" s="163">
        <f t="shared" si="24"/>
        <v>61.677419354838712</v>
      </c>
      <c r="T21" s="163">
        <f t="shared" si="24"/>
        <v>65.86666666666666</v>
      </c>
      <c r="U21" s="163">
        <f t="shared" si="24"/>
        <v>65.096774193548384</v>
      </c>
      <c r="V21" s="163">
        <f t="shared" si="24"/>
        <v>59.774193548387096</v>
      </c>
      <c r="W21" s="163">
        <f t="shared" si="24"/>
        <v>54.25</v>
      </c>
      <c r="X21" s="163">
        <f t="shared" si="24"/>
        <v>53.12903225806452</v>
      </c>
      <c r="Y21" s="163">
        <f t="shared" si="24"/>
        <v>55.233333333333334</v>
      </c>
      <c r="Z21" s="163">
        <f t="shared" si="24"/>
        <v>53.064516129032256</v>
      </c>
      <c r="AA21" s="163">
        <f t="shared" si="24"/>
        <v>52.733333333333334</v>
      </c>
      <c r="AB21" s="163">
        <f t="shared" si="24"/>
        <v>50.677419354838712</v>
      </c>
      <c r="AC21" s="163">
        <f t="shared" si="24"/>
        <v>51.935483870967744</v>
      </c>
      <c r="AD21" s="163">
        <f t="shared" si="24"/>
        <v>49.6</v>
      </c>
      <c r="AE21" s="163">
        <f t="shared" si="24"/>
        <v>46.645161290322584</v>
      </c>
      <c r="AF21" s="163">
        <f t="shared" si="24"/>
        <v>48.6</v>
      </c>
      <c r="AG21" s="163">
        <f t="shared" si="24"/>
        <v>51.70967741935484</v>
      </c>
      <c r="AH21" s="163">
        <f t="shared" si="24"/>
        <v>56.064516129032256</v>
      </c>
      <c r="AI21" s="163">
        <f t="shared" si="24"/>
        <v>59.379310344827587</v>
      </c>
      <c r="AJ21" s="163">
        <f t="shared" si="24"/>
        <v>58.483870967741936</v>
      </c>
      <c r="AK21" s="163">
        <f t="shared" si="24"/>
        <v>55.4</v>
      </c>
      <c r="AL21" s="163">
        <f t="shared" si="24"/>
        <v>55.193548387096776</v>
      </c>
      <c r="AM21" s="163">
        <f t="shared" si="24"/>
        <v>57.333333333333336</v>
      </c>
    </row>
    <row r="22" spans="1:39" s="164" customFormat="1" ht="13.8">
      <c r="A22" s="142" t="str">
        <f t="shared" ref="A22:A23" si="25">IF(AND(LEN(H22)&gt;0,LEN(H21)=0,LEFT(H22,3)&lt;&gt;"TOT"),"GROUP","")</f>
        <v/>
      </c>
      <c r="B22" s="140" t="str">
        <f t="shared" ref="B22:B24" ca="1" si="26">IF(LEN(A22)=0,"",IFERROR(VLOOKUP(C22,INDIRECT(A22&amp;"_LOOKUP"),2,FALSE),"-100"))</f>
        <v/>
      </c>
      <c r="C22" s="141" t="str">
        <f t="shared" ref="C22:C24" si="27">IF(LEN(D22)&gt;0,TRIM(E22&amp;" "&amp;D22),"")</f>
        <v/>
      </c>
      <c r="D22" s="141" t="str">
        <f t="shared" ref="D22:D24" si="28">IFERROR(IF(AND(LEN(A22)&gt;0,A22&lt;&gt;"GROUP"),UPPER(H22),""),"")</f>
        <v/>
      </c>
      <c r="E22" s="141" t="str">
        <f t="shared" ref="E22:E24" si="29">IFERROR(IF(A22="GROUP",UPPER(H22),IF(AND(LEN(A22)&gt;0,A22&lt;&gt;"GROUP"),UPPER(E21),"")),"")</f>
        <v/>
      </c>
      <c r="F22" s="141" t="str">
        <f t="shared" ref="F22:F24" si="30">TRIM(I22)</f>
        <v/>
      </c>
      <c r="G22" s="160"/>
      <c r="H22" s="161"/>
      <c r="I22" s="162"/>
      <c r="J22" s="163"/>
      <c r="K22" s="163"/>
      <c r="L22" s="163"/>
      <c r="M22" s="163"/>
      <c r="N22" s="163"/>
      <c r="O22" s="163"/>
      <c r="P22" s="163"/>
      <c r="Q22" s="163"/>
      <c r="R22" s="163"/>
      <c r="S22" s="163"/>
      <c r="T22" s="163"/>
      <c r="U22" s="163"/>
      <c r="V22" s="163"/>
      <c r="W22" s="163"/>
      <c r="X22" s="163"/>
      <c r="Y22" s="163"/>
      <c r="Z22" s="163"/>
      <c r="AA22" s="163"/>
      <c r="AB22" s="163"/>
      <c r="AC22" s="163"/>
      <c r="AD22" s="163"/>
      <c r="AE22" s="163"/>
      <c r="AF22" s="163"/>
      <c r="AG22" s="163"/>
      <c r="AH22" s="163"/>
      <c r="AI22" s="163"/>
      <c r="AJ22" s="163"/>
      <c r="AK22" s="163"/>
      <c r="AL22" s="163"/>
      <c r="AM22" s="163"/>
    </row>
    <row r="23" spans="1:39" ht="17.399999999999999">
      <c r="A23" s="142" t="str">
        <f t="shared" si="25"/>
        <v>GROUP</v>
      </c>
      <c r="B23" s="165"/>
      <c r="C23" s="166" t="str">
        <f t="shared" si="27"/>
        <v/>
      </c>
      <c r="D23" s="166" t="str">
        <f t="shared" si="28"/>
        <v/>
      </c>
      <c r="E23" s="166" t="str">
        <f t="shared" si="29"/>
        <v>CENSUS</v>
      </c>
      <c r="F23" s="166" t="str">
        <f t="shared" si="30"/>
        <v/>
      </c>
      <c r="G23" s="167"/>
      <c r="H23" s="168" t="s">
        <v>141</v>
      </c>
      <c r="I23" s="169"/>
      <c r="J23" s="170"/>
      <c r="K23" s="170"/>
      <c r="L23" s="170"/>
      <c r="M23" s="170"/>
      <c r="N23" s="170"/>
      <c r="O23" s="170"/>
      <c r="P23" s="170"/>
      <c r="Q23" s="170"/>
      <c r="R23" s="170"/>
      <c r="S23" s="170"/>
      <c r="T23" s="170"/>
      <c r="U23" s="170"/>
      <c r="V23" s="170"/>
      <c r="W23" s="170"/>
      <c r="X23" s="170"/>
      <c r="Y23" s="170"/>
      <c r="Z23" s="170"/>
      <c r="AA23" s="170"/>
      <c r="AB23" s="170"/>
      <c r="AC23" s="170"/>
      <c r="AD23" s="170"/>
      <c r="AE23" s="170"/>
      <c r="AF23" s="170"/>
      <c r="AG23" s="170"/>
      <c r="AH23" s="170"/>
      <c r="AI23" s="170"/>
      <c r="AJ23" s="170"/>
      <c r="AK23" s="170"/>
      <c r="AL23" s="170"/>
      <c r="AM23" s="170"/>
    </row>
    <row r="24" spans="1:39" s="134" customFormat="1" ht="13.8">
      <c r="A24" s="142" t="s">
        <v>141</v>
      </c>
      <c r="B24" s="171">
        <f t="shared" ca="1" si="26"/>
        <v>101</v>
      </c>
      <c r="C24" s="166" t="str">
        <f t="shared" si="27"/>
        <v>CENSUS PRIVATE</v>
      </c>
      <c r="D24" s="166" t="str">
        <f t="shared" si="28"/>
        <v>PRIVATE</v>
      </c>
      <c r="E24" s="166" t="str">
        <f t="shared" si="29"/>
        <v>CENSUS</v>
      </c>
      <c r="F24" s="166" t="str">
        <f t="shared" si="30"/>
        <v/>
      </c>
      <c r="G24" s="172"/>
      <c r="H24" s="134" t="s">
        <v>139</v>
      </c>
      <c r="J24" s="173">
        <v>224</v>
      </c>
      <c r="K24" s="173">
        <v>251</v>
      </c>
      <c r="L24" s="173">
        <v>254</v>
      </c>
      <c r="M24" s="173">
        <v>366</v>
      </c>
      <c r="N24" s="173">
        <v>256</v>
      </c>
      <c r="O24" s="173">
        <v>265</v>
      </c>
      <c r="P24" s="173">
        <v>347</v>
      </c>
      <c r="Q24" s="173">
        <v>279</v>
      </c>
      <c r="R24" s="173">
        <v>333</v>
      </c>
      <c r="S24" s="173">
        <v>297</v>
      </c>
      <c r="T24" s="173">
        <v>243</v>
      </c>
      <c r="U24" s="173">
        <v>263</v>
      </c>
      <c r="V24" s="173">
        <v>244</v>
      </c>
      <c r="W24" s="173">
        <v>196</v>
      </c>
      <c r="X24" s="173">
        <v>219</v>
      </c>
      <c r="Y24" s="173">
        <v>213</v>
      </c>
      <c r="Z24" s="173">
        <v>248</v>
      </c>
      <c r="AA24" s="173">
        <v>252</v>
      </c>
      <c r="AB24" s="173">
        <v>292</v>
      </c>
      <c r="AC24" s="173">
        <v>286</v>
      </c>
      <c r="AD24" s="173">
        <v>300</v>
      </c>
      <c r="AE24" s="173">
        <v>279</v>
      </c>
      <c r="AF24" s="173">
        <v>271</v>
      </c>
      <c r="AG24" s="173">
        <v>395</v>
      </c>
      <c r="AH24" s="173">
        <v>305</v>
      </c>
      <c r="AI24" s="173">
        <v>299</v>
      </c>
      <c r="AJ24" s="173">
        <v>301</v>
      </c>
      <c r="AK24" s="173">
        <v>306</v>
      </c>
      <c r="AL24" s="173">
        <v>175</v>
      </c>
      <c r="AM24" s="173">
        <v>281</v>
      </c>
    </row>
    <row r="25" spans="1:39" s="134" customFormat="1" ht="13.8">
      <c r="A25" s="142" t="s">
        <v>141</v>
      </c>
      <c r="B25" s="171">
        <f t="shared" ca="1" si="1"/>
        <v>102</v>
      </c>
      <c r="C25" s="166" t="str">
        <f t="shared" si="2"/>
        <v>CENSUS MEDICARE</v>
      </c>
      <c r="D25" s="166" t="str">
        <f t="shared" si="3"/>
        <v>MEDICARE</v>
      </c>
      <c r="E25" s="166" t="str">
        <f t="shared" si="4"/>
        <v>CENSUS</v>
      </c>
      <c r="F25" s="166" t="str">
        <f t="shared" ref="F25:F88" si="31">TRIM(I25)</f>
        <v/>
      </c>
      <c r="G25" s="174"/>
      <c r="H25" s="134" t="s">
        <v>29</v>
      </c>
      <c r="J25" s="175">
        <v>313</v>
      </c>
      <c r="K25" s="175">
        <v>281</v>
      </c>
      <c r="L25" s="175">
        <v>282</v>
      </c>
      <c r="M25" s="175">
        <v>328</v>
      </c>
      <c r="N25" s="175">
        <v>335</v>
      </c>
      <c r="O25" s="175">
        <v>273</v>
      </c>
      <c r="P25" s="175">
        <v>264</v>
      </c>
      <c r="Q25" s="175">
        <v>205</v>
      </c>
      <c r="R25" s="175">
        <v>91</v>
      </c>
      <c r="S25" s="175">
        <v>63</v>
      </c>
      <c r="T25" s="175">
        <v>95</v>
      </c>
      <c r="U25" s="175">
        <v>155</v>
      </c>
      <c r="V25" s="175">
        <v>132</v>
      </c>
      <c r="W25" s="175">
        <v>111</v>
      </c>
      <c r="X25" s="175">
        <v>140</v>
      </c>
      <c r="Y25" s="175">
        <v>131</v>
      </c>
      <c r="Z25" s="175">
        <v>60</v>
      </c>
      <c r="AA25" s="175">
        <v>27</v>
      </c>
      <c r="AB25" s="175">
        <v>34</v>
      </c>
      <c r="AC25" s="175">
        <v>80</v>
      </c>
      <c r="AD25" s="175">
        <v>83</v>
      </c>
      <c r="AE25" s="175">
        <v>101</v>
      </c>
      <c r="AF25" s="175">
        <v>130</v>
      </c>
      <c r="AG25" s="175">
        <v>173</v>
      </c>
      <c r="AH25" s="175">
        <v>259</v>
      </c>
      <c r="AI25" s="175">
        <v>234</v>
      </c>
      <c r="AJ25" s="175">
        <v>256</v>
      </c>
      <c r="AK25" s="175">
        <v>191</v>
      </c>
      <c r="AL25" s="175">
        <v>236</v>
      </c>
      <c r="AM25" s="175">
        <v>246</v>
      </c>
    </row>
    <row r="26" spans="1:39" s="134" customFormat="1" ht="13.8">
      <c r="A26" s="142" t="s">
        <v>141</v>
      </c>
      <c r="B26" s="171">
        <f t="shared" ca="1" si="1"/>
        <v>103</v>
      </c>
      <c r="C26" s="166" t="str">
        <f t="shared" si="2"/>
        <v>CENSUS MEDICAID</v>
      </c>
      <c r="D26" s="166" t="str">
        <f t="shared" si="3"/>
        <v>MEDICAID</v>
      </c>
      <c r="E26" s="166" t="str">
        <f t="shared" si="4"/>
        <v>CENSUS</v>
      </c>
      <c r="F26" s="166" t="str">
        <f t="shared" si="31"/>
        <v/>
      </c>
      <c r="G26" s="172"/>
      <c r="H26" s="134" t="s">
        <v>28</v>
      </c>
      <c r="J26" s="173">
        <v>1492</v>
      </c>
      <c r="K26" s="173">
        <v>1471</v>
      </c>
      <c r="L26" s="173">
        <v>1581</v>
      </c>
      <c r="M26" s="173">
        <v>1367</v>
      </c>
      <c r="N26" s="173">
        <v>1534</v>
      </c>
      <c r="O26" s="173">
        <v>1454</v>
      </c>
      <c r="P26" s="173">
        <v>1417</v>
      </c>
      <c r="Q26" s="173">
        <v>1598</v>
      </c>
      <c r="R26" s="173">
        <v>1444</v>
      </c>
      <c r="S26" s="173">
        <v>1394</v>
      </c>
      <c r="T26" s="173">
        <v>1463</v>
      </c>
      <c r="U26" s="173">
        <v>1432</v>
      </c>
      <c r="V26" s="173">
        <v>1327</v>
      </c>
      <c r="W26" s="173">
        <v>1138</v>
      </c>
      <c r="X26" s="173">
        <v>1216</v>
      </c>
      <c r="Y26" s="173">
        <v>1206</v>
      </c>
      <c r="Z26" s="173">
        <v>1215</v>
      </c>
      <c r="AA26" s="173">
        <v>1185</v>
      </c>
      <c r="AB26" s="173">
        <v>1141</v>
      </c>
      <c r="AC26" s="173">
        <v>1120</v>
      </c>
      <c r="AD26" s="173">
        <v>1028</v>
      </c>
      <c r="AE26" s="173">
        <v>991</v>
      </c>
      <c r="AF26" s="173">
        <v>942</v>
      </c>
      <c r="AG26" s="173">
        <v>900</v>
      </c>
      <c r="AH26" s="173">
        <v>1028</v>
      </c>
      <c r="AI26" s="173">
        <v>1037</v>
      </c>
      <c r="AJ26" s="173">
        <v>1143</v>
      </c>
      <c r="AK26" s="173">
        <v>989</v>
      </c>
      <c r="AL26" s="173">
        <v>1144</v>
      </c>
      <c r="AM26" s="173">
        <v>1039</v>
      </c>
    </row>
    <row r="27" spans="1:39" s="134" customFormat="1" ht="13.8">
      <c r="A27" s="142" t="s">
        <v>141</v>
      </c>
      <c r="B27" s="171">
        <f t="shared" ca="1" si="1"/>
        <v>104</v>
      </c>
      <c r="C27" s="166" t="str">
        <f t="shared" si="2"/>
        <v>CENSUS HOSPICE</v>
      </c>
      <c r="D27" s="166" t="str">
        <f t="shared" si="3"/>
        <v>HOSPICE</v>
      </c>
      <c r="E27" s="166" t="str">
        <f t="shared" si="4"/>
        <v>CENSUS</v>
      </c>
      <c r="F27" s="166" t="str">
        <f t="shared" si="31"/>
        <v/>
      </c>
      <c r="G27" s="172"/>
      <c r="H27" s="134" t="s">
        <v>27</v>
      </c>
      <c r="J27" s="173">
        <v>177</v>
      </c>
      <c r="K27" s="173">
        <v>138</v>
      </c>
      <c r="L27" s="173">
        <v>137</v>
      </c>
      <c r="M27" s="173">
        <v>147</v>
      </c>
      <c r="N27" s="173">
        <v>153</v>
      </c>
      <c r="O27" s="173">
        <v>150</v>
      </c>
      <c r="P27" s="173">
        <v>131</v>
      </c>
      <c r="Q27" s="173">
        <v>102</v>
      </c>
      <c r="R27" s="173">
        <v>164</v>
      </c>
      <c r="S27" s="173">
        <v>158</v>
      </c>
      <c r="T27" s="173">
        <v>147</v>
      </c>
      <c r="U27" s="173">
        <v>167</v>
      </c>
      <c r="V27" s="173">
        <v>150</v>
      </c>
      <c r="W27" s="173">
        <v>74</v>
      </c>
      <c r="X27" s="173">
        <v>63</v>
      </c>
      <c r="Y27" s="173">
        <v>77</v>
      </c>
      <c r="Z27" s="173">
        <v>86</v>
      </c>
      <c r="AA27" s="173">
        <v>101</v>
      </c>
      <c r="AB27" s="173">
        <v>93</v>
      </c>
      <c r="AC27" s="173">
        <v>93</v>
      </c>
      <c r="AD27" s="173">
        <v>77</v>
      </c>
      <c r="AE27" s="173">
        <v>75</v>
      </c>
      <c r="AF27" s="173">
        <v>115</v>
      </c>
      <c r="AG27" s="173">
        <v>135</v>
      </c>
      <c r="AH27" s="173">
        <v>146</v>
      </c>
      <c r="AI27" s="173">
        <v>125</v>
      </c>
      <c r="AJ27" s="173">
        <v>102</v>
      </c>
      <c r="AK27" s="173">
        <v>173</v>
      </c>
      <c r="AL27" s="173">
        <v>148</v>
      </c>
      <c r="AM27" s="173">
        <v>127</v>
      </c>
    </row>
    <row r="28" spans="1:39" s="134" customFormat="1" ht="13.8">
      <c r="A28" s="142" t="s">
        <v>141</v>
      </c>
      <c r="B28" s="171">
        <f t="shared" ca="1" si="1"/>
        <v>105</v>
      </c>
      <c r="C28" s="166" t="str">
        <f t="shared" si="2"/>
        <v>CENSUS INSURANCE</v>
      </c>
      <c r="D28" s="166" t="str">
        <f t="shared" si="3"/>
        <v>INSURANCE</v>
      </c>
      <c r="E28" s="166" t="str">
        <f t="shared" si="4"/>
        <v>CENSUS</v>
      </c>
      <c r="F28" s="166" t="str">
        <f t="shared" si="31"/>
        <v/>
      </c>
      <c r="G28" s="174"/>
      <c r="H28" s="134" t="s">
        <v>11</v>
      </c>
      <c r="J28" s="176">
        <v>107</v>
      </c>
      <c r="K28" s="176">
        <v>36</v>
      </c>
      <c r="L28" s="176">
        <v>4</v>
      </c>
      <c r="M28" s="176">
        <v>31</v>
      </c>
      <c r="N28" s="176">
        <v>63</v>
      </c>
      <c r="O28" s="176">
        <v>25</v>
      </c>
      <c r="P28" s="176">
        <v>6</v>
      </c>
      <c r="Q28" s="176">
        <v>43</v>
      </c>
      <c r="R28" s="176">
        <v>3</v>
      </c>
      <c r="S28" s="176">
        <v>0</v>
      </c>
      <c r="T28" s="176">
        <v>28</v>
      </c>
      <c r="U28" s="176">
        <v>1</v>
      </c>
      <c r="V28" s="176">
        <v>0</v>
      </c>
      <c r="W28" s="176">
        <v>0</v>
      </c>
      <c r="X28" s="176">
        <v>9</v>
      </c>
      <c r="Y28" s="176">
        <v>30</v>
      </c>
      <c r="Z28" s="176">
        <v>36</v>
      </c>
      <c r="AA28" s="176">
        <v>17</v>
      </c>
      <c r="AB28" s="176">
        <v>11</v>
      </c>
      <c r="AC28" s="176">
        <v>31</v>
      </c>
      <c r="AD28" s="176">
        <v>0</v>
      </c>
      <c r="AE28" s="176">
        <v>0</v>
      </c>
      <c r="AF28" s="176">
        <v>0</v>
      </c>
      <c r="AG28" s="176">
        <v>0</v>
      </c>
      <c r="AH28" s="176">
        <v>0</v>
      </c>
      <c r="AI28" s="176">
        <v>27</v>
      </c>
      <c r="AJ28" s="176">
        <v>11</v>
      </c>
      <c r="AK28" s="176">
        <v>3</v>
      </c>
      <c r="AL28" s="176">
        <v>8</v>
      </c>
      <c r="AM28" s="176">
        <v>27</v>
      </c>
    </row>
    <row r="29" spans="1:39" s="179" customFormat="1" ht="13.8">
      <c r="A29" s="142" t="str">
        <f t="shared" si="0"/>
        <v/>
      </c>
      <c r="B29" s="171" t="str">
        <f t="shared" ca="1" si="1"/>
        <v/>
      </c>
      <c r="C29" s="166" t="str">
        <f t="shared" si="2"/>
        <v/>
      </c>
      <c r="D29" s="166" t="str">
        <f t="shared" si="3"/>
        <v/>
      </c>
      <c r="E29" s="166" t="str">
        <f t="shared" si="4"/>
        <v/>
      </c>
      <c r="F29" s="166" t="str">
        <f t="shared" si="31"/>
        <v/>
      </c>
      <c r="G29" s="177"/>
      <c r="H29" s="161" t="s">
        <v>142</v>
      </c>
      <c r="I29" s="162"/>
      <c r="J29" s="178">
        <f t="shared" ref="J29:U29" si="32">SUM(J24:J28)</f>
        <v>2313</v>
      </c>
      <c r="K29" s="178">
        <f t="shared" si="32"/>
        <v>2177</v>
      </c>
      <c r="L29" s="178">
        <f t="shared" si="32"/>
        <v>2258</v>
      </c>
      <c r="M29" s="178">
        <f t="shared" si="32"/>
        <v>2239</v>
      </c>
      <c r="N29" s="178">
        <f t="shared" si="32"/>
        <v>2341</v>
      </c>
      <c r="O29" s="178">
        <f t="shared" si="32"/>
        <v>2167</v>
      </c>
      <c r="P29" s="178">
        <f t="shared" si="32"/>
        <v>2165</v>
      </c>
      <c r="Q29" s="178">
        <f t="shared" si="32"/>
        <v>2227</v>
      </c>
      <c r="R29" s="178">
        <f t="shared" si="32"/>
        <v>2035</v>
      </c>
      <c r="S29" s="178">
        <f t="shared" si="32"/>
        <v>1912</v>
      </c>
      <c r="T29" s="178">
        <f t="shared" si="32"/>
        <v>1976</v>
      </c>
      <c r="U29" s="178">
        <f t="shared" si="32"/>
        <v>2018</v>
      </c>
      <c r="V29" s="178">
        <f t="shared" ref="V29:AG29" si="33">SUM(V24:V28)</f>
        <v>1853</v>
      </c>
      <c r="W29" s="178">
        <f t="shared" si="33"/>
        <v>1519</v>
      </c>
      <c r="X29" s="178">
        <f t="shared" si="33"/>
        <v>1647</v>
      </c>
      <c r="Y29" s="178">
        <f t="shared" si="33"/>
        <v>1657</v>
      </c>
      <c r="Z29" s="178">
        <f t="shared" si="33"/>
        <v>1645</v>
      </c>
      <c r="AA29" s="178">
        <f t="shared" si="33"/>
        <v>1582</v>
      </c>
      <c r="AB29" s="178">
        <f t="shared" si="33"/>
        <v>1571</v>
      </c>
      <c r="AC29" s="178">
        <f t="shared" si="33"/>
        <v>1610</v>
      </c>
      <c r="AD29" s="178">
        <f t="shared" si="33"/>
        <v>1488</v>
      </c>
      <c r="AE29" s="178">
        <f t="shared" si="33"/>
        <v>1446</v>
      </c>
      <c r="AF29" s="178">
        <f t="shared" si="33"/>
        <v>1458</v>
      </c>
      <c r="AG29" s="178">
        <f t="shared" si="33"/>
        <v>1603</v>
      </c>
      <c r="AH29" s="178">
        <f t="shared" ref="AH29:AM29" si="34">SUM(AH24:AH28)</f>
        <v>1738</v>
      </c>
      <c r="AI29" s="178">
        <f t="shared" si="34"/>
        <v>1722</v>
      </c>
      <c r="AJ29" s="178">
        <f t="shared" si="34"/>
        <v>1813</v>
      </c>
      <c r="AK29" s="178">
        <f t="shared" si="34"/>
        <v>1662</v>
      </c>
      <c r="AL29" s="178">
        <f t="shared" si="34"/>
        <v>1711</v>
      </c>
      <c r="AM29" s="178">
        <f t="shared" si="34"/>
        <v>1720</v>
      </c>
    </row>
    <row r="30" spans="1:39" ht="13.8">
      <c r="A30" s="142" t="str">
        <f t="shared" si="0"/>
        <v/>
      </c>
      <c r="B30" s="171" t="str">
        <f t="shared" ca="1" si="1"/>
        <v/>
      </c>
      <c r="C30" s="166" t="str">
        <f t="shared" si="2"/>
        <v/>
      </c>
      <c r="D30" s="166" t="str">
        <f t="shared" si="3"/>
        <v/>
      </c>
      <c r="E30" s="166" t="str">
        <f t="shared" si="4"/>
        <v/>
      </c>
      <c r="F30" s="166" t="str">
        <f t="shared" si="31"/>
        <v/>
      </c>
      <c r="G30" s="167"/>
      <c r="H30" s="138"/>
      <c r="J30" s="170"/>
      <c r="K30" s="170"/>
      <c r="L30" s="170"/>
      <c r="M30" s="170"/>
      <c r="N30" s="170"/>
      <c r="O30" s="170"/>
      <c r="P30" s="170"/>
      <c r="Q30" s="170"/>
      <c r="R30" s="170"/>
      <c r="S30" s="170"/>
      <c r="T30" s="170"/>
      <c r="U30" s="170"/>
      <c r="V30" s="170"/>
      <c r="W30" s="170"/>
      <c r="X30" s="170"/>
      <c r="Y30" s="170"/>
      <c r="Z30" s="170"/>
      <c r="AA30" s="170"/>
      <c r="AB30" s="170"/>
      <c r="AC30" s="170"/>
      <c r="AD30" s="170"/>
      <c r="AE30" s="170"/>
      <c r="AF30" s="170"/>
      <c r="AG30" s="170"/>
      <c r="AH30" s="170"/>
      <c r="AI30" s="170"/>
      <c r="AJ30" s="170"/>
      <c r="AK30" s="170"/>
      <c r="AL30" s="170"/>
      <c r="AM30" s="170"/>
    </row>
    <row r="31" spans="1:39" s="181" customFormat="1" ht="13.8">
      <c r="A31" s="142"/>
      <c r="B31" s="171"/>
      <c r="C31" s="166"/>
      <c r="D31" s="166"/>
      <c r="E31" s="166"/>
      <c r="F31" s="166" t="str">
        <f t="shared" si="31"/>
        <v/>
      </c>
      <c r="G31" s="180"/>
      <c r="H31" s="181" t="s">
        <v>139</v>
      </c>
      <c r="J31" s="182">
        <f t="shared" ref="J31:AM31" si="35">IF(+J24=0,0,+J40/J24)</f>
        <v>186.91718750000001</v>
      </c>
      <c r="K31" s="182">
        <f t="shared" si="35"/>
        <v>126.79585657370519</v>
      </c>
      <c r="L31" s="182">
        <f t="shared" si="35"/>
        <v>126.39338582677166</v>
      </c>
      <c r="M31" s="182">
        <f t="shared" si="35"/>
        <v>119.57928961748635</v>
      </c>
      <c r="N31" s="182">
        <f t="shared" si="35"/>
        <v>128.875</v>
      </c>
      <c r="O31" s="182">
        <f t="shared" si="35"/>
        <v>129.62641509433962</v>
      </c>
      <c r="P31" s="182">
        <f t="shared" si="35"/>
        <v>138.01152737752162</v>
      </c>
      <c r="Q31" s="182">
        <f t="shared" si="35"/>
        <v>129.78136200716847</v>
      </c>
      <c r="R31" s="182">
        <f t="shared" si="35"/>
        <v>124.90090090090091</v>
      </c>
      <c r="S31" s="182">
        <f t="shared" si="35"/>
        <v>126.10572390572391</v>
      </c>
      <c r="T31" s="182">
        <f t="shared" si="35"/>
        <v>126.90123456790124</v>
      </c>
      <c r="U31" s="182">
        <f t="shared" si="35"/>
        <v>151.56653992395437</v>
      </c>
      <c r="V31" s="182">
        <f t="shared" si="35"/>
        <v>123.06557377049181</v>
      </c>
      <c r="W31" s="182">
        <f t="shared" si="35"/>
        <v>125.51010204081632</v>
      </c>
      <c r="X31" s="182">
        <f t="shared" si="35"/>
        <v>126.32429223744292</v>
      </c>
      <c r="Y31" s="182">
        <f t="shared" si="35"/>
        <v>128.02830985915492</v>
      </c>
      <c r="Z31" s="182">
        <f t="shared" si="35"/>
        <v>130.06403225806451</v>
      </c>
      <c r="AA31" s="182">
        <f t="shared" si="35"/>
        <v>125.39404761904761</v>
      </c>
      <c r="AB31" s="182">
        <f t="shared" si="35"/>
        <v>126.0468493150685</v>
      </c>
      <c r="AC31" s="182">
        <f t="shared" si="35"/>
        <v>125.93706293706293</v>
      </c>
      <c r="AD31" s="182">
        <f t="shared" si="35"/>
        <v>128.5574</v>
      </c>
      <c r="AE31" s="182">
        <f t="shared" si="35"/>
        <v>126.21799283154122</v>
      </c>
      <c r="AF31" s="182">
        <f t="shared" si="35"/>
        <v>126.12199261992619</v>
      </c>
      <c r="AG31" s="182">
        <f t="shared" si="35"/>
        <v>124.11268354430378</v>
      </c>
      <c r="AH31" s="182">
        <f t="shared" si="35"/>
        <v>139.75032786885245</v>
      </c>
      <c r="AI31" s="182">
        <f t="shared" si="35"/>
        <v>142.83244147157191</v>
      </c>
      <c r="AJ31" s="182">
        <f t="shared" si="35"/>
        <v>139.03710963455148</v>
      </c>
      <c r="AK31" s="182">
        <f t="shared" si="35"/>
        <v>138.31614379084968</v>
      </c>
      <c r="AL31" s="182">
        <f t="shared" si="35"/>
        <v>139.29708571428571</v>
      </c>
      <c r="AM31" s="182">
        <f t="shared" si="35"/>
        <v>134.592384341637</v>
      </c>
    </row>
    <row r="32" spans="1:39" s="181" customFormat="1" ht="13.8">
      <c r="A32" s="142" t="str">
        <f t="shared" si="0"/>
        <v/>
      </c>
      <c r="B32" s="171" t="str">
        <f t="shared" ca="1" si="1"/>
        <v/>
      </c>
      <c r="C32" s="166" t="str">
        <f t="shared" si="2"/>
        <v/>
      </c>
      <c r="D32" s="166" t="str">
        <f t="shared" si="3"/>
        <v/>
      </c>
      <c r="E32" s="166" t="str">
        <f t="shared" si="4"/>
        <v/>
      </c>
      <c r="F32" s="166" t="str">
        <f t="shared" si="31"/>
        <v/>
      </c>
      <c r="G32" s="180"/>
      <c r="H32" s="181" t="s">
        <v>143</v>
      </c>
      <c r="J32" s="182">
        <f t="shared" ref="J32:AM32" si="36">IF(+J25=0,0,+J41/J25)</f>
        <v>471.17958466453672</v>
      </c>
      <c r="K32" s="182">
        <f t="shared" si="36"/>
        <v>468.91434163701064</v>
      </c>
      <c r="L32" s="182">
        <f t="shared" si="36"/>
        <v>486.63187943262415</v>
      </c>
      <c r="M32" s="182">
        <f t="shared" si="36"/>
        <v>489.52118902439025</v>
      </c>
      <c r="N32" s="182">
        <f t="shared" si="36"/>
        <v>502.65602985074622</v>
      </c>
      <c r="O32" s="182">
        <f t="shared" si="36"/>
        <v>468.93553113553116</v>
      </c>
      <c r="P32" s="182">
        <f t="shared" si="36"/>
        <v>444.42261363636368</v>
      </c>
      <c r="Q32" s="182">
        <f t="shared" si="36"/>
        <v>455.60063414634146</v>
      </c>
      <c r="R32" s="182">
        <f t="shared" si="36"/>
        <v>317.07318681318679</v>
      </c>
      <c r="S32" s="182">
        <f t="shared" si="36"/>
        <v>484.42253968253965</v>
      </c>
      <c r="T32" s="182">
        <f t="shared" si="36"/>
        <v>456.299052631579</v>
      </c>
      <c r="U32" s="182">
        <f t="shared" si="36"/>
        <v>462.17296774193545</v>
      </c>
      <c r="V32" s="182">
        <f t="shared" si="36"/>
        <v>450.99257575757576</v>
      </c>
      <c r="W32" s="182">
        <f t="shared" si="36"/>
        <v>381.35873873873874</v>
      </c>
      <c r="X32" s="182">
        <f t="shared" si="36"/>
        <v>438.13371428571429</v>
      </c>
      <c r="Y32" s="182">
        <f t="shared" si="36"/>
        <v>485.02770992366413</v>
      </c>
      <c r="Z32" s="182">
        <f t="shared" si="36"/>
        <v>464.28200000000004</v>
      </c>
      <c r="AA32" s="182">
        <f t="shared" si="36"/>
        <v>396.82111111111112</v>
      </c>
      <c r="AB32" s="182">
        <f t="shared" si="36"/>
        <v>422.39676470588233</v>
      </c>
      <c r="AC32" s="182">
        <f t="shared" si="36"/>
        <v>425.80287500000003</v>
      </c>
      <c r="AD32" s="182">
        <f t="shared" si="36"/>
        <v>337.95036144578313</v>
      </c>
      <c r="AE32" s="182">
        <f t="shared" si="36"/>
        <v>409.81118811881186</v>
      </c>
      <c r="AF32" s="182">
        <f t="shared" si="36"/>
        <v>404.92184615384616</v>
      </c>
      <c r="AG32" s="182">
        <f t="shared" si="36"/>
        <v>449.327225433526</v>
      </c>
      <c r="AH32" s="182">
        <f t="shared" si="36"/>
        <v>474.1676447876448</v>
      </c>
      <c r="AI32" s="182">
        <f t="shared" si="36"/>
        <v>404.28713675213675</v>
      </c>
      <c r="AJ32" s="182">
        <f t="shared" si="36"/>
        <v>407.87285156249999</v>
      </c>
      <c r="AK32" s="182">
        <f t="shared" si="36"/>
        <v>384.27659685863875</v>
      </c>
      <c r="AL32" s="182">
        <f t="shared" si="36"/>
        <v>384.35953389830513</v>
      </c>
      <c r="AM32" s="182">
        <f t="shared" si="36"/>
        <v>436.42439024390245</v>
      </c>
    </row>
    <row r="33" spans="1:39" s="181" customFormat="1" ht="13.8">
      <c r="A33" s="142" t="str">
        <f t="shared" si="0"/>
        <v/>
      </c>
      <c r="B33" s="171" t="str">
        <f t="shared" ca="1" si="1"/>
        <v/>
      </c>
      <c r="C33" s="166" t="str">
        <f t="shared" si="2"/>
        <v/>
      </c>
      <c r="D33" s="166" t="str">
        <f t="shared" si="3"/>
        <v/>
      </c>
      <c r="E33" s="166" t="str">
        <f t="shared" si="4"/>
        <v/>
      </c>
      <c r="F33" s="166" t="str">
        <f t="shared" si="31"/>
        <v/>
      </c>
      <c r="G33" s="180"/>
      <c r="H33" s="181" t="s">
        <v>144</v>
      </c>
      <c r="J33" s="182">
        <f t="shared" ref="J33:U33" si="37">IF(+J26+J24=0,0,+J42/(J26+J24))</f>
        <v>24.481567599067599</v>
      </c>
      <c r="K33" s="182">
        <f t="shared" si="37"/>
        <v>30.536434378629501</v>
      </c>
      <c r="L33" s="182">
        <f t="shared" si="37"/>
        <v>30.222272479564033</v>
      </c>
      <c r="M33" s="182">
        <f t="shared" si="37"/>
        <v>28.855227928447778</v>
      </c>
      <c r="N33" s="182">
        <f t="shared" si="37"/>
        <v>24.706592178770951</v>
      </c>
      <c r="O33" s="182">
        <f t="shared" si="37"/>
        <v>28.643379872018617</v>
      </c>
      <c r="P33" s="182">
        <f t="shared" si="37"/>
        <v>32.102176870748295</v>
      </c>
      <c r="Q33" s="182">
        <f t="shared" si="37"/>
        <v>27.332061800745869</v>
      </c>
      <c r="R33" s="182">
        <f t="shared" si="37"/>
        <v>45.982622397298819</v>
      </c>
      <c r="S33" s="182">
        <f t="shared" si="37"/>
        <v>48.773849793021881</v>
      </c>
      <c r="T33" s="182">
        <f t="shared" si="37"/>
        <v>31.40378077373974</v>
      </c>
      <c r="U33" s="182">
        <f t="shared" si="37"/>
        <v>23.398979351032452</v>
      </c>
      <c r="V33" s="182">
        <f t="shared" ref="V33:AG33" si="38">IF(+V26+V24=0,0,+V42/(V26+V24))</f>
        <v>6.2540929344366649</v>
      </c>
      <c r="W33" s="182">
        <f t="shared" si="38"/>
        <v>11.996244377811093</v>
      </c>
      <c r="X33" s="182">
        <f t="shared" si="38"/>
        <v>12.528125435540071</v>
      </c>
      <c r="Y33" s="182">
        <f t="shared" si="38"/>
        <v>12.444489076814659</v>
      </c>
      <c r="Z33" s="182">
        <f t="shared" si="38"/>
        <v>11.766001367053999</v>
      </c>
      <c r="AA33" s="182">
        <f t="shared" si="38"/>
        <v>10.69491301322199</v>
      </c>
      <c r="AB33" s="182">
        <f t="shared" si="38"/>
        <v>9.3568527564549893</v>
      </c>
      <c r="AC33" s="182">
        <f t="shared" si="38"/>
        <v>10.465192034139402</v>
      </c>
      <c r="AD33" s="182">
        <f t="shared" si="38"/>
        <v>12.732371987951808</v>
      </c>
      <c r="AE33" s="182">
        <f t="shared" si="38"/>
        <v>16.3061968503937</v>
      </c>
      <c r="AF33" s="182">
        <f t="shared" si="38"/>
        <v>13.61383347073372</v>
      </c>
      <c r="AG33" s="182">
        <f t="shared" si="38"/>
        <v>12.454131274131274</v>
      </c>
      <c r="AH33" s="182">
        <f t="shared" ref="AH33:AM33" si="39">IF(+AH26+AH24=0,0,+AH42/(AH26+AH24))</f>
        <v>8.932040510127532</v>
      </c>
      <c r="AI33" s="182">
        <f t="shared" si="39"/>
        <v>13.928330838323353</v>
      </c>
      <c r="AJ33" s="182">
        <f t="shared" si="39"/>
        <v>11.839425207756234</v>
      </c>
      <c r="AK33" s="182">
        <f t="shared" si="39"/>
        <v>11.931189189189189</v>
      </c>
      <c r="AL33" s="182">
        <f t="shared" si="39"/>
        <v>12.546679302501895</v>
      </c>
      <c r="AM33" s="182">
        <f t="shared" si="39"/>
        <v>9.9615075757575759</v>
      </c>
    </row>
    <row r="34" spans="1:39" s="181" customFormat="1" ht="13.8">
      <c r="A34" s="142" t="str">
        <f t="shared" si="0"/>
        <v/>
      </c>
      <c r="B34" s="171" t="str">
        <f t="shared" ca="1" si="1"/>
        <v/>
      </c>
      <c r="C34" s="166" t="str">
        <f t="shared" si="2"/>
        <v/>
      </c>
      <c r="D34" s="166" t="str">
        <f t="shared" si="3"/>
        <v/>
      </c>
      <c r="E34" s="166" t="str">
        <f t="shared" si="4"/>
        <v/>
      </c>
      <c r="F34" s="166" t="str">
        <f t="shared" si="31"/>
        <v/>
      </c>
      <c r="G34" s="180"/>
      <c r="H34" s="181" t="s">
        <v>28</v>
      </c>
      <c r="J34" s="182">
        <f t="shared" ref="J34:AM34" si="40">IF(+J26=0,0,+J43/J26)</f>
        <v>134.74208445040216</v>
      </c>
      <c r="K34" s="182">
        <f t="shared" si="40"/>
        <v>142.34396329027874</v>
      </c>
      <c r="L34" s="182">
        <f t="shared" si="40"/>
        <v>150.15378241619229</v>
      </c>
      <c r="M34" s="182">
        <f t="shared" si="40"/>
        <v>150.62121433796634</v>
      </c>
      <c r="N34" s="182">
        <f t="shared" si="40"/>
        <v>152.62593872229465</v>
      </c>
      <c r="O34" s="182">
        <f t="shared" si="40"/>
        <v>141.56889958734524</v>
      </c>
      <c r="P34" s="182">
        <f t="shared" si="40"/>
        <v>133.04868031051518</v>
      </c>
      <c r="Q34" s="182">
        <f t="shared" si="40"/>
        <v>150.59096996245307</v>
      </c>
      <c r="R34" s="182">
        <f t="shared" si="40"/>
        <v>154.48497229916896</v>
      </c>
      <c r="S34" s="182">
        <f t="shared" si="40"/>
        <v>137.65885222381635</v>
      </c>
      <c r="T34" s="182">
        <f t="shared" si="40"/>
        <v>137.73303485987697</v>
      </c>
      <c r="U34" s="182">
        <f t="shared" si="40"/>
        <v>151.7193156424581</v>
      </c>
      <c r="V34" s="182">
        <f t="shared" si="40"/>
        <v>149.46188394875659</v>
      </c>
      <c r="W34" s="182">
        <f t="shared" si="40"/>
        <v>139.233848857645</v>
      </c>
      <c r="X34" s="182">
        <f t="shared" si="40"/>
        <v>135.71127467105262</v>
      </c>
      <c r="Y34" s="182">
        <f t="shared" si="40"/>
        <v>146.58542288557217</v>
      </c>
      <c r="Z34" s="182">
        <f t="shared" si="40"/>
        <v>153.36178600823047</v>
      </c>
      <c r="AA34" s="182">
        <f t="shared" si="40"/>
        <v>153.393805907173</v>
      </c>
      <c r="AB34" s="182">
        <f t="shared" si="40"/>
        <v>149.4959596844873</v>
      </c>
      <c r="AC34" s="182">
        <f t="shared" si="40"/>
        <v>138.59800000000004</v>
      </c>
      <c r="AD34" s="182">
        <f t="shared" si="40"/>
        <v>131.86998054474711</v>
      </c>
      <c r="AE34" s="182">
        <f t="shared" si="40"/>
        <v>138.1921695257316</v>
      </c>
      <c r="AF34" s="182">
        <f t="shared" si="40"/>
        <v>137.19524416135883</v>
      </c>
      <c r="AG34" s="182">
        <f t="shared" si="40"/>
        <v>141.05429999999998</v>
      </c>
      <c r="AH34" s="182">
        <f t="shared" si="40"/>
        <v>141.39250000000001</v>
      </c>
      <c r="AI34" s="182">
        <f t="shared" si="40"/>
        <v>138.16513018322081</v>
      </c>
      <c r="AJ34" s="182">
        <f t="shared" si="40"/>
        <v>136.13312335958003</v>
      </c>
      <c r="AK34" s="182">
        <f t="shared" si="40"/>
        <v>132.29572295247726</v>
      </c>
      <c r="AL34" s="182">
        <f t="shared" si="40"/>
        <v>120.31104020979019</v>
      </c>
      <c r="AM34" s="182">
        <f t="shared" si="40"/>
        <v>102.18087584215591</v>
      </c>
    </row>
    <row r="35" spans="1:39" s="181" customFormat="1" ht="13.8">
      <c r="A35" s="142" t="str">
        <f t="shared" si="0"/>
        <v/>
      </c>
      <c r="B35" s="171" t="str">
        <f t="shared" ca="1" si="1"/>
        <v/>
      </c>
      <c r="C35" s="166" t="str">
        <f t="shared" si="2"/>
        <v/>
      </c>
      <c r="D35" s="166" t="str">
        <f t="shared" si="3"/>
        <v/>
      </c>
      <c r="E35" s="166" t="str">
        <f t="shared" si="4"/>
        <v/>
      </c>
      <c r="F35" s="166" t="str">
        <f t="shared" si="31"/>
        <v/>
      </c>
      <c r="G35" s="180"/>
      <c r="H35" s="181" t="s">
        <v>27</v>
      </c>
      <c r="J35" s="182">
        <f t="shared" ref="J35:AM35" si="41">IF(+J27=0,0,+J44/J27)</f>
        <v>116.47638418079096</v>
      </c>
      <c r="K35" s="182">
        <f t="shared" si="41"/>
        <v>140.12471014492752</v>
      </c>
      <c r="L35" s="182">
        <f t="shared" si="41"/>
        <v>143.03474452554747</v>
      </c>
      <c r="M35" s="182">
        <f t="shared" si="41"/>
        <v>139.121768707483</v>
      </c>
      <c r="N35" s="182">
        <f t="shared" si="41"/>
        <v>117.62372549019608</v>
      </c>
      <c r="O35" s="182">
        <f t="shared" si="41"/>
        <v>153.33126666666666</v>
      </c>
      <c r="P35" s="182">
        <f t="shared" si="41"/>
        <v>134.49954198473282</v>
      </c>
      <c r="Q35" s="182">
        <f t="shared" si="41"/>
        <v>146.56303921568627</v>
      </c>
      <c r="R35" s="182">
        <f t="shared" si="41"/>
        <v>160.97359756097563</v>
      </c>
      <c r="S35" s="182">
        <f t="shared" si="41"/>
        <v>170.46012658227849</v>
      </c>
      <c r="T35" s="182">
        <f t="shared" si="41"/>
        <v>171.19183673469388</v>
      </c>
      <c r="U35" s="182">
        <f t="shared" si="41"/>
        <v>84.298802395209577</v>
      </c>
      <c r="V35" s="182">
        <f t="shared" si="41"/>
        <v>143.40906666666666</v>
      </c>
      <c r="W35" s="182">
        <f t="shared" si="41"/>
        <v>236.3472972972973</v>
      </c>
      <c r="X35" s="182">
        <f t="shared" si="41"/>
        <v>113.84730158730159</v>
      </c>
      <c r="Y35" s="182">
        <f t="shared" si="41"/>
        <v>119.80233766233768</v>
      </c>
      <c r="Z35" s="182">
        <f t="shared" si="41"/>
        <v>139.22790697674418</v>
      </c>
      <c r="AA35" s="182">
        <f t="shared" si="41"/>
        <v>149.74841584158415</v>
      </c>
      <c r="AB35" s="182">
        <f t="shared" si="41"/>
        <v>137.89236559139783</v>
      </c>
      <c r="AC35" s="182">
        <f t="shared" si="41"/>
        <v>121.89935483870967</v>
      </c>
      <c r="AD35" s="182">
        <f t="shared" si="41"/>
        <v>126.07298701298703</v>
      </c>
      <c r="AE35" s="182">
        <f t="shared" si="41"/>
        <v>114.81360000000001</v>
      </c>
      <c r="AF35" s="182">
        <f t="shared" si="41"/>
        <v>143.02565217391304</v>
      </c>
      <c r="AG35" s="182">
        <f t="shared" si="41"/>
        <v>167.51244444444444</v>
      </c>
      <c r="AH35" s="182">
        <f t="shared" si="41"/>
        <v>157.35883561643834</v>
      </c>
      <c r="AI35" s="182">
        <f t="shared" si="41"/>
        <v>127.6876</v>
      </c>
      <c r="AJ35" s="182">
        <f t="shared" si="41"/>
        <v>218.47794117647058</v>
      </c>
      <c r="AK35" s="182">
        <f t="shared" si="41"/>
        <v>75.18843930635839</v>
      </c>
      <c r="AL35" s="182">
        <f t="shared" si="41"/>
        <v>128.23770270270271</v>
      </c>
      <c r="AM35" s="182">
        <f t="shared" si="41"/>
        <v>120.34866141732284</v>
      </c>
    </row>
    <row r="36" spans="1:39" s="181" customFormat="1" ht="13.8">
      <c r="A36" s="142" t="str">
        <f t="shared" si="0"/>
        <v/>
      </c>
      <c r="B36" s="171" t="str">
        <f t="shared" ca="1" si="1"/>
        <v/>
      </c>
      <c r="C36" s="166" t="str">
        <f t="shared" si="2"/>
        <v/>
      </c>
      <c r="D36" s="166" t="str">
        <f t="shared" si="3"/>
        <v/>
      </c>
      <c r="E36" s="166" t="str">
        <f t="shared" si="4"/>
        <v/>
      </c>
      <c r="F36" s="166" t="str">
        <f t="shared" si="31"/>
        <v/>
      </c>
      <c r="G36" s="180"/>
      <c r="H36" s="181" t="s">
        <v>11</v>
      </c>
      <c r="J36" s="183">
        <f t="shared" ref="J36:AM36" si="42">IF(+J28=0,0,+J45/J28)</f>
        <v>614.34747663551411</v>
      </c>
      <c r="K36" s="183">
        <f t="shared" si="42"/>
        <v>487.22333333333336</v>
      </c>
      <c r="L36" s="183">
        <f t="shared" si="42"/>
        <v>327.30250000000001</v>
      </c>
      <c r="M36" s="183">
        <f t="shared" si="42"/>
        <v>282.90612903225809</v>
      </c>
      <c r="N36" s="183">
        <f t="shared" si="42"/>
        <v>434.13412698412702</v>
      </c>
      <c r="O36" s="183">
        <f t="shared" si="42"/>
        <v>558.65359999999998</v>
      </c>
      <c r="P36" s="183">
        <f t="shared" si="42"/>
        <v>791.48</v>
      </c>
      <c r="Q36" s="183">
        <f t="shared" si="42"/>
        <v>413.81418604651168</v>
      </c>
      <c r="R36" s="183">
        <f t="shared" si="42"/>
        <v>415</v>
      </c>
      <c r="S36" s="183">
        <f t="shared" si="42"/>
        <v>0</v>
      </c>
      <c r="T36" s="183">
        <f t="shared" si="42"/>
        <v>436.01178571428574</v>
      </c>
      <c r="U36" s="183">
        <f t="shared" si="42"/>
        <v>7534.42</v>
      </c>
      <c r="V36" s="183">
        <f t="shared" si="42"/>
        <v>0</v>
      </c>
      <c r="W36" s="183">
        <f t="shared" si="42"/>
        <v>0</v>
      </c>
      <c r="X36" s="183">
        <f t="shared" si="42"/>
        <v>438.65555555555557</v>
      </c>
      <c r="Y36" s="183">
        <f t="shared" si="42"/>
        <v>432.34566666666672</v>
      </c>
      <c r="Z36" s="183">
        <f t="shared" si="42"/>
        <v>459.65055555555563</v>
      </c>
      <c r="AA36" s="183">
        <f t="shared" si="42"/>
        <v>591.40470588235303</v>
      </c>
      <c r="AB36" s="183">
        <f t="shared" si="42"/>
        <v>295.86</v>
      </c>
      <c r="AC36" s="183">
        <f t="shared" si="42"/>
        <v>479.88645161290322</v>
      </c>
      <c r="AD36" s="183">
        <f t="shared" si="42"/>
        <v>0</v>
      </c>
      <c r="AE36" s="183">
        <f t="shared" si="42"/>
        <v>0</v>
      </c>
      <c r="AF36" s="183">
        <f t="shared" si="42"/>
        <v>0</v>
      </c>
      <c r="AG36" s="183">
        <f t="shared" si="42"/>
        <v>0</v>
      </c>
      <c r="AH36" s="183">
        <f t="shared" si="42"/>
        <v>0</v>
      </c>
      <c r="AI36" s="183">
        <f t="shared" si="42"/>
        <v>515.60333333333335</v>
      </c>
      <c r="AJ36" s="183">
        <f t="shared" si="42"/>
        <v>-142.04181818181817</v>
      </c>
      <c r="AK36" s="183">
        <f t="shared" si="42"/>
        <v>507.48</v>
      </c>
      <c r="AL36" s="183">
        <f t="shared" si="42"/>
        <v>573.4425</v>
      </c>
      <c r="AM36" s="183">
        <f t="shared" si="42"/>
        <v>533.03481481481481</v>
      </c>
    </row>
    <row r="37" spans="1:39" s="185" customFormat="1" ht="13.8">
      <c r="A37" s="142" t="str">
        <f t="shared" si="0"/>
        <v/>
      </c>
      <c r="B37" s="171" t="str">
        <f t="shared" ca="1" si="1"/>
        <v/>
      </c>
      <c r="C37" s="166" t="str">
        <f t="shared" si="2"/>
        <v/>
      </c>
      <c r="D37" s="166" t="str">
        <f t="shared" si="3"/>
        <v/>
      </c>
      <c r="E37" s="166" t="str">
        <f t="shared" si="4"/>
        <v/>
      </c>
      <c r="F37" s="166" t="str">
        <f t="shared" si="31"/>
        <v/>
      </c>
      <c r="G37" s="184"/>
      <c r="I37" s="181"/>
      <c r="J37" s="186"/>
      <c r="K37" s="186"/>
      <c r="L37" s="186"/>
      <c r="M37" s="186"/>
      <c r="N37" s="186"/>
      <c r="O37" s="186"/>
      <c r="P37" s="186"/>
      <c r="Q37" s="186"/>
      <c r="R37" s="186"/>
      <c r="S37" s="186"/>
      <c r="T37" s="186"/>
      <c r="U37" s="186"/>
      <c r="V37" s="186"/>
      <c r="W37" s="186"/>
      <c r="X37" s="186"/>
      <c r="Y37" s="186"/>
      <c r="Z37" s="186"/>
      <c r="AA37" s="186"/>
      <c r="AB37" s="186"/>
      <c r="AC37" s="186"/>
      <c r="AD37" s="186"/>
      <c r="AE37" s="186"/>
      <c r="AF37" s="186"/>
      <c r="AG37" s="186"/>
      <c r="AH37" s="186"/>
      <c r="AI37" s="186"/>
      <c r="AJ37" s="186"/>
      <c r="AK37" s="186"/>
      <c r="AL37" s="186"/>
      <c r="AM37" s="186"/>
    </row>
    <row r="38" spans="1:39" s="185" customFormat="1" ht="13.8">
      <c r="A38" s="142"/>
      <c r="B38" s="171"/>
      <c r="C38" s="166"/>
      <c r="D38" s="166"/>
      <c r="E38" s="166"/>
      <c r="F38" s="166"/>
      <c r="G38" s="184"/>
      <c r="I38" s="181"/>
      <c r="J38" s="186"/>
      <c r="K38" s="186"/>
      <c r="L38" s="186"/>
      <c r="M38" s="186"/>
      <c r="N38" s="186"/>
      <c r="O38" s="186"/>
      <c r="P38" s="186"/>
      <c r="Q38" s="186"/>
      <c r="R38" s="186"/>
      <c r="S38" s="186"/>
      <c r="T38" s="186"/>
      <c r="U38" s="186"/>
      <c r="V38" s="186"/>
      <c r="W38" s="186"/>
      <c r="X38" s="186"/>
      <c r="Y38" s="186"/>
      <c r="Z38" s="186"/>
      <c r="AA38" s="186"/>
      <c r="AB38" s="186"/>
      <c r="AC38" s="186"/>
      <c r="AD38" s="186"/>
      <c r="AE38" s="186"/>
      <c r="AF38" s="186"/>
      <c r="AG38" s="186"/>
      <c r="AH38" s="186"/>
      <c r="AI38" s="186"/>
      <c r="AJ38" s="186"/>
      <c r="AK38" s="186"/>
      <c r="AL38" s="186"/>
      <c r="AM38" s="186"/>
    </row>
    <row r="39" spans="1:39" ht="13.8">
      <c r="A39" s="142" t="str">
        <f t="shared" ref="A39" si="43">IF(AND(LEN(H39)&gt;0,LEN(H38)=0,LEFT(H39,3)&lt;&gt;"TOT"),"GROUP","")</f>
        <v>GROUP</v>
      </c>
      <c r="B39" s="171"/>
      <c r="C39" s="166" t="str">
        <f t="shared" ref="C39" si="44">IF(LEN(D39)&gt;0,TRIM(E39&amp;" "&amp;D39),"")</f>
        <v/>
      </c>
      <c r="D39" s="166" t="str">
        <f t="shared" ref="D39" si="45">IFERROR(IF(AND(LEN(A39)&gt;0,A39&lt;&gt;"GROUP"),UPPER(H39),""),"")</f>
        <v/>
      </c>
      <c r="E39" s="166" t="str">
        <f t="shared" ref="E39" si="46">IFERROR(IF(A39="GROUP",UPPER(H39),IF(AND(LEN(A39)&gt;0,A39&lt;&gt;"GROUP"),UPPER(E38),"")),"")</f>
        <v>REVENUE</v>
      </c>
      <c r="F39" s="166" t="str">
        <f t="shared" ref="F39" si="47">TRIM(I39)</f>
        <v/>
      </c>
      <c r="G39" s="167"/>
      <c r="H39" s="138" t="s">
        <v>31</v>
      </c>
      <c r="J39" s="170"/>
      <c r="K39" s="170"/>
      <c r="L39" s="170"/>
      <c r="M39" s="170"/>
      <c r="N39" s="170"/>
      <c r="O39" s="170"/>
      <c r="P39" s="170"/>
      <c r="Q39" s="170"/>
      <c r="R39" s="170"/>
      <c r="S39" s="170"/>
      <c r="T39" s="170"/>
      <c r="U39" s="170"/>
      <c r="V39" s="170"/>
      <c r="W39" s="170"/>
      <c r="X39" s="170"/>
      <c r="Y39" s="170"/>
      <c r="Z39" s="170"/>
      <c r="AA39" s="170"/>
      <c r="AB39" s="170"/>
      <c r="AC39" s="170"/>
      <c r="AD39" s="170"/>
      <c r="AE39" s="170"/>
      <c r="AF39" s="170"/>
      <c r="AG39" s="170"/>
      <c r="AH39" s="170"/>
      <c r="AI39" s="170"/>
      <c r="AJ39" s="170"/>
      <c r="AK39" s="170"/>
      <c r="AL39" s="170"/>
      <c r="AM39" s="170"/>
    </row>
    <row r="40" spans="1:39" s="189" customFormat="1" ht="13.8">
      <c r="A40" s="142" t="s">
        <v>145</v>
      </c>
      <c r="B40" s="171">
        <f t="shared" ref="B40:B45" ca="1" si="48">IF(LEN(A40)=0,"",IFERROR(VLOOKUP(C40,INDIRECT(A40&amp;"_LOOKUP"),2,FALSE),"-100"))</f>
        <v>201</v>
      </c>
      <c r="C40" s="166" t="str">
        <f t="shared" ref="C40:C45" si="49">IF(LEN(D40)&gt;0,TRIM(E40&amp;" "&amp;D40),"")</f>
        <v>REVENUE PRIVATE</v>
      </c>
      <c r="D40" s="166" t="str">
        <f t="shared" ref="D40:D45" si="50">IFERROR(IF(AND(LEN(A40)&gt;0,A40&lt;&gt;"GROUP"),UPPER(H40),""),"")</f>
        <v>PRIVATE</v>
      </c>
      <c r="E40" s="166" t="str">
        <f t="shared" ref="E40:E45" si="51">IFERROR(IF(A40="GROUP",UPPER(H40),IF(AND(LEN(A40)&gt;0,A40&lt;&gt;"GROUP"),UPPER(E39),"")),"")</f>
        <v>REVENUE</v>
      </c>
      <c r="F40" s="166" t="str">
        <f t="shared" ref="F40:F45" si="52">TRIM(I40)</f>
        <v/>
      </c>
      <c r="G40" s="187"/>
      <c r="H40" s="131" t="s">
        <v>139</v>
      </c>
      <c r="I40" s="131"/>
      <c r="J40" s="188">
        <v>41869.450000000004</v>
      </c>
      <c r="K40" s="188">
        <v>31825.760000000002</v>
      </c>
      <c r="L40" s="188">
        <v>32103.920000000002</v>
      </c>
      <c r="M40" s="188">
        <v>43766.020000000004</v>
      </c>
      <c r="N40" s="188">
        <v>32992</v>
      </c>
      <c r="O40" s="188">
        <v>34351</v>
      </c>
      <c r="P40" s="188">
        <v>47890</v>
      </c>
      <c r="Q40" s="188">
        <v>36209</v>
      </c>
      <c r="R40" s="188">
        <v>41592</v>
      </c>
      <c r="S40" s="188">
        <v>37453.4</v>
      </c>
      <c r="T40" s="188">
        <v>30837</v>
      </c>
      <c r="U40" s="188">
        <v>39862</v>
      </c>
      <c r="V40" s="188">
        <v>30028</v>
      </c>
      <c r="W40" s="188">
        <v>24599.98</v>
      </c>
      <c r="X40" s="188">
        <v>27665.02</v>
      </c>
      <c r="Y40" s="188">
        <v>27270.03</v>
      </c>
      <c r="Z40" s="188">
        <v>32255.88</v>
      </c>
      <c r="AA40" s="188">
        <v>31599.3</v>
      </c>
      <c r="AB40" s="188">
        <v>36805.68</v>
      </c>
      <c r="AC40" s="188">
        <v>36018</v>
      </c>
      <c r="AD40" s="188">
        <v>38567.22</v>
      </c>
      <c r="AE40" s="188">
        <v>35214.82</v>
      </c>
      <c r="AF40" s="188">
        <v>34179.06</v>
      </c>
      <c r="AG40" s="188">
        <v>49024.509999999995</v>
      </c>
      <c r="AH40" s="188">
        <v>42623.85</v>
      </c>
      <c r="AI40" s="188">
        <v>42706.9</v>
      </c>
      <c r="AJ40" s="188">
        <v>41850.17</v>
      </c>
      <c r="AK40" s="188">
        <v>42324.74</v>
      </c>
      <c r="AL40" s="188">
        <v>24376.99</v>
      </c>
      <c r="AM40" s="188">
        <v>37820.46</v>
      </c>
    </row>
    <row r="41" spans="1:39" s="189" customFormat="1" ht="13.8">
      <c r="A41" s="142" t="s">
        <v>145</v>
      </c>
      <c r="B41" s="171">
        <f t="shared" ca="1" si="48"/>
        <v>202</v>
      </c>
      <c r="C41" s="166" t="str">
        <f t="shared" si="49"/>
        <v>REVENUE MEDICARE A</v>
      </c>
      <c r="D41" s="166" t="str">
        <f t="shared" si="50"/>
        <v>MEDICARE A</v>
      </c>
      <c r="E41" s="166" t="str">
        <f t="shared" si="51"/>
        <v>REVENUE</v>
      </c>
      <c r="F41" s="166" t="str">
        <f t="shared" si="52"/>
        <v/>
      </c>
      <c r="G41" s="187"/>
      <c r="H41" s="131" t="s">
        <v>143</v>
      </c>
      <c r="I41" s="131"/>
      <c r="J41" s="188">
        <v>147479.21</v>
      </c>
      <c r="K41" s="188">
        <v>131764.93</v>
      </c>
      <c r="L41" s="188">
        <v>137230.19</v>
      </c>
      <c r="M41" s="188">
        <v>160562.95000000001</v>
      </c>
      <c r="N41" s="188">
        <v>168389.77</v>
      </c>
      <c r="O41" s="188">
        <v>128019.40000000001</v>
      </c>
      <c r="P41" s="188">
        <v>117327.57</v>
      </c>
      <c r="Q41" s="188">
        <v>93398.13</v>
      </c>
      <c r="R41" s="188">
        <v>28853.66</v>
      </c>
      <c r="S41" s="188">
        <v>30518.62</v>
      </c>
      <c r="T41" s="188">
        <v>43348.41</v>
      </c>
      <c r="U41" s="188">
        <v>71636.81</v>
      </c>
      <c r="V41" s="188">
        <v>59531.020000000004</v>
      </c>
      <c r="W41" s="188">
        <v>42330.82</v>
      </c>
      <c r="X41" s="188">
        <v>61338.720000000001</v>
      </c>
      <c r="Y41" s="188">
        <v>63538.630000000005</v>
      </c>
      <c r="Z41" s="188">
        <v>27856.920000000002</v>
      </c>
      <c r="AA41" s="188">
        <v>10714.17</v>
      </c>
      <c r="AB41" s="188">
        <v>14361.49</v>
      </c>
      <c r="AC41" s="188">
        <v>34064.230000000003</v>
      </c>
      <c r="AD41" s="188">
        <v>28049.88</v>
      </c>
      <c r="AE41" s="188">
        <v>41390.93</v>
      </c>
      <c r="AF41" s="188">
        <v>52639.840000000004</v>
      </c>
      <c r="AG41" s="188">
        <v>77733.61</v>
      </c>
      <c r="AH41" s="188">
        <v>122809.42</v>
      </c>
      <c r="AI41" s="188">
        <v>94603.19</v>
      </c>
      <c r="AJ41" s="188">
        <v>104415.45</v>
      </c>
      <c r="AK41" s="188">
        <v>73396.83</v>
      </c>
      <c r="AL41" s="188">
        <v>90708.85</v>
      </c>
      <c r="AM41" s="188">
        <v>107360.40000000001</v>
      </c>
    </row>
    <row r="42" spans="1:39" s="189" customFormat="1" ht="13.8">
      <c r="A42" s="142" t="s">
        <v>145</v>
      </c>
      <c r="B42" s="171">
        <f t="shared" ca="1" si="48"/>
        <v>206</v>
      </c>
      <c r="C42" s="166" t="str">
        <f t="shared" si="49"/>
        <v>REVENUE MEDICARE B</v>
      </c>
      <c r="D42" s="166" t="str">
        <f t="shared" si="50"/>
        <v>MEDICARE B</v>
      </c>
      <c r="E42" s="166" t="str">
        <f t="shared" si="51"/>
        <v>REVENUE</v>
      </c>
      <c r="F42" s="166" t="str">
        <f t="shared" si="52"/>
        <v/>
      </c>
      <c r="G42" s="187"/>
      <c r="H42" s="131" t="s">
        <v>144</v>
      </c>
      <c r="I42" s="131"/>
      <c r="J42" s="188">
        <v>42010.37</v>
      </c>
      <c r="K42" s="188">
        <v>52583.74</v>
      </c>
      <c r="L42" s="188">
        <v>55457.87</v>
      </c>
      <c r="M42" s="188">
        <v>50006.11</v>
      </c>
      <c r="N42" s="188">
        <v>44224.800000000003</v>
      </c>
      <c r="O42" s="188">
        <v>49237.97</v>
      </c>
      <c r="P42" s="188">
        <v>56628.24</v>
      </c>
      <c r="Q42" s="188">
        <v>51302.28</v>
      </c>
      <c r="R42" s="188">
        <v>81711.12</v>
      </c>
      <c r="S42" s="188">
        <v>82476.58</v>
      </c>
      <c r="T42" s="188">
        <v>53574.85</v>
      </c>
      <c r="U42" s="188">
        <v>39661.270000000004</v>
      </c>
      <c r="V42" s="188">
        <v>9825.18</v>
      </c>
      <c r="W42" s="188">
        <v>16002.99</v>
      </c>
      <c r="X42" s="188">
        <v>17977.86</v>
      </c>
      <c r="Y42" s="188">
        <v>17658.73</v>
      </c>
      <c r="Z42" s="188">
        <v>17213.66</v>
      </c>
      <c r="AA42" s="188">
        <v>15368.59</v>
      </c>
      <c r="AB42" s="188">
        <v>13408.37</v>
      </c>
      <c r="AC42" s="188">
        <v>14714.06</v>
      </c>
      <c r="AD42" s="188">
        <v>16908.59</v>
      </c>
      <c r="AE42" s="188">
        <v>20708.87</v>
      </c>
      <c r="AF42" s="188">
        <v>16513.580000000002</v>
      </c>
      <c r="AG42" s="188">
        <v>16128.1</v>
      </c>
      <c r="AH42" s="188">
        <v>11906.41</v>
      </c>
      <c r="AI42" s="188">
        <v>18608.25</v>
      </c>
      <c r="AJ42" s="188">
        <v>17096.13</v>
      </c>
      <c r="AK42" s="188">
        <v>15450.89</v>
      </c>
      <c r="AL42" s="188">
        <v>16549.07</v>
      </c>
      <c r="AM42" s="188">
        <v>13149.19</v>
      </c>
    </row>
    <row r="43" spans="1:39" s="189" customFormat="1" ht="13.8">
      <c r="A43" s="142" t="s">
        <v>145</v>
      </c>
      <c r="B43" s="171">
        <f t="shared" ca="1" si="48"/>
        <v>203</v>
      </c>
      <c r="C43" s="166" t="str">
        <f t="shared" si="49"/>
        <v>REVENUE MEDICAID</v>
      </c>
      <c r="D43" s="166" t="str">
        <f t="shared" si="50"/>
        <v>MEDICAID</v>
      </c>
      <c r="E43" s="166" t="str">
        <f t="shared" si="51"/>
        <v>REVENUE</v>
      </c>
      <c r="F43" s="166" t="str">
        <f t="shared" si="52"/>
        <v/>
      </c>
      <c r="G43" s="187"/>
      <c r="H43" s="131" t="s">
        <v>28</v>
      </c>
      <c r="I43" s="131"/>
      <c r="J43" s="188">
        <v>201035.19</v>
      </c>
      <c r="K43" s="188">
        <v>209387.97</v>
      </c>
      <c r="L43" s="188">
        <v>237393.13</v>
      </c>
      <c r="M43" s="188">
        <v>205899.19999999998</v>
      </c>
      <c r="N43" s="188">
        <v>234128.19</v>
      </c>
      <c r="O43" s="188">
        <v>205841.18</v>
      </c>
      <c r="P43" s="188">
        <v>188529.98</v>
      </c>
      <c r="Q43" s="188">
        <v>240644.37000000002</v>
      </c>
      <c r="R43" s="188">
        <v>223076.3</v>
      </c>
      <c r="S43" s="188">
        <v>191896.44</v>
      </c>
      <c r="T43" s="188">
        <v>201503.43</v>
      </c>
      <c r="U43" s="188">
        <v>217262.06</v>
      </c>
      <c r="V43" s="188">
        <v>198335.91999999998</v>
      </c>
      <c r="W43" s="188">
        <v>158448.12</v>
      </c>
      <c r="X43" s="188">
        <v>165024.91</v>
      </c>
      <c r="Y43" s="188">
        <v>176782.02000000005</v>
      </c>
      <c r="Z43" s="188">
        <v>186334.57</v>
      </c>
      <c r="AA43" s="188">
        <v>181771.66</v>
      </c>
      <c r="AB43" s="188">
        <v>170574.89</v>
      </c>
      <c r="AC43" s="188">
        <v>155229.76000000004</v>
      </c>
      <c r="AD43" s="188">
        <v>135562.34000000003</v>
      </c>
      <c r="AE43" s="188">
        <v>136948.44</v>
      </c>
      <c r="AF43" s="188">
        <v>129237.92000000001</v>
      </c>
      <c r="AG43" s="188">
        <v>126948.87</v>
      </c>
      <c r="AH43" s="188">
        <v>145351.49000000002</v>
      </c>
      <c r="AI43" s="188">
        <v>143277.24</v>
      </c>
      <c r="AJ43" s="188">
        <v>155600.15999999997</v>
      </c>
      <c r="AK43" s="188">
        <v>130840.47</v>
      </c>
      <c r="AL43" s="188">
        <v>137635.82999999999</v>
      </c>
      <c r="AM43" s="188">
        <v>106165.93</v>
      </c>
    </row>
    <row r="44" spans="1:39" s="189" customFormat="1" ht="13.8">
      <c r="A44" s="142" t="s">
        <v>145</v>
      </c>
      <c r="B44" s="171">
        <f t="shared" ca="1" si="48"/>
        <v>204</v>
      </c>
      <c r="C44" s="166" t="str">
        <f t="shared" si="49"/>
        <v>REVENUE HOSPICE</v>
      </c>
      <c r="D44" s="166" t="str">
        <f t="shared" si="50"/>
        <v>HOSPICE</v>
      </c>
      <c r="E44" s="166" t="str">
        <f t="shared" si="51"/>
        <v>REVENUE</v>
      </c>
      <c r="F44" s="166" t="str">
        <f t="shared" si="52"/>
        <v/>
      </c>
      <c r="G44" s="187"/>
      <c r="H44" s="131" t="s">
        <v>27</v>
      </c>
      <c r="I44" s="131"/>
      <c r="J44" s="188">
        <v>20616.32</v>
      </c>
      <c r="K44" s="188">
        <v>19337.21</v>
      </c>
      <c r="L44" s="188">
        <v>19595.760000000002</v>
      </c>
      <c r="M44" s="188">
        <v>20450.900000000001</v>
      </c>
      <c r="N44" s="188">
        <v>17996.43</v>
      </c>
      <c r="O44" s="188">
        <v>22999.69</v>
      </c>
      <c r="P44" s="188">
        <v>17619.439999999999</v>
      </c>
      <c r="Q44" s="188">
        <v>14949.43</v>
      </c>
      <c r="R44" s="188">
        <v>26399.670000000002</v>
      </c>
      <c r="S44" s="188">
        <v>26932.7</v>
      </c>
      <c r="T44" s="188">
        <v>25165.200000000001</v>
      </c>
      <c r="U44" s="188">
        <v>14077.9</v>
      </c>
      <c r="V44" s="188">
        <v>21511.360000000001</v>
      </c>
      <c r="W44" s="188">
        <v>17489.7</v>
      </c>
      <c r="X44" s="188">
        <v>7172.38</v>
      </c>
      <c r="Y44" s="188">
        <v>9224.7800000000007</v>
      </c>
      <c r="Z44" s="188">
        <v>11973.6</v>
      </c>
      <c r="AA44" s="188">
        <v>15124.59</v>
      </c>
      <c r="AB44" s="188">
        <v>12823.99</v>
      </c>
      <c r="AC44" s="188">
        <v>11336.64</v>
      </c>
      <c r="AD44" s="188">
        <v>9707.6200000000008</v>
      </c>
      <c r="AE44" s="188">
        <v>8611.02</v>
      </c>
      <c r="AF44" s="188">
        <v>16447.95</v>
      </c>
      <c r="AG44" s="188">
        <v>22614.18</v>
      </c>
      <c r="AH44" s="188">
        <v>22974.39</v>
      </c>
      <c r="AI44" s="188">
        <v>15960.95</v>
      </c>
      <c r="AJ44" s="188">
        <v>22284.75</v>
      </c>
      <c r="AK44" s="188">
        <v>13007.6</v>
      </c>
      <c r="AL44" s="188">
        <v>18979.18</v>
      </c>
      <c r="AM44" s="188">
        <v>15284.28</v>
      </c>
    </row>
    <row r="45" spans="1:39" s="189" customFormat="1" ht="13.8">
      <c r="A45" s="142" t="s">
        <v>145</v>
      </c>
      <c r="B45" s="171">
        <f t="shared" ca="1" si="48"/>
        <v>205</v>
      </c>
      <c r="C45" s="166" t="str">
        <f t="shared" si="49"/>
        <v>REVENUE INSURANCE</v>
      </c>
      <c r="D45" s="166" t="str">
        <f t="shared" si="50"/>
        <v>INSURANCE</v>
      </c>
      <c r="E45" s="166" t="str">
        <f t="shared" si="51"/>
        <v>REVENUE</v>
      </c>
      <c r="F45" s="166" t="str">
        <f t="shared" si="52"/>
        <v/>
      </c>
      <c r="G45" s="187"/>
      <c r="H45" s="131" t="s">
        <v>11</v>
      </c>
      <c r="I45" s="131"/>
      <c r="J45" s="188">
        <v>65735.180000000008</v>
      </c>
      <c r="K45" s="188">
        <v>17540.04</v>
      </c>
      <c r="L45" s="188">
        <v>1309.21</v>
      </c>
      <c r="M45" s="188">
        <v>8770.09</v>
      </c>
      <c r="N45" s="188">
        <v>27350.45</v>
      </c>
      <c r="O45" s="188">
        <v>13966.34</v>
      </c>
      <c r="P45" s="188">
        <v>4748.88</v>
      </c>
      <c r="Q45" s="188">
        <v>17794.010000000002</v>
      </c>
      <c r="R45" s="188">
        <v>1245</v>
      </c>
      <c r="S45" s="188">
        <v>719.24</v>
      </c>
      <c r="T45" s="188">
        <v>12208.33</v>
      </c>
      <c r="U45" s="188">
        <v>7534.42</v>
      </c>
      <c r="V45" s="188">
        <v>4554.6900000000005</v>
      </c>
      <c r="W45" s="188">
        <v>-4844.5</v>
      </c>
      <c r="X45" s="188">
        <v>3947.9</v>
      </c>
      <c r="Y45" s="188">
        <v>12970.37</v>
      </c>
      <c r="Z45" s="188">
        <v>16547.420000000002</v>
      </c>
      <c r="AA45" s="188">
        <v>10053.880000000001</v>
      </c>
      <c r="AB45" s="188">
        <v>3254.46</v>
      </c>
      <c r="AC45" s="188">
        <v>14876.48</v>
      </c>
      <c r="AD45" s="188">
        <v>1682.54</v>
      </c>
      <c r="AE45" s="188">
        <v>1982.47</v>
      </c>
      <c r="AF45" s="188">
        <v>3952.17</v>
      </c>
      <c r="AG45" s="188">
        <v>487.58</v>
      </c>
      <c r="AH45" s="188">
        <v>0</v>
      </c>
      <c r="AI45" s="188">
        <v>13921.29</v>
      </c>
      <c r="AJ45" s="188">
        <v>-1562.46</v>
      </c>
      <c r="AK45" s="188">
        <v>1522.44</v>
      </c>
      <c r="AL45" s="188">
        <v>4587.54</v>
      </c>
      <c r="AM45" s="188">
        <v>14391.94</v>
      </c>
    </row>
    <row r="46" spans="1:39" s="189" customFormat="1" ht="14.4" customHeight="1">
      <c r="A46" s="142" t="s">
        <v>145</v>
      </c>
      <c r="B46" s="171">
        <f t="shared" ref="B46" ca="1" si="53">IF(LEN(A46)=0,"",IFERROR(VLOOKUP(C46,INDIRECT(A46&amp;"_LOOKUP"),2,FALSE),"-100"))</f>
        <v>207</v>
      </c>
      <c r="C46" s="166" t="str">
        <f t="shared" ref="C46" si="54">IF(LEN(D46)&gt;0,TRIM(E46&amp;" "&amp;D46),"")</f>
        <v>REVENUE APARTMENT</v>
      </c>
      <c r="D46" s="166" t="str">
        <f t="shared" ref="D46" si="55">IFERROR(IF(AND(LEN(A46)&gt;0,A46&lt;&gt;"GROUP"),UPPER(H46),""),"")</f>
        <v>APARTMENT</v>
      </c>
      <c r="E46" s="166" t="str">
        <f t="shared" ref="E46" si="56">IFERROR(IF(A46="GROUP",UPPER(H46),IF(AND(LEN(A46)&gt;0,A46&lt;&gt;"GROUP"),UPPER(E45),"")),"")</f>
        <v>REVENUE</v>
      </c>
      <c r="F46" s="166" t="str">
        <f t="shared" ref="F46" si="57">TRIM(I46)</f>
        <v/>
      </c>
      <c r="G46" s="187"/>
      <c r="H46" s="131" t="s">
        <v>146</v>
      </c>
      <c r="I46" s="131"/>
      <c r="J46" s="188">
        <v>0</v>
      </c>
      <c r="K46" s="188">
        <v>50</v>
      </c>
      <c r="L46" s="188">
        <v>50</v>
      </c>
      <c r="M46" s="188">
        <v>37.5</v>
      </c>
      <c r="N46" s="188">
        <v>0</v>
      </c>
      <c r="O46" s="188">
        <v>0</v>
      </c>
      <c r="P46" s="188">
        <v>0</v>
      </c>
      <c r="Q46" s="188">
        <v>0</v>
      </c>
      <c r="R46" s="188">
        <v>0</v>
      </c>
      <c r="S46" s="188">
        <v>0</v>
      </c>
      <c r="T46" s="188">
        <v>2.5</v>
      </c>
      <c r="U46" s="188">
        <v>0</v>
      </c>
      <c r="V46" s="188">
        <v>0</v>
      </c>
      <c r="W46" s="188">
        <v>0</v>
      </c>
      <c r="X46" s="188">
        <v>0</v>
      </c>
      <c r="Y46" s="188">
        <v>0</v>
      </c>
      <c r="Z46" s="188">
        <v>0</v>
      </c>
      <c r="AA46" s="188">
        <v>2.5</v>
      </c>
      <c r="AB46" s="188">
        <v>2.5</v>
      </c>
      <c r="AC46" s="188">
        <v>0</v>
      </c>
      <c r="AD46" s="188">
        <v>2.5</v>
      </c>
      <c r="AE46" s="188">
        <v>2.5</v>
      </c>
      <c r="AF46" s="188">
        <v>0</v>
      </c>
      <c r="AG46" s="188">
        <v>0</v>
      </c>
      <c r="AH46" s="188">
        <v>0</v>
      </c>
      <c r="AI46" s="188">
        <v>0</v>
      </c>
      <c r="AJ46" s="188">
        <v>0</v>
      </c>
      <c r="AK46" s="188">
        <v>0</v>
      </c>
      <c r="AL46" s="188">
        <v>0</v>
      </c>
      <c r="AM46" s="188">
        <v>0</v>
      </c>
    </row>
    <row r="47" spans="1:39" s="138" customFormat="1" ht="13.8">
      <c r="A47" s="230" t="s">
        <v>145</v>
      </c>
      <c r="B47" s="232">
        <v>222</v>
      </c>
      <c r="C47" s="231" t="str">
        <f>UPPER(H47)</f>
        <v xml:space="preserve">TOTAL REVENUE </v>
      </c>
      <c r="D47" s="231" t="str">
        <f t="shared" si="3"/>
        <v xml:space="preserve">TOTAL REVENUE </v>
      </c>
      <c r="E47" s="231" t="str">
        <f t="shared" si="4"/>
        <v>REVENUE</v>
      </c>
      <c r="F47" s="231" t="str">
        <f t="shared" si="31"/>
        <v/>
      </c>
      <c r="G47" s="190"/>
      <c r="H47" s="138" t="s">
        <v>147</v>
      </c>
      <c r="I47" s="131"/>
      <c r="J47" s="191">
        <f>SUM(J40:J46)</f>
        <v>518745.72</v>
      </c>
      <c r="K47" s="191">
        <f t="shared" ref="K47:AM47" si="58">SUM(K40:K46)</f>
        <v>462489.65</v>
      </c>
      <c r="L47" s="191">
        <f t="shared" si="58"/>
        <v>483140.08</v>
      </c>
      <c r="M47" s="191">
        <f t="shared" si="58"/>
        <v>489492.77000000008</v>
      </c>
      <c r="N47" s="191">
        <f t="shared" si="58"/>
        <v>525081.64</v>
      </c>
      <c r="O47" s="191">
        <f t="shared" si="58"/>
        <v>454415.58000000007</v>
      </c>
      <c r="P47" s="191">
        <f t="shared" si="58"/>
        <v>432744.11000000004</v>
      </c>
      <c r="Q47" s="191">
        <f t="shared" si="58"/>
        <v>454297.22000000003</v>
      </c>
      <c r="R47" s="191">
        <f t="shared" si="58"/>
        <v>402877.74999999994</v>
      </c>
      <c r="S47" s="191">
        <f t="shared" si="58"/>
        <v>369996.98000000004</v>
      </c>
      <c r="T47" s="191">
        <f t="shared" si="58"/>
        <v>366639.72000000003</v>
      </c>
      <c r="U47" s="191">
        <f t="shared" si="58"/>
        <v>390034.46</v>
      </c>
      <c r="V47" s="191">
        <f t="shared" si="58"/>
        <v>323786.17</v>
      </c>
      <c r="W47" s="191">
        <f t="shared" si="58"/>
        <v>254027.11000000002</v>
      </c>
      <c r="X47" s="191">
        <f t="shared" si="58"/>
        <v>283126.79000000004</v>
      </c>
      <c r="Y47" s="191">
        <f t="shared" si="58"/>
        <v>307444.56000000006</v>
      </c>
      <c r="Z47" s="191">
        <f t="shared" si="58"/>
        <v>292182.05</v>
      </c>
      <c r="AA47" s="191">
        <f t="shared" si="58"/>
        <v>264634.69</v>
      </c>
      <c r="AB47" s="191">
        <f t="shared" si="58"/>
        <v>251231.38</v>
      </c>
      <c r="AC47" s="191">
        <f t="shared" si="58"/>
        <v>266239.17000000004</v>
      </c>
      <c r="AD47" s="191">
        <f t="shared" si="58"/>
        <v>230480.69000000003</v>
      </c>
      <c r="AE47" s="191">
        <f t="shared" si="58"/>
        <v>244859.05</v>
      </c>
      <c r="AF47" s="191">
        <f t="shared" si="58"/>
        <v>252970.52000000005</v>
      </c>
      <c r="AG47" s="191">
        <f t="shared" si="58"/>
        <v>292936.84999999998</v>
      </c>
      <c r="AH47" s="191">
        <f t="shared" si="58"/>
        <v>345665.56000000006</v>
      </c>
      <c r="AI47" s="191">
        <f t="shared" si="58"/>
        <v>329077.81999999995</v>
      </c>
      <c r="AJ47" s="191">
        <f t="shared" si="58"/>
        <v>339684.19999999995</v>
      </c>
      <c r="AK47" s="191">
        <f t="shared" si="58"/>
        <v>276542.97000000003</v>
      </c>
      <c r="AL47" s="191">
        <f t="shared" si="58"/>
        <v>292837.45999999996</v>
      </c>
      <c r="AM47" s="191">
        <f t="shared" si="58"/>
        <v>294172.2</v>
      </c>
    </row>
    <row r="48" spans="1:39" ht="13.8">
      <c r="A48" s="142" t="str">
        <f t="shared" ref="A48:A49" si="59">IF(AND(LEN(H48)&gt;0,LEN(H47)=0,LEFT(H48,3)&lt;&gt;"TOT"),"GROUP","")</f>
        <v/>
      </c>
      <c r="B48" s="171" t="str">
        <f t="shared" ca="1" si="1"/>
        <v/>
      </c>
      <c r="C48" s="166" t="str">
        <f t="shared" si="2"/>
        <v/>
      </c>
      <c r="D48" s="166" t="str">
        <f t="shared" si="3"/>
        <v/>
      </c>
      <c r="E48" s="166" t="str">
        <f t="shared" si="4"/>
        <v/>
      </c>
      <c r="F48" s="166" t="str">
        <f t="shared" si="31"/>
        <v/>
      </c>
      <c r="G48" s="187"/>
      <c r="J48" s="188"/>
      <c r="K48" s="188"/>
      <c r="L48" s="188"/>
      <c r="M48" s="188"/>
      <c r="N48" s="188"/>
      <c r="O48" s="188"/>
      <c r="P48" s="188"/>
      <c r="Q48" s="188"/>
      <c r="R48" s="188"/>
      <c r="S48" s="188"/>
      <c r="T48" s="188"/>
      <c r="U48" s="188"/>
      <c r="V48" s="188"/>
      <c r="W48" s="188"/>
      <c r="X48" s="188"/>
      <c r="Y48" s="188"/>
      <c r="Z48" s="188"/>
      <c r="AA48" s="188"/>
      <c r="AB48" s="188"/>
      <c r="AC48" s="188"/>
      <c r="AD48" s="188"/>
      <c r="AE48" s="188"/>
      <c r="AF48" s="188"/>
      <c r="AG48" s="188"/>
      <c r="AH48" s="188"/>
      <c r="AI48" s="188"/>
      <c r="AJ48" s="188"/>
      <c r="AK48" s="188"/>
      <c r="AL48" s="188"/>
      <c r="AM48" s="188"/>
    </row>
    <row r="49" spans="1:39" ht="13.8">
      <c r="A49" s="142" t="str">
        <f t="shared" si="59"/>
        <v>GROUP</v>
      </c>
      <c r="B49" s="171"/>
      <c r="C49" s="166" t="str">
        <f t="shared" si="2"/>
        <v/>
      </c>
      <c r="D49" s="166" t="str">
        <f t="shared" si="3"/>
        <v/>
      </c>
      <c r="E49" s="166" t="str">
        <f t="shared" si="4"/>
        <v>COSTS AND EXPENSES:</v>
      </c>
      <c r="F49" s="166" t="str">
        <f t="shared" si="31"/>
        <v/>
      </c>
      <c r="G49" s="187"/>
      <c r="H49" s="138" t="s">
        <v>148</v>
      </c>
      <c r="J49" s="188"/>
      <c r="K49" s="188"/>
      <c r="L49" s="188"/>
      <c r="M49" s="188"/>
      <c r="N49" s="188"/>
      <c r="O49" s="188"/>
      <c r="P49" s="188"/>
      <c r="Q49" s="188"/>
      <c r="R49" s="188"/>
      <c r="S49" s="188"/>
      <c r="T49" s="188"/>
      <c r="U49" s="188"/>
      <c r="V49" s="188"/>
      <c r="W49" s="188"/>
      <c r="X49" s="188"/>
      <c r="Y49" s="188"/>
      <c r="Z49" s="188"/>
      <c r="AA49" s="188"/>
      <c r="AB49" s="188"/>
      <c r="AC49" s="188"/>
      <c r="AD49" s="188"/>
      <c r="AE49" s="188"/>
      <c r="AF49" s="188"/>
      <c r="AG49" s="188"/>
      <c r="AH49" s="188"/>
      <c r="AI49" s="188"/>
      <c r="AJ49" s="188"/>
      <c r="AK49" s="188"/>
      <c r="AL49" s="188"/>
      <c r="AM49" s="188"/>
    </row>
    <row r="50" spans="1:39" ht="13.8" outlineLevel="1">
      <c r="A50" s="142" t="s">
        <v>149</v>
      </c>
      <c r="B50" s="171">
        <f t="shared" ref="B50:B113" ca="1" si="60">IF(LEN(A50)=0,"",IFERROR(VLOOKUP(C50,INDIRECT(A50&amp;"_LOOKUP"),2,FALSE),"-100"))</f>
        <v>994</v>
      </c>
      <c r="C50" s="166" t="str">
        <f t="shared" si="2"/>
        <v>COSTS AND EXPENSES: WAGES</v>
      </c>
      <c r="D50" s="166" t="str">
        <f t="shared" si="3"/>
        <v>WAGES</v>
      </c>
      <c r="E50" s="166" t="str">
        <f t="shared" si="4"/>
        <v>COSTS AND EXPENSES:</v>
      </c>
      <c r="F50" s="166" t="str">
        <f t="shared" si="31"/>
        <v>500010</v>
      </c>
      <c r="H50" s="134" t="s">
        <v>150</v>
      </c>
      <c r="I50" s="134" t="s">
        <v>151</v>
      </c>
      <c r="J50" s="132">
        <v>45874.37</v>
      </c>
      <c r="K50" s="132">
        <v>43009.96</v>
      </c>
      <c r="L50" s="132">
        <v>47526.8</v>
      </c>
      <c r="M50" s="132">
        <v>46279.33</v>
      </c>
      <c r="N50" s="132">
        <v>45099.63</v>
      </c>
      <c r="O50" s="132">
        <v>45471.96</v>
      </c>
      <c r="P50" s="132">
        <v>44555.92</v>
      </c>
      <c r="Q50" s="132">
        <v>46615.08</v>
      </c>
      <c r="R50" s="132">
        <v>49300.61</v>
      </c>
      <c r="S50" s="132">
        <v>38589.25</v>
      </c>
      <c r="T50" s="132">
        <v>43639.86</v>
      </c>
      <c r="U50" s="132">
        <v>43176.43</v>
      </c>
      <c r="V50" s="132">
        <v>43557.47</v>
      </c>
      <c r="W50" s="132">
        <v>35246.06</v>
      </c>
      <c r="X50" s="132">
        <v>42526.17</v>
      </c>
      <c r="Y50" s="132">
        <v>47858.270000000004</v>
      </c>
      <c r="Z50" s="132">
        <v>44553.78</v>
      </c>
      <c r="AA50" s="132">
        <v>39398.25</v>
      </c>
      <c r="AB50" s="132">
        <v>35128.19</v>
      </c>
      <c r="AC50" s="132">
        <v>41496.480000000003</v>
      </c>
      <c r="AD50" s="132">
        <v>33431.53</v>
      </c>
      <c r="AE50" s="132">
        <v>42845.440000000002</v>
      </c>
      <c r="AF50" s="132">
        <v>41333.49</v>
      </c>
      <c r="AG50" s="132">
        <v>38279.69</v>
      </c>
      <c r="AH50" s="132">
        <v>37022.400000000001</v>
      </c>
      <c r="AI50" s="132">
        <v>35673.64</v>
      </c>
      <c r="AJ50" s="132">
        <v>41944.26</v>
      </c>
      <c r="AK50" s="132">
        <v>39399.730000000003</v>
      </c>
      <c r="AL50" s="132">
        <v>40514.44</v>
      </c>
      <c r="AM50" s="132">
        <v>40422.36</v>
      </c>
    </row>
    <row r="51" spans="1:39" ht="13.8" outlineLevel="1">
      <c r="A51" s="142" t="s">
        <v>149</v>
      </c>
      <c r="B51" s="171">
        <f t="shared" ca="1" si="60"/>
        <v>302.10000000000002</v>
      </c>
      <c r="C51" s="166" t="str">
        <f t="shared" si="2"/>
        <v>COSTS AND EXPENSES: DIRECTOR OF NURSING</v>
      </c>
      <c r="D51" s="166" t="str">
        <f t="shared" si="3"/>
        <v>DIRECTOR OF NURSING</v>
      </c>
      <c r="E51" s="166" t="str">
        <f t="shared" si="4"/>
        <v>COSTS AND EXPENSES:</v>
      </c>
      <c r="F51" s="166" t="str">
        <f t="shared" si="31"/>
        <v>500012</v>
      </c>
      <c r="H51" s="134" t="s">
        <v>152</v>
      </c>
      <c r="I51" s="134" t="s">
        <v>153</v>
      </c>
      <c r="J51" s="132">
        <v>7822.87</v>
      </c>
      <c r="K51" s="132">
        <v>6608.57</v>
      </c>
      <c r="L51" s="132">
        <v>8202.83</v>
      </c>
      <c r="M51" s="132">
        <v>7422.7</v>
      </c>
      <c r="N51" s="132">
        <v>7609.64</v>
      </c>
      <c r="O51" s="132">
        <v>7869.3200000000006</v>
      </c>
      <c r="P51" s="132">
        <v>4830.7</v>
      </c>
      <c r="Q51" s="132">
        <v>9089.98</v>
      </c>
      <c r="R51" s="132">
        <v>7427.84</v>
      </c>
      <c r="S51" s="132">
        <v>6025.38</v>
      </c>
      <c r="T51" s="132">
        <v>7999.18</v>
      </c>
      <c r="U51" s="132">
        <v>7323.96</v>
      </c>
      <c r="V51" s="132">
        <v>7272</v>
      </c>
      <c r="W51" s="132">
        <v>6908.4000000000005</v>
      </c>
      <c r="X51" s="132">
        <v>8095.3200000000006</v>
      </c>
      <c r="Y51" s="132">
        <v>7502.06</v>
      </c>
      <c r="Z51" s="132">
        <v>8131.68</v>
      </c>
      <c r="AA51" s="132">
        <v>7697.12</v>
      </c>
      <c r="AB51" s="132">
        <v>2098.46</v>
      </c>
      <c r="AC51" s="132">
        <v>10492.47</v>
      </c>
      <c r="AD51" s="132">
        <v>7502.06</v>
      </c>
      <c r="AE51" s="132">
        <v>8131.68</v>
      </c>
      <c r="AF51" s="132">
        <v>7869.3600000000006</v>
      </c>
      <c r="AG51" s="132">
        <v>6792.6100000000006</v>
      </c>
      <c r="AH51" s="132">
        <v>8106.38</v>
      </c>
      <c r="AI51" s="132">
        <v>7409.13</v>
      </c>
      <c r="AJ51" s="132">
        <v>7917.22</v>
      </c>
      <c r="AK51" s="132">
        <v>8241.5</v>
      </c>
      <c r="AL51" s="132">
        <v>8376.61</v>
      </c>
      <c r="AM51" s="132">
        <v>7728.06</v>
      </c>
    </row>
    <row r="52" spans="1:39" ht="13.8" outlineLevel="1">
      <c r="A52" s="142" t="s">
        <v>149</v>
      </c>
      <c r="B52" s="171">
        <f t="shared" ca="1" si="60"/>
        <v>302.10000000000002</v>
      </c>
      <c r="C52" s="166" t="str">
        <f t="shared" si="2"/>
        <v>COSTS AND EXPENSES: ASST DIRECTOR OF NURSING RN</v>
      </c>
      <c r="D52" s="166" t="str">
        <f t="shared" si="3"/>
        <v>ASST DIRECTOR OF NURSING RN</v>
      </c>
      <c r="E52" s="166" t="str">
        <f t="shared" si="4"/>
        <v>COSTS AND EXPENSES:</v>
      </c>
      <c r="F52" s="166" t="str">
        <f t="shared" si="31"/>
        <v>500013</v>
      </c>
      <c r="H52" s="134" t="s">
        <v>154</v>
      </c>
      <c r="I52" s="134" t="s">
        <v>155</v>
      </c>
      <c r="J52" s="132">
        <v>0</v>
      </c>
      <c r="K52" s="132">
        <v>0</v>
      </c>
      <c r="L52" s="132">
        <v>0</v>
      </c>
      <c r="M52" s="132">
        <v>0</v>
      </c>
      <c r="N52" s="132">
        <v>0</v>
      </c>
      <c r="O52" s="132">
        <v>0</v>
      </c>
      <c r="P52" s="132">
        <v>0</v>
      </c>
      <c r="Q52" s="132">
        <v>0</v>
      </c>
      <c r="R52" s="132">
        <v>0</v>
      </c>
      <c r="S52" s="132">
        <v>0</v>
      </c>
      <c r="T52" s="132">
        <v>0</v>
      </c>
      <c r="U52" s="132">
        <v>0</v>
      </c>
      <c r="V52" s="132">
        <v>0</v>
      </c>
      <c r="W52" s="132">
        <v>944.44</v>
      </c>
      <c r="X52" s="132">
        <v>3428.3</v>
      </c>
      <c r="Y52" s="132">
        <v>4879.07</v>
      </c>
      <c r="Z52" s="132">
        <v>-187.73</v>
      </c>
      <c r="AA52" s="132">
        <v>0</v>
      </c>
      <c r="AB52" s="132">
        <v>0</v>
      </c>
      <c r="AC52" s="132">
        <v>0</v>
      </c>
      <c r="AD52" s="132">
        <v>0</v>
      </c>
      <c r="AE52" s="132">
        <v>0</v>
      </c>
      <c r="AF52" s="132">
        <v>0</v>
      </c>
      <c r="AG52" s="132">
        <v>0</v>
      </c>
      <c r="AH52" s="132">
        <v>0</v>
      </c>
      <c r="AI52" s="132">
        <v>0</v>
      </c>
      <c r="AJ52" s="132">
        <v>0</v>
      </c>
      <c r="AK52" s="132">
        <v>0</v>
      </c>
      <c r="AL52" s="132">
        <v>0</v>
      </c>
      <c r="AM52" s="132">
        <v>0</v>
      </c>
    </row>
    <row r="53" spans="1:39" ht="13.8" outlineLevel="1">
      <c r="A53" s="142" t="s">
        <v>149</v>
      </c>
      <c r="B53" s="171">
        <f t="shared" ca="1" si="60"/>
        <v>302.10000000000002</v>
      </c>
      <c r="C53" s="166" t="str">
        <f t="shared" si="2"/>
        <v>COSTS AND EXPENSES: ASST. DIRECTOR OF NURSING LPN</v>
      </c>
      <c r="D53" s="166" t="str">
        <f t="shared" si="3"/>
        <v>ASST. DIRECTOR OF NURSING LPN</v>
      </c>
      <c r="E53" s="166" t="str">
        <f t="shared" si="4"/>
        <v>COSTS AND EXPENSES:</v>
      </c>
      <c r="F53" s="166" t="str">
        <f t="shared" si="31"/>
        <v>500014</v>
      </c>
      <c r="H53" s="134" t="s">
        <v>156</v>
      </c>
      <c r="I53" s="134" t="s">
        <v>157</v>
      </c>
      <c r="J53" s="132">
        <v>13087.89</v>
      </c>
      <c r="K53" s="132">
        <v>11474.29</v>
      </c>
      <c r="L53" s="132">
        <v>10104.43</v>
      </c>
      <c r="M53" s="132">
        <v>10270.69</v>
      </c>
      <c r="N53" s="132">
        <v>9322.0400000000009</v>
      </c>
      <c r="O53" s="132">
        <v>4264.8999999999996</v>
      </c>
      <c r="P53" s="132">
        <v>4570.9000000000005</v>
      </c>
      <c r="Q53" s="132">
        <v>7742.34</v>
      </c>
      <c r="R53" s="132">
        <v>9580.56</v>
      </c>
      <c r="S53" s="132">
        <v>8835.9600000000009</v>
      </c>
      <c r="T53" s="132">
        <v>7369.66</v>
      </c>
      <c r="U53" s="132">
        <v>7610.75</v>
      </c>
      <c r="V53" s="132">
        <v>6677.04</v>
      </c>
      <c r="W53" s="132">
        <v>4157.66</v>
      </c>
      <c r="X53" s="132">
        <v>4256.4400000000005</v>
      </c>
      <c r="Y53" s="132">
        <v>3835.13</v>
      </c>
      <c r="Z53" s="132">
        <v>4394.29</v>
      </c>
      <c r="AA53" s="132">
        <v>2685.05</v>
      </c>
      <c r="AB53" s="132">
        <v>3522.4300000000003</v>
      </c>
      <c r="AC53" s="132">
        <v>5549.3</v>
      </c>
      <c r="AD53" s="132">
        <v>7672.35</v>
      </c>
      <c r="AE53" s="132">
        <v>8369.43</v>
      </c>
      <c r="AF53" s="132">
        <v>7423.99</v>
      </c>
      <c r="AG53" s="132">
        <v>7891.05</v>
      </c>
      <c r="AH53" s="132">
        <v>7986.18</v>
      </c>
      <c r="AI53" s="132">
        <v>8071.9800000000005</v>
      </c>
      <c r="AJ53" s="132">
        <v>8152.63</v>
      </c>
      <c r="AK53" s="132">
        <v>8628.6</v>
      </c>
      <c r="AL53" s="132">
        <v>6298.1900000000005</v>
      </c>
      <c r="AM53" s="132">
        <v>4321.3100000000004</v>
      </c>
    </row>
    <row r="54" spans="1:39" ht="13.8" outlineLevel="1">
      <c r="A54" s="142" t="s">
        <v>149</v>
      </c>
      <c r="B54" s="171">
        <f t="shared" ca="1" si="60"/>
        <v>301.10000000000002</v>
      </c>
      <c r="C54" s="166" t="str">
        <f t="shared" si="2"/>
        <v>COSTS AND EXPENSES: UNIT MANAGER-RN</v>
      </c>
      <c r="D54" s="166" t="str">
        <f t="shared" si="3"/>
        <v>UNIT MANAGER-RN</v>
      </c>
      <c r="E54" s="166" t="str">
        <f t="shared" si="4"/>
        <v>COSTS AND EXPENSES:</v>
      </c>
      <c r="F54" s="166" t="str">
        <f t="shared" si="31"/>
        <v>500016</v>
      </c>
      <c r="H54" s="134" t="s">
        <v>158</v>
      </c>
      <c r="I54" s="134" t="s">
        <v>159</v>
      </c>
      <c r="J54" s="132">
        <v>122.14</v>
      </c>
      <c r="K54" s="132">
        <v>1402.5</v>
      </c>
      <c r="L54" s="132">
        <v>1648.93</v>
      </c>
      <c r="M54" s="132">
        <v>788.57</v>
      </c>
      <c r="N54" s="132">
        <v>688.93000000000006</v>
      </c>
      <c r="O54" s="132">
        <v>-51.43</v>
      </c>
      <c r="P54" s="132">
        <v>0</v>
      </c>
      <c r="Q54" s="132">
        <v>0</v>
      </c>
      <c r="R54" s="132">
        <v>255</v>
      </c>
      <c r="S54" s="132">
        <v>1284.77</v>
      </c>
      <c r="T54" s="132">
        <v>418.03000000000003</v>
      </c>
      <c r="U54" s="132">
        <v>1858.5</v>
      </c>
      <c r="V54" s="132">
        <v>-6</v>
      </c>
      <c r="W54" s="132">
        <v>0</v>
      </c>
      <c r="X54" s="132">
        <v>0</v>
      </c>
      <c r="Y54" s="132">
        <v>1247.19</v>
      </c>
      <c r="Z54" s="132">
        <v>1683.16</v>
      </c>
      <c r="AA54" s="132">
        <v>1510.58</v>
      </c>
      <c r="AB54" s="132">
        <v>3848.09</v>
      </c>
      <c r="AC54" s="132">
        <v>1413.57</v>
      </c>
      <c r="AD54" s="132">
        <v>2071.4900000000002</v>
      </c>
      <c r="AE54" s="132">
        <v>-202.54</v>
      </c>
      <c r="AF54" s="132">
        <v>0</v>
      </c>
      <c r="AG54" s="132">
        <v>0</v>
      </c>
      <c r="AH54" s="132">
        <v>0</v>
      </c>
      <c r="AI54" s="132">
        <v>0</v>
      </c>
      <c r="AJ54" s="132">
        <v>0</v>
      </c>
      <c r="AK54" s="132">
        <v>0</v>
      </c>
      <c r="AL54" s="132">
        <v>2499.69</v>
      </c>
      <c r="AM54" s="132">
        <v>2194.54</v>
      </c>
    </row>
    <row r="55" spans="1:39" ht="13.8" outlineLevel="1">
      <c r="A55" s="142" t="s">
        <v>149</v>
      </c>
      <c r="B55" s="171">
        <f t="shared" ca="1" si="60"/>
        <v>301.10000000000002</v>
      </c>
      <c r="C55" s="166" t="str">
        <f t="shared" si="2"/>
        <v>COSTS AND EXPENSES: AIDES WAGES</v>
      </c>
      <c r="D55" s="166" t="str">
        <f t="shared" si="3"/>
        <v>AIDES WAGES</v>
      </c>
      <c r="E55" s="166" t="str">
        <f t="shared" si="4"/>
        <v>COSTS AND EXPENSES:</v>
      </c>
      <c r="F55" s="166" t="str">
        <f t="shared" si="31"/>
        <v>500040</v>
      </c>
      <c r="H55" s="134" t="s">
        <v>160</v>
      </c>
      <c r="I55" s="134" t="s">
        <v>161</v>
      </c>
      <c r="J55" s="132">
        <v>45392.93</v>
      </c>
      <c r="K55" s="132">
        <v>40331.54</v>
      </c>
      <c r="L55" s="132">
        <v>43335.87</v>
      </c>
      <c r="M55" s="132">
        <v>41739.65</v>
      </c>
      <c r="N55" s="132">
        <v>42256.85</v>
      </c>
      <c r="O55" s="132">
        <v>40588.639999999999</v>
      </c>
      <c r="P55" s="132">
        <v>42998.26</v>
      </c>
      <c r="Q55" s="132">
        <v>44880.15</v>
      </c>
      <c r="R55" s="132">
        <v>36874.82</v>
      </c>
      <c r="S55" s="132">
        <v>43813.06</v>
      </c>
      <c r="T55" s="132">
        <v>38610.239999999998</v>
      </c>
      <c r="U55" s="132">
        <v>39399.370000000003</v>
      </c>
      <c r="V55" s="132">
        <v>40951.03</v>
      </c>
      <c r="W55" s="132">
        <v>34822.82</v>
      </c>
      <c r="X55" s="132">
        <v>42606.04</v>
      </c>
      <c r="Y55" s="132">
        <v>37085.22</v>
      </c>
      <c r="Z55" s="132">
        <v>38700.18</v>
      </c>
      <c r="AA55" s="132">
        <v>41549.67</v>
      </c>
      <c r="AB55" s="132">
        <v>39686.520000000004</v>
      </c>
      <c r="AC55" s="132">
        <v>35160.19</v>
      </c>
      <c r="AD55" s="132">
        <v>33257.35</v>
      </c>
      <c r="AE55" s="132">
        <v>25780.190000000002</v>
      </c>
      <c r="AF55" s="132">
        <v>26144.850000000002</v>
      </c>
      <c r="AG55" s="132">
        <v>29752.63</v>
      </c>
      <c r="AH55" s="132">
        <v>28787.4</v>
      </c>
      <c r="AI55" s="132">
        <v>23704.68</v>
      </c>
      <c r="AJ55" s="132">
        <v>26975.65</v>
      </c>
      <c r="AK55" s="132">
        <v>27185.68</v>
      </c>
      <c r="AL55" s="132">
        <v>35720.160000000003</v>
      </c>
      <c r="AM55" s="132">
        <v>40778.82</v>
      </c>
    </row>
    <row r="56" spans="1:39" ht="13.8" outlineLevel="1">
      <c r="A56" s="142" t="s">
        <v>149</v>
      </c>
      <c r="B56" s="171">
        <f t="shared" ca="1" si="60"/>
        <v>301.10000000000002</v>
      </c>
      <c r="C56" s="166" t="str">
        <f t="shared" si="2"/>
        <v>COSTS AND EXPENSES: RN WAGES</v>
      </c>
      <c r="D56" s="166" t="str">
        <f t="shared" si="3"/>
        <v>RN WAGES</v>
      </c>
      <c r="E56" s="166" t="str">
        <f t="shared" si="4"/>
        <v>COSTS AND EXPENSES:</v>
      </c>
      <c r="F56" s="166" t="str">
        <f t="shared" si="31"/>
        <v>500050</v>
      </c>
      <c r="H56" s="134" t="s">
        <v>162</v>
      </c>
      <c r="I56" s="134" t="s">
        <v>163</v>
      </c>
      <c r="J56" s="132">
        <v>0</v>
      </c>
      <c r="K56" s="132">
        <v>165</v>
      </c>
      <c r="L56" s="132">
        <v>180</v>
      </c>
      <c r="M56" s="132">
        <v>0</v>
      </c>
      <c r="N56" s="132">
        <v>3223.73</v>
      </c>
      <c r="O56" s="132">
        <v>4971.29</v>
      </c>
      <c r="P56" s="132">
        <v>4705.13</v>
      </c>
      <c r="Q56" s="132">
        <v>5045.97</v>
      </c>
      <c r="R56" s="132">
        <v>5222.9800000000005</v>
      </c>
      <c r="S56" s="132">
        <v>3789.1</v>
      </c>
      <c r="T56" s="132">
        <v>4453.1099999999997</v>
      </c>
      <c r="U56" s="132">
        <v>7733.79</v>
      </c>
      <c r="V56" s="132">
        <v>5958.1500000000005</v>
      </c>
      <c r="W56" s="132">
        <v>5586.95</v>
      </c>
      <c r="X56" s="132">
        <v>2886.79</v>
      </c>
      <c r="Y56" s="132">
        <v>360.1</v>
      </c>
      <c r="Z56" s="132">
        <v>131.08000000000001</v>
      </c>
      <c r="AA56" s="132">
        <v>0</v>
      </c>
      <c r="AB56" s="132">
        <v>949.62</v>
      </c>
      <c r="AC56" s="132">
        <v>7341.1500000000005</v>
      </c>
      <c r="AD56" s="132">
        <v>10079.99</v>
      </c>
      <c r="AE56" s="132">
        <v>13536.33</v>
      </c>
      <c r="AF56" s="132">
        <v>16227.890000000001</v>
      </c>
      <c r="AG56" s="132">
        <v>15872.470000000001</v>
      </c>
      <c r="AH56" s="132">
        <v>9258.76</v>
      </c>
      <c r="AI56" s="132">
        <v>1863.6200000000001</v>
      </c>
      <c r="AJ56" s="132">
        <v>0</v>
      </c>
      <c r="AK56" s="132">
        <v>0</v>
      </c>
      <c r="AL56" s="132">
        <v>300</v>
      </c>
      <c r="AM56" s="132">
        <v>120</v>
      </c>
    </row>
    <row r="57" spans="1:39" ht="13.8" outlineLevel="1">
      <c r="A57" s="142" t="s">
        <v>149</v>
      </c>
      <c r="B57" s="171">
        <f t="shared" ca="1" si="60"/>
        <v>301.10000000000002</v>
      </c>
      <c r="C57" s="166" t="str">
        <f t="shared" si="2"/>
        <v>COSTS AND EXPENSES: RN WOUND CARE WAGES</v>
      </c>
      <c r="D57" s="166" t="str">
        <f t="shared" si="3"/>
        <v>RN WOUND CARE WAGES</v>
      </c>
      <c r="E57" s="166" t="str">
        <f t="shared" si="4"/>
        <v>COSTS AND EXPENSES:</v>
      </c>
      <c r="F57" s="166" t="str">
        <f t="shared" si="31"/>
        <v>500055</v>
      </c>
      <c r="H57" s="134" t="s">
        <v>164</v>
      </c>
      <c r="I57" s="134" t="s">
        <v>165</v>
      </c>
      <c r="J57" s="132">
        <v>4903.8900000000003</v>
      </c>
      <c r="K57" s="132">
        <v>4242.38</v>
      </c>
      <c r="L57" s="132">
        <v>4237.53</v>
      </c>
      <c r="M57" s="132">
        <v>4436.24</v>
      </c>
      <c r="N57" s="132">
        <v>4668.34</v>
      </c>
      <c r="O57" s="132">
        <v>4321.34</v>
      </c>
      <c r="P57" s="132">
        <v>4112.09</v>
      </c>
      <c r="Q57" s="132">
        <v>4887.29</v>
      </c>
      <c r="R57" s="132">
        <v>-1356.56</v>
      </c>
      <c r="S57" s="132">
        <v>0</v>
      </c>
      <c r="T57" s="132">
        <v>0</v>
      </c>
      <c r="U57" s="132">
        <v>0</v>
      </c>
      <c r="V57" s="132">
        <v>0</v>
      </c>
      <c r="W57" s="132">
        <v>0</v>
      </c>
      <c r="X57" s="132">
        <v>232.5</v>
      </c>
      <c r="Y57" s="132">
        <v>480</v>
      </c>
      <c r="Z57" s="132">
        <v>0</v>
      </c>
      <c r="AA57" s="132">
        <v>0</v>
      </c>
      <c r="AB57" s="132">
        <v>0</v>
      </c>
      <c r="AC57" s="132">
        <v>0</v>
      </c>
      <c r="AD57" s="132">
        <v>0</v>
      </c>
      <c r="AE57" s="132">
        <v>0</v>
      </c>
      <c r="AF57" s="132">
        <v>0</v>
      </c>
      <c r="AG57" s="132">
        <v>0</v>
      </c>
      <c r="AH57" s="132">
        <v>0</v>
      </c>
      <c r="AI57" s="132">
        <v>0</v>
      </c>
      <c r="AJ57" s="132">
        <v>0</v>
      </c>
      <c r="AK57" s="132">
        <v>0</v>
      </c>
      <c r="AL57" s="132">
        <v>0</v>
      </c>
      <c r="AM57" s="132">
        <v>0</v>
      </c>
    </row>
    <row r="58" spans="1:39" ht="13.8" outlineLevel="1">
      <c r="A58" s="142" t="s">
        <v>149</v>
      </c>
      <c r="B58" s="171">
        <f t="shared" ca="1" si="60"/>
        <v>301.10000000000002</v>
      </c>
      <c r="C58" s="166" t="str">
        <f t="shared" si="2"/>
        <v>COSTS AND EXPENSES: LPN WAGES</v>
      </c>
      <c r="D58" s="166" t="str">
        <f t="shared" si="3"/>
        <v>LPN WAGES</v>
      </c>
      <c r="E58" s="166" t="str">
        <f t="shared" si="4"/>
        <v>COSTS AND EXPENSES:</v>
      </c>
      <c r="F58" s="166" t="str">
        <f t="shared" si="31"/>
        <v>500070</v>
      </c>
      <c r="H58" s="134" t="s">
        <v>166</v>
      </c>
      <c r="I58" s="134" t="s">
        <v>167</v>
      </c>
      <c r="J58" s="132">
        <v>32580.14</v>
      </c>
      <c r="K58" s="132">
        <v>25921.09</v>
      </c>
      <c r="L58" s="132">
        <v>31483.21</v>
      </c>
      <c r="M58" s="132">
        <v>25894.73</v>
      </c>
      <c r="N58" s="132">
        <v>30396.7</v>
      </c>
      <c r="O58" s="132">
        <v>28236.38</v>
      </c>
      <c r="P58" s="132">
        <v>27732.47</v>
      </c>
      <c r="Q58" s="132">
        <v>24816.47</v>
      </c>
      <c r="R58" s="132">
        <v>30401.11</v>
      </c>
      <c r="S58" s="132">
        <v>28171.81</v>
      </c>
      <c r="T58" s="132">
        <v>26175.43</v>
      </c>
      <c r="U58" s="132">
        <v>25964.07</v>
      </c>
      <c r="V58" s="132">
        <v>27103.190000000002</v>
      </c>
      <c r="W58" s="132">
        <v>22737.39</v>
      </c>
      <c r="X58" s="132">
        <v>25118.920000000002</v>
      </c>
      <c r="Y58" s="132">
        <v>26786.71</v>
      </c>
      <c r="Z58" s="132">
        <v>23771.72</v>
      </c>
      <c r="AA58" s="132">
        <v>25614.799999999999</v>
      </c>
      <c r="AB58" s="132">
        <v>27775.73</v>
      </c>
      <c r="AC58" s="132">
        <v>16337.460000000001</v>
      </c>
      <c r="AD58" s="132">
        <v>20916.91</v>
      </c>
      <c r="AE58" s="132">
        <v>16424.53</v>
      </c>
      <c r="AF58" s="132">
        <v>13196.75</v>
      </c>
      <c r="AG58" s="132">
        <v>18511.47</v>
      </c>
      <c r="AH58" s="132">
        <v>20404.13</v>
      </c>
      <c r="AI58" s="132">
        <v>18704.71</v>
      </c>
      <c r="AJ58" s="132">
        <v>26289.41</v>
      </c>
      <c r="AK58" s="132">
        <v>23771.32</v>
      </c>
      <c r="AL58" s="132">
        <v>26218.34</v>
      </c>
      <c r="AM58" s="132">
        <v>28561.11</v>
      </c>
    </row>
    <row r="59" spans="1:39" ht="13.8" outlineLevel="1">
      <c r="A59" s="142" t="s">
        <v>149</v>
      </c>
      <c r="B59" s="171">
        <f t="shared" ca="1" si="60"/>
        <v>301.10000000000002</v>
      </c>
      <c r="C59" s="166" t="str">
        <f t="shared" si="2"/>
        <v>COSTS AND EXPENSES: LPN WOUND CARE WAGES</v>
      </c>
      <c r="D59" s="166" t="str">
        <f t="shared" si="3"/>
        <v>LPN WOUND CARE WAGES</v>
      </c>
      <c r="E59" s="166" t="str">
        <f t="shared" si="4"/>
        <v>COSTS AND EXPENSES:</v>
      </c>
      <c r="F59" s="166" t="str">
        <f t="shared" si="31"/>
        <v>500075</v>
      </c>
      <c r="H59" s="134" t="s">
        <v>168</v>
      </c>
      <c r="I59" s="134" t="s">
        <v>169</v>
      </c>
      <c r="J59" s="132">
        <v>0</v>
      </c>
      <c r="K59" s="132">
        <v>0</v>
      </c>
      <c r="L59" s="132">
        <v>0</v>
      </c>
      <c r="M59" s="132">
        <v>0</v>
      </c>
      <c r="N59" s="132">
        <v>0</v>
      </c>
      <c r="O59" s="132">
        <v>0</v>
      </c>
      <c r="P59" s="132">
        <v>0</v>
      </c>
      <c r="Q59" s="132">
        <v>0</v>
      </c>
      <c r="R59" s="132">
        <v>0</v>
      </c>
      <c r="S59" s="132">
        <v>0</v>
      </c>
      <c r="T59" s="132">
        <v>3392.96</v>
      </c>
      <c r="U59" s="132">
        <v>3529.27</v>
      </c>
      <c r="V59" s="132">
        <v>3441.59</v>
      </c>
      <c r="W59" s="132">
        <v>3049.68</v>
      </c>
      <c r="X59" s="132">
        <v>1601.67</v>
      </c>
      <c r="Y59" s="132">
        <v>0</v>
      </c>
      <c r="Z59" s="132">
        <v>0</v>
      </c>
      <c r="AA59" s="132">
        <v>0</v>
      </c>
      <c r="AB59" s="132">
        <v>0</v>
      </c>
      <c r="AC59" s="132">
        <v>0</v>
      </c>
      <c r="AD59" s="132">
        <v>0</v>
      </c>
      <c r="AE59" s="132">
        <v>0</v>
      </c>
      <c r="AF59" s="132">
        <v>0</v>
      </c>
      <c r="AG59" s="132">
        <v>0</v>
      </c>
      <c r="AH59" s="132">
        <v>0</v>
      </c>
      <c r="AI59" s="132">
        <v>0</v>
      </c>
      <c r="AJ59" s="132">
        <v>0</v>
      </c>
      <c r="AK59" s="132">
        <v>0</v>
      </c>
      <c r="AL59" s="132">
        <v>0</v>
      </c>
      <c r="AM59" s="132">
        <v>0</v>
      </c>
    </row>
    <row r="60" spans="1:39" ht="13.8" outlineLevel="1">
      <c r="A60" s="142" t="s">
        <v>149</v>
      </c>
      <c r="B60" s="171">
        <f t="shared" ca="1" si="60"/>
        <v>301.10000000000002</v>
      </c>
      <c r="C60" s="166" t="str">
        <f t="shared" si="2"/>
        <v>COSTS AND EXPENSES: RESTORATIVE AIDES WAGES</v>
      </c>
      <c r="D60" s="166" t="str">
        <f t="shared" si="3"/>
        <v>RESTORATIVE AIDES WAGES</v>
      </c>
      <c r="E60" s="166" t="str">
        <f t="shared" si="4"/>
        <v>COSTS AND EXPENSES:</v>
      </c>
      <c r="F60" s="166" t="str">
        <f t="shared" si="31"/>
        <v>500090</v>
      </c>
      <c r="H60" s="134" t="s">
        <v>170</v>
      </c>
      <c r="I60" s="134" t="s">
        <v>171</v>
      </c>
      <c r="J60" s="132">
        <v>0</v>
      </c>
      <c r="K60" s="132">
        <v>2172.2800000000002</v>
      </c>
      <c r="L60" s="132">
        <v>2368.4500000000003</v>
      </c>
      <c r="M60" s="132">
        <v>2936.85</v>
      </c>
      <c r="N60" s="132">
        <v>3368.64</v>
      </c>
      <c r="O60" s="132">
        <v>3426.88</v>
      </c>
      <c r="P60" s="132">
        <v>3750.21</v>
      </c>
      <c r="Q60" s="132">
        <v>3787.85</v>
      </c>
      <c r="R60" s="132">
        <v>3427.3</v>
      </c>
      <c r="S60" s="132">
        <v>3222.5</v>
      </c>
      <c r="T60" s="132">
        <v>3545.9900000000002</v>
      </c>
      <c r="U60" s="132">
        <v>3063.5</v>
      </c>
      <c r="V60" s="132">
        <v>3562.1800000000003</v>
      </c>
      <c r="W60" s="132">
        <v>3292.32</v>
      </c>
      <c r="X60" s="132">
        <v>0</v>
      </c>
      <c r="Y60" s="132">
        <v>1563.19</v>
      </c>
      <c r="Z60" s="132">
        <v>1686.3500000000001</v>
      </c>
      <c r="AA60" s="132">
        <v>1410.31</v>
      </c>
      <c r="AB60" s="132">
        <v>1774.8600000000001</v>
      </c>
      <c r="AC60" s="132">
        <v>-575.4</v>
      </c>
      <c r="AD60" s="132">
        <v>0</v>
      </c>
      <c r="AE60" s="132">
        <v>0</v>
      </c>
      <c r="AF60" s="132">
        <v>0</v>
      </c>
      <c r="AG60" s="132">
        <v>0</v>
      </c>
      <c r="AH60" s="132">
        <v>0</v>
      </c>
      <c r="AI60" s="132">
        <v>1764.3600000000001</v>
      </c>
      <c r="AJ60" s="132">
        <v>776.7</v>
      </c>
      <c r="AK60" s="132">
        <v>0</v>
      </c>
      <c r="AL60" s="132">
        <v>0</v>
      </c>
      <c r="AM60" s="132">
        <v>0</v>
      </c>
    </row>
    <row r="61" spans="1:39" ht="13.8" outlineLevel="1">
      <c r="A61" s="142" t="s">
        <v>149</v>
      </c>
      <c r="B61" s="171">
        <f t="shared" ca="1" si="60"/>
        <v>301.10000000000002</v>
      </c>
      <c r="C61" s="166" t="str">
        <f t="shared" si="2"/>
        <v>COSTS AND EXPENSES: ALLOCATED WAGES</v>
      </c>
      <c r="D61" s="166" t="str">
        <f t="shared" si="3"/>
        <v>ALLOCATED WAGES</v>
      </c>
      <c r="E61" s="166" t="str">
        <f t="shared" si="4"/>
        <v>COSTS AND EXPENSES:</v>
      </c>
      <c r="F61" s="166" t="str">
        <f t="shared" si="31"/>
        <v>500095</v>
      </c>
      <c r="H61" s="134" t="s">
        <v>172</v>
      </c>
      <c r="I61" s="134" t="s">
        <v>173</v>
      </c>
      <c r="J61" s="132">
        <v>2112.92</v>
      </c>
      <c r="K61" s="132">
        <v>1745.98</v>
      </c>
      <c r="L61" s="132">
        <v>1616.79</v>
      </c>
      <c r="M61" s="132">
        <v>1473.34</v>
      </c>
      <c r="N61" s="132">
        <v>1922.49</v>
      </c>
      <c r="O61" s="132">
        <v>1617.07</v>
      </c>
      <c r="P61" s="132">
        <v>1325.1100000000001</v>
      </c>
      <c r="Q61" s="132">
        <v>1594.93</v>
      </c>
      <c r="R61" s="132">
        <v>4004.57</v>
      </c>
      <c r="S61" s="132">
        <v>3724.67</v>
      </c>
      <c r="T61" s="132">
        <v>1526.92</v>
      </c>
      <c r="U61" s="132">
        <v>1328.27</v>
      </c>
      <c r="V61" s="132">
        <v>1433.16</v>
      </c>
      <c r="W61" s="132">
        <v>1110.43</v>
      </c>
      <c r="X61" s="132">
        <v>1500.88</v>
      </c>
      <c r="Y61" s="132">
        <v>1385.43</v>
      </c>
      <c r="Z61" s="132">
        <v>1251.3800000000001</v>
      </c>
      <c r="AA61" s="132">
        <v>964.89</v>
      </c>
      <c r="AB61" s="132">
        <v>1353.75</v>
      </c>
      <c r="AC61" s="132">
        <v>1243.28</v>
      </c>
      <c r="AD61" s="132">
        <v>1151.8900000000001</v>
      </c>
      <c r="AE61" s="132">
        <v>1203.53</v>
      </c>
      <c r="AF61" s="132">
        <v>1165.42</v>
      </c>
      <c r="AG61" s="132">
        <v>1194.6300000000001</v>
      </c>
      <c r="AH61" s="132">
        <v>1389.73</v>
      </c>
      <c r="AI61" s="132">
        <v>1199.6400000000001</v>
      </c>
      <c r="AJ61" s="132">
        <v>1878.28</v>
      </c>
      <c r="AK61" s="132">
        <v>1544.13</v>
      </c>
      <c r="AL61" s="132">
        <v>2432.23</v>
      </c>
      <c r="AM61" s="132">
        <v>2984.61</v>
      </c>
    </row>
    <row r="62" spans="1:39" ht="13.8" outlineLevel="1">
      <c r="A62" s="142" t="s">
        <v>149</v>
      </c>
      <c r="B62" s="171">
        <f t="shared" ca="1" si="60"/>
        <v>301.10000000000002</v>
      </c>
      <c r="C62" s="166" t="str">
        <f t="shared" si="2"/>
        <v>COSTS AND EXPENSES: OVERTIME</v>
      </c>
      <c r="D62" s="166" t="str">
        <f t="shared" si="3"/>
        <v>OVERTIME</v>
      </c>
      <c r="E62" s="166" t="str">
        <f t="shared" si="4"/>
        <v>COSTS AND EXPENSES:</v>
      </c>
      <c r="F62" s="166" t="str">
        <f t="shared" si="31"/>
        <v>500110</v>
      </c>
      <c r="H62" s="134" t="s">
        <v>174</v>
      </c>
      <c r="I62" s="134" t="s">
        <v>175</v>
      </c>
      <c r="J62" s="132">
        <v>1256.23</v>
      </c>
      <c r="K62" s="132">
        <v>562.32000000000005</v>
      </c>
      <c r="L62" s="132">
        <v>281.45999999999998</v>
      </c>
      <c r="M62" s="132">
        <v>705.05000000000007</v>
      </c>
      <c r="N62" s="132">
        <v>393.43</v>
      </c>
      <c r="O62" s="132">
        <v>2329.14</v>
      </c>
      <c r="P62" s="132">
        <v>-479.93</v>
      </c>
      <c r="Q62" s="132">
        <v>1527.72</v>
      </c>
      <c r="R62" s="132">
        <v>1158.02</v>
      </c>
      <c r="S62" s="132">
        <v>160.41</v>
      </c>
      <c r="T62" s="132">
        <v>205.49</v>
      </c>
      <c r="U62" s="132">
        <v>3239.88</v>
      </c>
      <c r="V62" s="132">
        <v>679.33</v>
      </c>
      <c r="W62" s="132">
        <v>617.39</v>
      </c>
      <c r="X62" s="132">
        <v>1124.99</v>
      </c>
      <c r="Y62" s="132">
        <v>552.83000000000004</v>
      </c>
      <c r="Z62" s="132">
        <v>1765.3400000000001</v>
      </c>
      <c r="AA62" s="132">
        <v>755.6</v>
      </c>
      <c r="AB62" s="132">
        <v>779.28</v>
      </c>
      <c r="AC62" s="132">
        <v>785.07</v>
      </c>
      <c r="AD62" s="132">
        <v>208.23000000000002</v>
      </c>
      <c r="AE62" s="132">
        <v>495.71000000000004</v>
      </c>
      <c r="AF62" s="132">
        <v>119.83</v>
      </c>
      <c r="AG62" s="132">
        <v>930.78</v>
      </c>
      <c r="AH62" s="132">
        <v>500.05</v>
      </c>
      <c r="AI62" s="132">
        <v>1460.41</v>
      </c>
      <c r="AJ62" s="132">
        <v>2504.7600000000002</v>
      </c>
      <c r="AK62" s="132">
        <v>3124.11</v>
      </c>
      <c r="AL62" s="132">
        <v>2372.0700000000002</v>
      </c>
      <c r="AM62" s="132">
        <v>6753.35</v>
      </c>
    </row>
    <row r="63" spans="1:39" ht="13.8" outlineLevel="1">
      <c r="A63" s="142" t="s">
        <v>149</v>
      </c>
      <c r="B63" s="171">
        <f t="shared" ca="1" si="60"/>
        <v>301.10000000000002</v>
      </c>
      <c r="C63" s="166" t="str">
        <f t="shared" si="2"/>
        <v>COSTS AND EXPENSES: ADON RN OVERTIME</v>
      </c>
      <c r="D63" s="166" t="str">
        <f t="shared" si="3"/>
        <v>ADON RN OVERTIME</v>
      </c>
      <c r="E63" s="166" t="str">
        <f t="shared" si="4"/>
        <v>COSTS AND EXPENSES:</v>
      </c>
      <c r="F63" s="166" t="str">
        <f t="shared" si="31"/>
        <v>500113</v>
      </c>
      <c r="H63" s="134" t="s">
        <v>176</v>
      </c>
      <c r="I63" s="134" t="s">
        <v>177</v>
      </c>
      <c r="J63" s="132">
        <v>0</v>
      </c>
      <c r="K63" s="132">
        <v>0</v>
      </c>
      <c r="L63" s="132">
        <v>0</v>
      </c>
      <c r="M63" s="132">
        <v>0</v>
      </c>
      <c r="N63" s="132">
        <v>0</v>
      </c>
      <c r="O63" s="132">
        <v>0</v>
      </c>
      <c r="P63" s="132">
        <v>0</v>
      </c>
      <c r="Q63" s="132">
        <v>0</v>
      </c>
      <c r="R63" s="132">
        <v>0</v>
      </c>
      <c r="S63" s="132">
        <v>0</v>
      </c>
      <c r="T63" s="132">
        <v>0</v>
      </c>
      <c r="U63" s="132">
        <v>0</v>
      </c>
      <c r="V63" s="132">
        <v>0</v>
      </c>
      <c r="W63" s="132">
        <v>0</v>
      </c>
      <c r="X63" s="132">
        <v>681.66</v>
      </c>
      <c r="Y63" s="132">
        <v>0</v>
      </c>
      <c r="Z63" s="132">
        <v>0</v>
      </c>
      <c r="AA63" s="132">
        <v>0</v>
      </c>
      <c r="AB63" s="132">
        <v>0</v>
      </c>
      <c r="AC63" s="132">
        <v>0</v>
      </c>
      <c r="AD63" s="132">
        <v>0</v>
      </c>
      <c r="AE63" s="132">
        <v>0</v>
      </c>
      <c r="AF63" s="132">
        <v>0</v>
      </c>
      <c r="AG63" s="132">
        <v>0</v>
      </c>
      <c r="AH63" s="132">
        <v>0</v>
      </c>
      <c r="AI63" s="132">
        <v>0</v>
      </c>
      <c r="AJ63" s="132">
        <v>0</v>
      </c>
      <c r="AK63" s="132">
        <v>0</v>
      </c>
      <c r="AL63" s="132">
        <v>0</v>
      </c>
      <c r="AM63" s="132">
        <v>0</v>
      </c>
    </row>
    <row r="64" spans="1:39" ht="13.8" outlineLevel="1">
      <c r="A64" s="142" t="s">
        <v>149</v>
      </c>
      <c r="B64" s="171">
        <f t="shared" ca="1" si="60"/>
        <v>301.10000000000002</v>
      </c>
      <c r="C64" s="166" t="str">
        <f t="shared" si="2"/>
        <v>COSTS AND EXPENSES: ADON-LPN OVERTIME</v>
      </c>
      <c r="D64" s="166" t="str">
        <f t="shared" si="3"/>
        <v>ADON-LPN OVERTIME</v>
      </c>
      <c r="E64" s="166" t="str">
        <f t="shared" si="4"/>
        <v>COSTS AND EXPENSES:</v>
      </c>
      <c r="F64" s="166" t="str">
        <f t="shared" si="31"/>
        <v>500114</v>
      </c>
      <c r="H64" s="134" t="s">
        <v>178</v>
      </c>
      <c r="I64" s="134" t="s">
        <v>179</v>
      </c>
      <c r="J64" s="132">
        <v>225</v>
      </c>
      <c r="K64" s="132">
        <v>0</v>
      </c>
      <c r="L64" s="132">
        <v>13.93</v>
      </c>
      <c r="M64" s="132">
        <v>535.26</v>
      </c>
      <c r="N64" s="132">
        <v>0</v>
      </c>
      <c r="O64" s="132">
        <v>315.58</v>
      </c>
      <c r="P64" s="132">
        <v>102.71000000000001</v>
      </c>
      <c r="Q64" s="132">
        <v>1515.3</v>
      </c>
      <c r="R64" s="132">
        <v>320.56</v>
      </c>
      <c r="S64" s="132">
        <v>-849.84</v>
      </c>
      <c r="T64" s="132">
        <v>65.790000000000006</v>
      </c>
      <c r="U64" s="132">
        <v>-47.57</v>
      </c>
      <c r="V64" s="132">
        <v>135.1</v>
      </c>
      <c r="W64" s="132">
        <v>428.79</v>
      </c>
      <c r="X64" s="132">
        <v>594.45000000000005</v>
      </c>
      <c r="Y64" s="132">
        <v>-6.04</v>
      </c>
      <c r="Z64" s="132">
        <v>609.66999999999996</v>
      </c>
      <c r="AA64" s="132">
        <v>5.47</v>
      </c>
      <c r="AB64" s="132">
        <v>-2.72</v>
      </c>
      <c r="AC64" s="132">
        <v>240.72</v>
      </c>
      <c r="AD64" s="132">
        <v>194.84</v>
      </c>
      <c r="AE64" s="132">
        <v>468.45</v>
      </c>
      <c r="AF64" s="132">
        <v>101.46000000000001</v>
      </c>
      <c r="AG64" s="132">
        <v>923.47</v>
      </c>
      <c r="AH64" s="132">
        <v>890.31000000000006</v>
      </c>
      <c r="AI64" s="132">
        <v>741.33</v>
      </c>
      <c r="AJ64" s="132">
        <v>729.65</v>
      </c>
      <c r="AK64" s="132">
        <v>1148.76</v>
      </c>
      <c r="AL64" s="132">
        <v>2.91</v>
      </c>
      <c r="AM64" s="132">
        <v>900.80000000000007</v>
      </c>
    </row>
    <row r="65" spans="1:39" ht="13.8" outlineLevel="1">
      <c r="A65" s="142" t="s">
        <v>149</v>
      </c>
      <c r="B65" s="171">
        <f t="shared" ca="1" si="60"/>
        <v>301.10000000000002</v>
      </c>
      <c r="C65" s="166" t="str">
        <f t="shared" si="2"/>
        <v>COSTS AND EXPENSES: AIDES OVERTIME</v>
      </c>
      <c r="D65" s="166" t="str">
        <f t="shared" si="3"/>
        <v>AIDES OVERTIME</v>
      </c>
      <c r="E65" s="166" t="str">
        <f t="shared" si="4"/>
        <v>COSTS AND EXPENSES:</v>
      </c>
      <c r="F65" s="166" t="str">
        <f t="shared" si="31"/>
        <v>500140</v>
      </c>
      <c r="H65" s="134" t="s">
        <v>180</v>
      </c>
      <c r="I65" s="134" t="s">
        <v>181</v>
      </c>
      <c r="J65" s="132">
        <v>2701.94</v>
      </c>
      <c r="K65" s="132">
        <v>3154.8</v>
      </c>
      <c r="L65" s="132">
        <v>4875.7700000000004</v>
      </c>
      <c r="M65" s="132">
        <v>1505.32</v>
      </c>
      <c r="N65" s="132">
        <v>4345.49</v>
      </c>
      <c r="O65" s="132">
        <v>3463.55</v>
      </c>
      <c r="P65" s="132">
        <v>4189.34</v>
      </c>
      <c r="Q65" s="132">
        <v>1395</v>
      </c>
      <c r="R65" s="132">
        <v>3951.39</v>
      </c>
      <c r="S65" s="132">
        <v>1342.99</v>
      </c>
      <c r="T65" s="132">
        <v>1858.63</v>
      </c>
      <c r="U65" s="132">
        <v>3794.8</v>
      </c>
      <c r="V65" s="132">
        <v>419.40000000000003</v>
      </c>
      <c r="W65" s="132">
        <v>780.42000000000007</v>
      </c>
      <c r="X65" s="132">
        <v>2637.34</v>
      </c>
      <c r="Y65" s="132">
        <v>1559.7</v>
      </c>
      <c r="Z65" s="132">
        <v>3335.9700000000003</v>
      </c>
      <c r="AA65" s="132">
        <v>2960.1</v>
      </c>
      <c r="AB65" s="132">
        <v>3832.2200000000003</v>
      </c>
      <c r="AC65" s="132">
        <v>3777.53</v>
      </c>
      <c r="AD65" s="132">
        <v>4714.6900000000005</v>
      </c>
      <c r="AE65" s="132">
        <v>3411.27</v>
      </c>
      <c r="AF65" s="132">
        <v>745.39</v>
      </c>
      <c r="AG65" s="132">
        <v>1340.83</v>
      </c>
      <c r="AH65" s="132">
        <v>2635.87</v>
      </c>
      <c r="AI65" s="132">
        <v>1321.29</v>
      </c>
      <c r="AJ65" s="132">
        <v>2541.62</v>
      </c>
      <c r="AK65" s="132">
        <v>2455.08</v>
      </c>
      <c r="AL65" s="132">
        <v>3401.9900000000002</v>
      </c>
      <c r="AM65" s="132">
        <v>585.20000000000005</v>
      </c>
    </row>
    <row r="66" spans="1:39" ht="13.8" outlineLevel="1">
      <c r="A66" s="142" t="s">
        <v>149</v>
      </c>
      <c r="B66" s="171">
        <f t="shared" ca="1" si="60"/>
        <v>301.10000000000002</v>
      </c>
      <c r="C66" s="166" t="str">
        <f t="shared" si="2"/>
        <v>COSTS AND EXPENSES: RN OVERTIME</v>
      </c>
      <c r="D66" s="166" t="str">
        <f t="shared" si="3"/>
        <v>RN OVERTIME</v>
      </c>
      <c r="E66" s="166" t="str">
        <f t="shared" si="4"/>
        <v>COSTS AND EXPENSES:</v>
      </c>
      <c r="F66" s="166" t="str">
        <f t="shared" si="31"/>
        <v>500150</v>
      </c>
      <c r="H66" s="134" t="s">
        <v>182</v>
      </c>
      <c r="I66" s="134" t="s">
        <v>183</v>
      </c>
      <c r="J66" s="132">
        <v>0</v>
      </c>
      <c r="K66" s="132">
        <v>0</v>
      </c>
      <c r="L66" s="132">
        <v>0</v>
      </c>
      <c r="M66" s="132">
        <v>0</v>
      </c>
      <c r="N66" s="132">
        <v>1208.8900000000001</v>
      </c>
      <c r="O66" s="132">
        <v>1154.57</v>
      </c>
      <c r="P66" s="132">
        <v>956.89</v>
      </c>
      <c r="Q66" s="132">
        <v>732.33</v>
      </c>
      <c r="R66" s="132">
        <v>850.1</v>
      </c>
      <c r="S66" s="132">
        <v>848.59</v>
      </c>
      <c r="T66" s="132">
        <v>463.65000000000003</v>
      </c>
      <c r="U66" s="132">
        <v>1763.49</v>
      </c>
      <c r="V66" s="132">
        <v>681.78</v>
      </c>
      <c r="W66" s="132">
        <v>1818.71</v>
      </c>
      <c r="X66" s="132">
        <v>356.81</v>
      </c>
      <c r="Y66" s="132">
        <v>0</v>
      </c>
      <c r="Z66" s="132">
        <v>0</v>
      </c>
      <c r="AA66" s="132">
        <v>0</v>
      </c>
      <c r="AB66" s="132">
        <v>0</v>
      </c>
      <c r="AC66" s="132">
        <v>5158.12</v>
      </c>
      <c r="AD66" s="132">
        <v>1007.34</v>
      </c>
      <c r="AE66" s="132">
        <v>2339.1</v>
      </c>
      <c r="AF66" s="132">
        <v>1372.69</v>
      </c>
      <c r="AG66" s="132">
        <v>2532.85</v>
      </c>
      <c r="AH66" s="132">
        <v>1078.8499999999999</v>
      </c>
      <c r="AI66" s="132">
        <v>-18.45</v>
      </c>
      <c r="AJ66" s="132">
        <v>0</v>
      </c>
      <c r="AK66" s="132">
        <v>0</v>
      </c>
      <c r="AL66" s="132">
        <v>0</v>
      </c>
      <c r="AM66" s="132">
        <v>0</v>
      </c>
    </row>
    <row r="67" spans="1:39" ht="13.8" outlineLevel="1">
      <c r="A67" s="142" t="s">
        <v>149</v>
      </c>
      <c r="B67" s="171">
        <f t="shared" ca="1" si="60"/>
        <v>301.10000000000002</v>
      </c>
      <c r="C67" s="166" t="str">
        <f t="shared" si="2"/>
        <v>COSTS AND EXPENSES: RN WOUND CARE OT WAGES</v>
      </c>
      <c r="D67" s="166" t="str">
        <f t="shared" si="3"/>
        <v>RN WOUND CARE OT WAGES</v>
      </c>
      <c r="E67" s="166" t="str">
        <f t="shared" si="4"/>
        <v>COSTS AND EXPENSES:</v>
      </c>
      <c r="F67" s="166" t="str">
        <f t="shared" si="31"/>
        <v>500155</v>
      </c>
      <c r="H67" s="134" t="s">
        <v>184</v>
      </c>
      <c r="I67" s="134" t="s">
        <v>185</v>
      </c>
      <c r="J67" s="132">
        <v>1257.68</v>
      </c>
      <c r="K67" s="132">
        <v>1416.07</v>
      </c>
      <c r="L67" s="132">
        <v>240.83</v>
      </c>
      <c r="M67" s="132">
        <v>198.15</v>
      </c>
      <c r="N67" s="132">
        <v>182.14000000000001</v>
      </c>
      <c r="O67" s="132">
        <v>2121.2200000000003</v>
      </c>
      <c r="P67" s="132">
        <v>-144.83000000000001</v>
      </c>
      <c r="Q67" s="132">
        <v>1238.1100000000001</v>
      </c>
      <c r="R67" s="132">
        <v>-470.26</v>
      </c>
      <c r="S67" s="132">
        <v>0</v>
      </c>
      <c r="T67" s="132">
        <v>0</v>
      </c>
      <c r="U67" s="132">
        <v>0</v>
      </c>
      <c r="V67" s="132">
        <v>0</v>
      </c>
      <c r="W67" s="132">
        <v>0</v>
      </c>
      <c r="X67" s="132">
        <v>0</v>
      </c>
      <c r="Y67" s="132">
        <v>0</v>
      </c>
      <c r="Z67" s="132">
        <v>0</v>
      </c>
      <c r="AA67" s="132">
        <v>0</v>
      </c>
      <c r="AB67" s="132">
        <v>0</v>
      </c>
      <c r="AC67" s="132">
        <v>0</v>
      </c>
      <c r="AD67" s="132">
        <v>0</v>
      </c>
      <c r="AE67" s="132">
        <v>0</v>
      </c>
      <c r="AF67" s="132">
        <v>0</v>
      </c>
      <c r="AG67" s="132">
        <v>0</v>
      </c>
      <c r="AH67" s="132">
        <v>0</v>
      </c>
      <c r="AI67" s="132">
        <v>0</v>
      </c>
      <c r="AJ67" s="132">
        <v>0</v>
      </c>
      <c r="AK67" s="132">
        <v>0</v>
      </c>
      <c r="AL67" s="132">
        <v>0</v>
      </c>
      <c r="AM67" s="132">
        <v>0</v>
      </c>
    </row>
    <row r="68" spans="1:39" ht="13.8" outlineLevel="1">
      <c r="A68" s="142" t="s">
        <v>149</v>
      </c>
      <c r="B68" s="171">
        <f t="shared" ca="1" si="60"/>
        <v>301.10000000000002</v>
      </c>
      <c r="C68" s="166" t="str">
        <f t="shared" si="2"/>
        <v>COSTS AND EXPENSES: LPN OVERTIME</v>
      </c>
      <c r="D68" s="166" t="str">
        <f t="shared" si="3"/>
        <v>LPN OVERTIME</v>
      </c>
      <c r="E68" s="166" t="str">
        <f t="shared" si="4"/>
        <v>COSTS AND EXPENSES:</v>
      </c>
      <c r="F68" s="166" t="str">
        <f t="shared" si="31"/>
        <v>500170</v>
      </c>
      <c r="H68" s="134" t="s">
        <v>186</v>
      </c>
      <c r="I68" s="134" t="s">
        <v>187</v>
      </c>
      <c r="J68" s="132">
        <v>7043.68</v>
      </c>
      <c r="K68" s="132">
        <v>5509.2300000000005</v>
      </c>
      <c r="L68" s="132">
        <v>7780.75</v>
      </c>
      <c r="M68" s="132">
        <v>6155.28</v>
      </c>
      <c r="N68" s="132">
        <v>5266.4800000000005</v>
      </c>
      <c r="O68" s="132">
        <v>6616.43</v>
      </c>
      <c r="P68" s="132">
        <v>7424.7</v>
      </c>
      <c r="Q68" s="132">
        <v>7841.03</v>
      </c>
      <c r="R68" s="132">
        <v>7948.46</v>
      </c>
      <c r="S68" s="132">
        <v>7586.45</v>
      </c>
      <c r="T68" s="132">
        <v>6186.5</v>
      </c>
      <c r="U68" s="132">
        <v>5425.31</v>
      </c>
      <c r="V68" s="132">
        <v>4054.9700000000003</v>
      </c>
      <c r="W68" s="132">
        <v>2848.26</v>
      </c>
      <c r="X68" s="132">
        <v>5052.5200000000004</v>
      </c>
      <c r="Y68" s="132">
        <v>7155.75</v>
      </c>
      <c r="Z68" s="132">
        <v>4679.3100000000004</v>
      </c>
      <c r="AA68" s="132">
        <v>5503.12</v>
      </c>
      <c r="AB68" s="132">
        <v>3799.4900000000002</v>
      </c>
      <c r="AC68" s="132">
        <v>5359.43</v>
      </c>
      <c r="AD68" s="132">
        <v>2779.77</v>
      </c>
      <c r="AE68" s="132">
        <v>1389.76</v>
      </c>
      <c r="AF68" s="132">
        <v>1783.6000000000001</v>
      </c>
      <c r="AG68" s="132">
        <v>2609</v>
      </c>
      <c r="AH68" s="132">
        <v>2534.77</v>
      </c>
      <c r="AI68" s="132">
        <v>2145.5500000000002</v>
      </c>
      <c r="AJ68" s="132">
        <v>2756.08</v>
      </c>
      <c r="AK68" s="132">
        <v>2742.2000000000003</v>
      </c>
      <c r="AL68" s="132">
        <v>3401.65</v>
      </c>
      <c r="AM68" s="132">
        <v>3120.42</v>
      </c>
    </row>
    <row r="69" spans="1:39" ht="13.8" outlineLevel="1">
      <c r="A69" s="142" t="s">
        <v>149</v>
      </c>
      <c r="B69" s="171">
        <f t="shared" ca="1" si="60"/>
        <v>301.10000000000002</v>
      </c>
      <c r="C69" s="166" t="str">
        <f t="shared" ref="C69:C82" si="61">IF(LEN(D69)&gt;0,TRIM(E69&amp;" "&amp;D69),"")</f>
        <v>COSTS AND EXPENSES: LPN WOUND CARE OT WAGES</v>
      </c>
      <c r="D69" s="166" t="str">
        <f t="shared" ref="D69:D82" si="62">IFERROR(IF(AND(LEN(A69)&gt;0,A69&lt;&gt;"GROUP"),UPPER(H69),""),"")</f>
        <v>LPN WOUND CARE OT WAGES</v>
      </c>
      <c r="E69" s="166" t="str">
        <f t="shared" ref="E69:E82" si="63">IFERROR(IF(A69="GROUP",UPPER(H69),IF(AND(LEN(A69)&gt;0,A69&lt;&gt;"GROUP"),UPPER(E68),"")),"")</f>
        <v>COSTS AND EXPENSES:</v>
      </c>
      <c r="F69" s="166" t="str">
        <f t="shared" si="31"/>
        <v>500175</v>
      </c>
      <c r="H69" s="134" t="s">
        <v>188</v>
      </c>
      <c r="I69" s="134" t="s">
        <v>189</v>
      </c>
      <c r="J69" s="132">
        <v>0</v>
      </c>
      <c r="K69" s="132">
        <v>0</v>
      </c>
      <c r="L69" s="132">
        <v>0</v>
      </c>
      <c r="M69" s="132">
        <v>0</v>
      </c>
      <c r="N69" s="132">
        <v>0</v>
      </c>
      <c r="O69" s="132">
        <v>0</v>
      </c>
      <c r="P69" s="132">
        <v>0</v>
      </c>
      <c r="Q69" s="132">
        <v>0</v>
      </c>
      <c r="R69" s="132">
        <v>0</v>
      </c>
      <c r="S69" s="132">
        <v>0</v>
      </c>
      <c r="T69" s="132">
        <v>435.02</v>
      </c>
      <c r="U69" s="132">
        <v>880.43000000000006</v>
      </c>
      <c r="V69" s="132">
        <v>453.6</v>
      </c>
      <c r="W69" s="132">
        <v>154.28</v>
      </c>
      <c r="X69" s="132">
        <v>289.8</v>
      </c>
      <c r="Y69" s="132">
        <v>0</v>
      </c>
      <c r="Z69" s="132">
        <v>0</v>
      </c>
      <c r="AA69" s="132">
        <v>0</v>
      </c>
      <c r="AB69" s="132">
        <v>0</v>
      </c>
      <c r="AC69" s="132">
        <v>0</v>
      </c>
      <c r="AD69" s="132">
        <v>0</v>
      </c>
      <c r="AE69" s="132">
        <v>0</v>
      </c>
      <c r="AF69" s="132">
        <v>0</v>
      </c>
      <c r="AG69" s="132">
        <v>0</v>
      </c>
      <c r="AH69" s="132">
        <v>0</v>
      </c>
      <c r="AI69" s="132">
        <v>0</v>
      </c>
      <c r="AJ69" s="132">
        <v>0</v>
      </c>
      <c r="AK69" s="132">
        <v>0</v>
      </c>
      <c r="AL69" s="132">
        <v>0</v>
      </c>
      <c r="AM69" s="132">
        <v>0</v>
      </c>
    </row>
    <row r="70" spans="1:39" ht="13.8" outlineLevel="1">
      <c r="A70" s="142" t="s">
        <v>149</v>
      </c>
      <c r="B70" s="171">
        <f t="shared" ca="1" si="60"/>
        <v>301.10000000000002</v>
      </c>
      <c r="C70" s="166" t="str">
        <f t="shared" si="61"/>
        <v>COSTS AND EXPENSES: RESTORATIVE AIDES OVERTIME</v>
      </c>
      <c r="D70" s="166" t="str">
        <f t="shared" si="62"/>
        <v>RESTORATIVE AIDES OVERTIME</v>
      </c>
      <c r="E70" s="166" t="str">
        <f t="shared" si="63"/>
        <v>COSTS AND EXPENSES:</v>
      </c>
      <c r="F70" s="166" t="str">
        <f t="shared" si="31"/>
        <v>500190</v>
      </c>
      <c r="H70" s="134" t="s">
        <v>190</v>
      </c>
      <c r="I70" s="134" t="s">
        <v>191</v>
      </c>
      <c r="J70" s="132">
        <v>0</v>
      </c>
      <c r="K70" s="132">
        <v>609.30000000000007</v>
      </c>
      <c r="L70" s="132">
        <v>-50.11</v>
      </c>
      <c r="M70" s="132">
        <v>953.28</v>
      </c>
      <c r="N70" s="132">
        <v>578.69000000000005</v>
      </c>
      <c r="O70" s="132">
        <v>574.32000000000005</v>
      </c>
      <c r="P70" s="132">
        <v>1106.22</v>
      </c>
      <c r="Q70" s="132">
        <v>644.49</v>
      </c>
      <c r="R70" s="132">
        <v>560.34</v>
      </c>
      <c r="S70" s="132">
        <v>840.96</v>
      </c>
      <c r="T70" s="132">
        <v>609.54</v>
      </c>
      <c r="U70" s="132">
        <v>276.57</v>
      </c>
      <c r="V70" s="132">
        <v>791.07</v>
      </c>
      <c r="W70" s="132">
        <v>423.91</v>
      </c>
      <c r="X70" s="132">
        <v>0</v>
      </c>
      <c r="Y70" s="132">
        <v>103.63</v>
      </c>
      <c r="Z70" s="132">
        <v>197.17000000000002</v>
      </c>
      <c r="AA70" s="132">
        <v>-3.37</v>
      </c>
      <c r="AB70" s="132">
        <v>12.94</v>
      </c>
      <c r="AC70" s="132">
        <v>0</v>
      </c>
      <c r="AD70" s="132">
        <v>0</v>
      </c>
      <c r="AE70" s="132">
        <v>0</v>
      </c>
      <c r="AF70" s="132">
        <v>0</v>
      </c>
      <c r="AG70" s="132">
        <v>0</v>
      </c>
      <c r="AH70" s="132">
        <v>0</v>
      </c>
      <c r="AI70" s="132">
        <v>276.93</v>
      </c>
      <c r="AJ70" s="132">
        <v>-34.61</v>
      </c>
      <c r="AK70" s="132">
        <v>0</v>
      </c>
      <c r="AL70" s="132">
        <v>0</v>
      </c>
      <c r="AM70" s="132">
        <v>0</v>
      </c>
    </row>
    <row r="71" spans="1:39" ht="13.8" outlineLevel="1">
      <c r="A71" s="142" t="s">
        <v>149</v>
      </c>
      <c r="B71" s="171">
        <f t="shared" ca="1" si="60"/>
        <v>301.10000000000002</v>
      </c>
      <c r="C71" s="166" t="str">
        <f t="shared" si="61"/>
        <v>COSTS AND EXPENSES: RNAC/MDS COORDINATOR WAGES</v>
      </c>
      <c r="D71" s="166" t="str">
        <f t="shared" si="62"/>
        <v>RNAC/MDS COORDINATOR WAGES</v>
      </c>
      <c r="E71" s="166" t="str">
        <f t="shared" si="63"/>
        <v>COSTS AND EXPENSES:</v>
      </c>
      <c r="F71" s="166" t="str">
        <f t="shared" si="31"/>
        <v>501030</v>
      </c>
      <c r="H71" s="134" t="s">
        <v>192</v>
      </c>
      <c r="I71" s="134" t="s">
        <v>193</v>
      </c>
      <c r="J71" s="132">
        <v>0</v>
      </c>
      <c r="K71" s="132">
        <v>0</v>
      </c>
      <c r="L71" s="132">
        <v>0</v>
      </c>
      <c r="M71" s="132">
        <v>0</v>
      </c>
      <c r="N71" s="132">
        <v>0</v>
      </c>
      <c r="O71" s="132">
        <v>0</v>
      </c>
      <c r="P71" s="132">
        <v>0</v>
      </c>
      <c r="Q71" s="132">
        <v>0</v>
      </c>
      <c r="R71" s="132">
        <v>0</v>
      </c>
      <c r="S71" s="132">
        <v>0</v>
      </c>
      <c r="T71" s="132">
        <v>0</v>
      </c>
      <c r="U71" s="132">
        <v>0</v>
      </c>
      <c r="V71" s="132">
        <v>0</v>
      </c>
      <c r="W71" s="132">
        <v>0</v>
      </c>
      <c r="X71" s="132">
        <v>0</v>
      </c>
      <c r="Y71" s="132">
        <v>5595.06</v>
      </c>
      <c r="Z71" s="132">
        <v>4750.88</v>
      </c>
      <c r="AA71" s="132">
        <v>4371.43</v>
      </c>
      <c r="AB71" s="132">
        <v>4618.0200000000004</v>
      </c>
      <c r="AC71" s="132">
        <v>4622.08</v>
      </c>
      <c r="AD71" s="132">
        <v>3692.8</v>
      </c>
      <c r="AE71" s="132">
        <v>-402.68</v>
      </c>
      <c r="AF71" s="132">
        <v>0</v>
      </c>
      <c r="AG71" s="132">
        <v>4142.53</v>
      </c>
      <c r="AH71" s="132">
        <v>5260.2</v>
      </c>
      <c r="AI71" s="132">
        <v>4867.8500000000004</v>
      </c>
      <c r="AJ71" s="132">
        <v>4552.25</v>
      </c>
      <c r="AK71" s="132">
        <v>5092.12</v>
      </c>
      <c r="AL71" s="132">
        <v>5397.76</v>
      </c>
      <c r="AM71" s="132">
        <v>5006.4800000000005</v>
      </c>
    </row>
    <row r="72" spans="1:39" ht="13.8" outlineLevel="1">
      <c r="A72" s="142" t="s">
        <v>149</v>
      </c>
      <c r="B72" s="171">
        <f t="shared" ca="1" si="60"/>
        <v>301.10000000000002</v>
      </c>
      <c r="C72" s="166" t="str">
        <f t="shared" si="61"/>
        <v>COSTS AND EXPENSES: LPNAC MDS COORDINATOR WAGES</v>
      </c>
      <c r="D72" s="166" t="str">
        <f t="shared" si="62"/>
        <v>LPNAC MDS COORDINATOR WAGES</v>
      </c>
      <c r="E72" s="166" t="str">
        <f t="shared" si="63"/>
        <v>COSTS AND EXPENSES:</v>
      </c>
      <c r="F72" s="166" t="str">
        <f t="shared" si="31"/>
        <v>501036</v>
      </c>
      <c r="H72" s="134" t="s">
        <v>194</v>
      </c>
      <c r="I72" s="134" t="s">
        <v>195</v>
      </c>
      <c r="J72" s="132">
        <v>0</v>
      </c>
      <c r="K72" s="132">
        <v>0</v>
      </c>
      <c r="L72" s="132">
        <v>6140.35</v>
      </c>
      <c r="M72" s="132">
        <v>5877.78</v>
      </c>
      <c r="N72" s="132">
        <v>5020.87</v>
      </c>
      <c r="O72" s="132">
        <v>4862.29</v>
      </c>
      <c r="P72" s="132">
        <v>6245.33</v>
      </c>
      <c r="Q72" s="132">
        <v>6763.05</v>
      </c>
      <c r="R72" s="132">
        <v>3191.05</v>
      </c>
      <c r="S72" s="132">
        <v>2699.7000000000003</v>
      </c>
      <c r="T72" s="132">
        <v>3663.91</v>
      </c>
      <c r="U72" s="132">
        <v>3016.56</v>
      </c>
      <c r="V72" s="132">
        <v>1003.95</v>
      </c>
      <c r="W72" s="132">
        <v>0</v>
      </c>
      <c r="X72" s="132">
        <v>2487.37</v>
      </c>
      <c r="Y72" s="132">
        <v>-332.19</v>
      </c>
      <c r="Z72" s="132">
        <v>0</v>
      </c>
      <c r="AA72" s="132">
        <v>0</v>
      </c>
      <c r="AB72" s="132">
        <v>0</v>
      </c>
      <c r="AC72" s="132">
        <v>0</v>
      </c>
      <c r="AD72" s="132">
        <v>0</v>
      </c>
      <c r="AE72" s="132">
        <v>0</v>
      </c>
      <c r="AF72" s="132">
        <v>0</v>
      </c>
      <c r="AG72" s="132">
        <v>0</v>
      </c>
      <c r="AH72" s="132">
        <v>0</v>
      </c>
      <c r="AI72" s="132">
        <v>0</v>
      </c>
      <c r="AJ72" s="132">
        <v>0</v>
      </c>
      <c r="AK72" s="132">
        <v>0</v>
      </c>
      <c r="AL72" s="132">
        <v>0</v>
      </c>
      <c r="AM72" s="132">
        <v>0</v>
      </c>
    </row>
    <row r="73" spans="1:39" ht="13.8" outlineLevel="1">
      <c r="A73" s="142" t="s">
        <v>149</v>
      </c>
      <c r="B73" s="171">
        <f t="shared" ca="1" si="60"/>
        <v>301.10000000000002</v>
      </c>
      <c r="C73" s="166" t="str">
        <f t="shared" si="61"/>
        <v>COSTS AND EXPENSES: CERTIFIED MEDICATION AIDE WAGE</v>
      </c>
      <c r="D73" s="166" t="str">
        <f t="shared" si="62"/>
        <v>CERTIFIED MEDICATION AIDE WAGE</v>
      </c>
      <c r="E73" s="166" t="str">
        <f t="shared" si="63"/>
        <v>COSTS AND EXPENSES:</v>
      </c>
      <c r="F73" s="166" t="str">
        <f t="shared" si="31"/>
        <v>501080</v>
      </c>
      <c r="H73" s="134" t="s">
        <v>196</v>
      </c>
      <c r="I73" s="134" t="s">
        <v>197</v>
      </c>
      <c r="J73" s="132">
        <v>4970.83</v>
      </c>
      <c r="K73" s="132">
        <v>4432.37</v>
      </c>
      <c r="L73" s="132">
        <v>3489.86</v>
      </c>
      <c r="M73" s="132">
        <v>5452.97</v>
      </c>
      <c r="N73" s="132">
        <v>5114.62</v>
      </c>
      <c r="O73" s="132">
        <v>4189.34</v>
      </c>
      <c r="P73" s="132">
        <v>5592.4800000000005</v>
      </c>
      <c r="Q73" s="132">
        <v>5533.91</v>
      </c>
      <c r="R73" s="132">
        <v>5483.55</v>
      </c>
      <c r="S73" s="132">
        <v>4374.74</v>
      </c>
      <c r="T73" s="132">
        <v>4947.79</v>
      </c>
      <c r="U73" s="132">
        <v>3420.82</v>
      </c>
      <c r="V73" s="132">
        <v>5778.89</v>
      </c>
      <c r="W73" s="132">
        <v>4181.97</v>
      </c>
      <c r="X73" s="132">
        <v>2748.98</v>
      </c>
      <c r="Y73" s="132">
        <v>2641.96</v>
      </c>
      <c r="Z73" s="132">
        <v>3885.9</v>
      </c>
      <c r="AA73" s="132">
        <v>2745.71</v>
      </c>
      <c r="AB73" s="132">
        <v>2403.9299999999998</v>
      </c>
      <c r="AC73" s="132">
        <v>2766.79</v>
      </c>
      <c r="AD73" s="132">
        <v>3495.46</v>
      </c>
      <c r="AE73" s="132">
        <v>3637.8</v>
      </c>
      <c r="AF73" s="132">
        <v>2909.09</v>
      </c>
      <c r="AG73" s="132">
        <v>2110.9</v>
      </c>
      <c r="AH73" s="132">
        <v>2587.85</v>
      </c>
      <c r="AI73" s="132">
        <v>2617.31</v>
      </c>
      <c r="AJ73" s="132">
        <v>3646.06</v>
      </c>
      <c r="AK73" s="132">
        <v>5463.42</v>
      </c>
      <c r="AL73" s="132">
        <v>5645.84</v>
      </c>
      <c r="AM73" s="132">
        <v>5228.43</v>
      </c>
    </row>
    <row r="74" spans="1:39" ht="13.8" outlineLevel="1">
      <c r="A74" s="142" t="s">
        <v>149</v>
      </c>
      <c r="B74" s="171">
        <f t="shared" ca="1" si="60"/>
        <v>301.10000000000002</v>
      </c>
      <c r="C74" s="166" t="str">
        <f t="shared" si="61"/>
        <v>COSTS AND EXPENSES: RNAC/MDS COORD OVERTIME</v>
      </c>
      <c r="D74" s="166" t="str">
        <f t="shared" si="62"/>
        <v>RNAC/MDS COORD OVERTIME</v>
      </c>
      <c r="E74" s="166" t="str">
        <f t="shared" si="63"/>
        <v>COSTS AND EXPENSES:</v>
      </c>
      <c r="F74" s="166" t="str">
        <f t="shared" si="31"/>
        <v>501130</v>
      </c>
      <c r="H74" s="134" t="s">
        <v>198</v>
      </c>
      <c r="I74" s="134" t="s">
        <v>199</v>
      </c>
      <c r="J74" s="132">
        <v>0</v>
      </c>
      <c r="K74" s="132">
        <v>0</v>
      </c>
      <c r="L74" s="132">
        <v>0</v>
      </c>
      <c r="M74" s="132">
        <v>0</v>
      </c>
      <c r="N74" s="132">
        <v>0</v>
      </c>
      <c r="O74" s="132">
        <v>0</v>
      </c>
      <c r="P74" s="132">
        <v>0</v>
      </c>
      <c r="Q74" s="132">
        <v>0</v>
      </c>
      <c r="R74" s="132">
        <v>0</v>
      </c>
      <c r="S74" s="132">
        <v>0</v>
      </c>
      <c r="T74" s="132">
        <v>0</v>
      </c>
      <c r="U74" s="132">
        <v>0</v>
      </c>
      <c r="V74" s="132">
        <v>0</v>
      </c>
      <c r="W74" s="132">
        <v>0</v>
      </c>
      <c r="X74" s="132">
        <v>0</v>
      </c>
      <c r="Y74" s="132">
        <v>420.35</v>
      </c>
      <c r="Z74" s="132">
        <v>723.63</v>
      </c>
      <c r="AA74" s="132">
        <v>292.33</v>
      </c>
      <c r="AB74" s="132">
        <v>151.62</v>
      </c>
      <c r="AC74" s="132">
        <v>196.56</v>
      </c>
      <c r="AD74" s="132">
        <v>76.06</v>
      </c>
      <c r="AE74" s="132">
        <v>0</v>
      </c>
      <c r="AF74" s="132">
        <v>0</v>
      </c>
      <c r="AG74" s="132">
        <v>36.9</v>
      </c>
      <c r="AH74" s="132">
        <v>264.54000000000002</v>
      </c>
      <c r="AI74" s="132">
        <v>409.75</v>
      </c>
      <c r="AJ74" s="132">
        <v>518.21</v>
      </c>
      <c r="AK74" s="132">
        <v>17.77</v>
      </c>
      <c r="AL74" s="132">
        <v>566.66</v>
      </c>
      <c r="AM74" s="132">
        <v>1463.17</v>
      </c>
    </row>
    <row r="75" spans="1:39" ht="13.8" outlineLevel="1">
      <c r="A75" s="142" t="s">
        <v>149</v>
      </c>
      <c r="B75" s="171">
        <f t="shared" ca="1" si="60"/>
        <v>301.10000000000002</v>
      </c>
      <c r="C75" s="166" t="str">
        <f t="shared" si="61"/>
        <v>COSTS AND EXPENSES: LPNAC MDS COORD OVERTIME</v>
      </c>
      <c r="D75" s="166" t="str">
        <f t="shared" si="62"/>
        <v>LPNAC MDS COORD OVERTIME</v>
      </c>
      <c r="E75" s="166" t="str">
        <f t="shared" si="63"/>
        <v>COSTS AND EXPENSES:</v>
      </c>
      <c r="F75" s="166" t="str">
        <f t="shared" si="31"/>
        <v>501136</v>
      </c>
      <c r="H75" s="134" t="s">
        <v>200</v>
      </c>
      <c r="I75" s="134" t="s">
        <v>201</v>
      </c>
      <c r="J75" s="132">
        <v>0</v>
      </c>
      <c r="K75" s="132">
        <v>0</v>
      </c>
      <c r="L75" s="132">
        <v>0</v>
      </c>
      <c r="M75" s="132">
        <v>197</v>
      </c>
      <c r="N75" s="132">
        <v>29.67</v>
      </c>
      <c r="O75" s="132">
        <v>475.39</v>
      </c>
      <c r="P75" s="132">
        <v>-111.43</v>
      </c>
      <c r="Q75" s="132">
        <v>142.97</v>
      </c>
      <c r="R75" s="132">
        <v>46.57</v>
      </c>
      <c r="S75" s="132">
        <v>-22.42</v>
      </c>
      <c r="T75" s="132">
        <v>51.01</v>
      </c>
      <c r="U75" s="132">
        <v>-11.34</v>
      </c>
      <c r="V75" s="132">
        <v>0</v>
      </c>
      <c r="W75" s="132">
        <v>0</v>
      </c>
      <c r="X75" s="132">
        <v>153.78</v>
      </c>
      <c r="Y75" s="132">
        <v>-27.14</v>
      </c>
      <c r="Z75" s="132">
        <v>0</v>
      </c>
      <c r="AA75" s="132">
        <v>0</v>
      </c>
      <c r="AB75" s="132">
        <v>0</v>
      </c>
      <c r="AC75" s="132">
        <v>0</v>
      </c>
      <c r="AD75" s="132">
        <v>0</v>
      </c>
      <c r="AE75" s="132">
        <v>0</v>
      </c>
      <c r="AF75" s="132">
        <v>0</v>
      </c>
      <c r="AG75" s="132">
        <v>0</v>
      </c>
      <c r="AH75" s="132">
        <v>0</v>
      </c>
      <c r="AI75" s="132">
        <v>0</v>
      </c>
      <c r="AJ75" s="132">
        <v>0</v>
      </c>
      <c r="AK75" s="132">
        <v>0</v>
      </c>
      <c r="AL75" s="132">
        <v>0</v>
      </c>
      <c r="AM75" s="132">
        <v>0</v>
      </c>
    </row>
    <row r="76" spans="1:39" ht="13.8" outlineLevel="1">
      <c r="A76" s="142" t="s">
        <v>149</v>
      </c>
      <c r="B76" s="171">
        <f t="shared" ca="1" si="60"/>
        <v>301.10000000000002</v>
      </c>
      <c r="C76" s="166" t="str">
        <f t="shared" si="61"/>
        <v>COSTS AND EXPENSES: CERTIFIED MEDICATION AIDE OT</v>
      </c>
      <c r="D76" s="166" t="str">
        <f t="shared" si="62"/>
        <v>CERTIFIED MEDICATION AIDE OT</v>
      </c>
      <c r="E76" s="166" t="str">
        <f t="shared" si="63"/>
        <v>COSTS AND EXPENSES:</v>
      </c>
      <c r="F76" s="166" t="str">
        <f t="shared" si="31"/>
        <v>501180</v>
      </c>
      <c r="H76" s="134" t="s">
        <v>202</v>
      </c>
      <c r="I76" s="134" t="s">
        <v>203</v>
      </c>
      <c r="J76" s="132">
        <v>652.33000000000004</v>
      </c>
      <c r="K76" s="132">
        <v>884.62</v>
      </c>
      <c r="L76" s="132">
        <v>99.92</v>
      </c>
      <c r="M76" s="132">
        <v>1115.22</v>
      </c>
      <c r="N76" s="132">
        <v>1500.66</v>
      </c>
      <c r="O76" s="132">
        <v>635.08000000000004</v>
      </c>
      <c r="P76" s="132">
        <v>715.28</v>
      </c>
      <c r="Q76" s="132">
        <v>920.78</v>
      </c>
      <c r="R76" s="132">
        <v>-277.62</v>
      </c>
      <c r="S76" s="132">
        <v>211.01</v>
      </c>
      <c r="T76" s="132">
        <v>651.97</v>
      </c>
      <c r="U76" s="132">
        <v>740.68000000000006</v>
      </c>
      <c r="V76" s="132">
        <v>478.01</v>
      </c>
      <c r="W76" s="132">
        <v>430.56</v>
      </c>
      <c r="X76" s="132">
        <v>366.02</v>
      </c>
      <c r="Y76" s="132">
        <v>9.7799999999999994</v>
      </c>
      <c r="Z76" s="132">
        <v>600.18000000000006</v>
      </c>
      <c r="AA76" s="132">
        <v>-195.46</v>
      </c>
      <c r="AB76" s="132">
        <v>73.08</v>
      </c>
      <c r="AC76" s="132">
        <v>621.33000000000004</v>
      </c>
      <c r="AD76" s="132">
        <v>155.05000000000001</v>
      </c>
      <c r="AE76" s="132">
        <v>267.7</v>
      </c>
      <c r="AF76" s="132">
        <v>-7.23</v>
      </c>
      <c r="AG76" s="132">
        <v>7.71</v>
      </c>
      <c r="AH76" s="132">
        <v>143.34</v>
      </c>
      <c r="AI76" s="132">
        <v>285.15000000000003</v>
      </c>
      <c r="AJ76" s="132">
        <v>924.32</v>
      </c>
      <c r="AK76" s="132">
        <v>1440.93</v>
      </c>
      <c r="AL76" s="132">
        <v>1236.3</v>
      </c>
      <c r="AM76" s="132">
        <v>560.5</v>
      </c>
    </row>
    <row r="77" spans="1:39" ht="13.8" outlineLevel="1">
      <c r="A77" s="142" t="s">
        <v>149</v>
      </c>
      <c r="B77" s="171">
        <f t="shared" ca="1" si="60"/>
        <v>311.10000000000002</v>
      </c>
      <c r="C77" s="166" t="str">
        <f t="shared" si="61"/>
        <v>COSTS AND EXPENSES: BONUS</v>
      </c>
      <c r="D77" s="166" t="str">
        <f t="shared" si="62"/>
        <v>BONUS</v>
      </c>
      <c r="E77" s="166" t="str">
        <f t="shared" si="63"/>
        <v>COSTS AND EXPENSES:</v>
      </c>
      <c r="F77" s="166" t="str">
        <f t="shared" si="31"/>
        <v>502000</v>
      </c>
      <c r="H77" s="134" t="s">
        <v>204</v>
      </c>
      <c r="I77" s="134" t="s">
        <v>205</v>
      </c>
      <c r="J77" s="132">
        <v>1866.66</v>
      </c>
      <c r="K77" s="132">
        <v>1866.66</v>
      </c>
      <c r="L77" s="132">
        <v>1866.66</v>
      </c>
      <c r="M77" s="132">
        <v>1866.66</v>
      </c>
      <c r="N77" s="132">
        <v>1866.66</v>
      </c>
      <c r="O77" s="132">
        <v>1866.66</v>
      </c>
      <c r="P77" s="132">
        <v>1866.66</v>
      </c>
      <c r="Q77" s="132">
        <v>1866.66</v>
      </c>
      <c r="R77" s="132">
        <v>1866.66</v>
      </c>
      <c r="S77" s="132">
        <v>1866.66</v>
      </c>
      <c r="T77" s="132">
        <v>1866.66</v>
      </c>
      <c r="U77" s="132">
        <v>1866.66</v>
      </c>
      <c r="V77" s="132">
        <v>1866.66</v>
      </c>
      <c r="W77" s="132">
        <v>1866.66</v>
      </c>
      <c r="X77" s="132">
        <v>1866.66</v>
      </c>
      <c r="Y77" s="132">
        <v>1866.66</v>
      </c>
      <c r="Z77" s="132">
        <v>1866.66</v>
      </c>
      <c r="AA77" s="132">
        <v>1866.66</v>
      </c>
      <c r="AB77" s="132">
        <v>1866.66</v>
      </c>
      <c r="AC77" s="132">
        <v>1866.66</v>
      </c>
      <c r="AD77" s="132">
        <v>1866.66</v>
      </c>
      <c r="AE77" s="132">
        <v>1866.66</v>
      </c>
      <c r="AF77" s="132">
        <v>1866.66</v>
      </c>
      <c r="AG77" s="132">
        <v>1866.66</v>
      </c>
      <c r="AH77" s="132">
        <v>1866.66</v>
      </c>
      <c r="AI77" s="132">
        <v>1866.66</v>
      </c>
      <c r="AJ77" s="132">
        <v>1866.66</v>
      </c>
      <c r="AK77" s="132">
        <v>1866.66</v>
      </c>
      <c r="AL77" s="132">
        <v>1866.66</v>
      </c>
      <c r="AM77" s="132">
        <v>1866.66</v>
      </c>
    </row>
    <row r="78" spans="1:39" ht="13.8" outlineLevel="1">
      <c r="A78" s="142" t="s">
        <v>149</v>
      </c>
      <c r="B78" s="171">
        <f t="shared" ca="1" si="60"/>
        <v>301.10000000000002</v>
      </c>
      <c r="C78" s="166" t="str">
        <f t="shared" si="61"/>
        <v>COSTS AND EXPENSES: HOLIDAY WAGES</v>
      </c>
      <c r="D78" s="166" t="str">
        <f t="shared" si="62"/>
        <v>HOLIDAY WAGES</v>
      </c>
      <c r="E78" s="166" t="str">
        <f t="shared" si="63"/>
        <v>COSTS AND EXPENSES:</v>
      </c>
      <c r="F78" s="166" t="str">
        <f t="shared" si="31"/>
        <v>502060</v>
      </c>
      <c r="H78" s="134" t="s">
        <v>206</v>
      </c>
      <c r="I78" s="134" t="s">
        <v>207</v>
      </c>
      <c r="J78" s="132">
        <v>725.38</v>
      </c>
      <c r="K78" s="132">
        <v>725.38</v>
      </c>
      <c r="L78" s="132">
        <v>0</v>
      </c>
      <c r="M78" s="132">
        <v>732.64</v>
      </c>
      <c r="N78" s="132">
        <v>732.64</v>
      </c>
      <c r="O78" s="132">
        <v>0</v>
      </c>
      <c r="P78" s="132">
        <v>732.64</v>
      </c>
      <c r="Q78" s="132">
        <v>0</v>
      </c>
      <c r="R78" s="132">
        <v>732.64</v>
      </c>
      <c r="S78" s="132">
        <v>0</v>
      </c>
      <c r="T78" s="132">
        <v>0</v>
      </c>
      <c r="U78" s="132">
        <v>1457.98</v>
      </c>
      <c r="V78" s="132">
        <v>1457.98</v>
      </c>
      <c r="W78" s="132">
        <v>728.99</v>
      </c>
      <c r="X78" s="132">
        <v>0</v>
      </c>
      <c r="Y78" s="132">
        <v>736.29</v>
      </c>
      <c r="Z78" s="132">
        <v>0</v>
      </c>
      <c r="AA78" s="132">
        <v>736.29</v>
      </c>
      <c r="AB78" s="132">
        <v>736.29</v>
      </c>
      <c r="AC78" s="132">
        <v>0</v>
      </c>
      <c r="AD78" s="132">
        <v>736.29</v>
      </c>
      <c r="AE78" s="132">
        <v>0</v>
      </c>
      <c r="AF78" s="132">
        <v>0</v>
      </c>
      <c r="AG78" s="132">
        <v>2741.01</v>
      </c>
      <c r="AH78" s="132">
        <v>211.41</v>
      </c>
      <c r="AI78" s="132">
        <v>758.87</v>
      </c>
      <c r="AJ78" s="132">
        <v>938.77</v>
      </c>
      <c r="AK78" s="132">
        <v>0</v>
      </c>
      <c r="AL78" s="132">
        <v>0</v>
      </c>
      <c r="AM78" s="132">
        <v>938.77</v>
      </c>
    </row>
    <row r="79" spans="1:39" ht="13.8" outlineLevel="1">
      <c r="A79" s="142" t="s">
        <v>149</v>
      </c>
      <c r="B79" s="171">
        <f t="shared" ca="1" si="60"/>
        <v>301.10000000000002</v>
      </c>
      <c r="C79" s="166" t="str">
        <f t="shared" si="61"/>
        <v>COSTS AND EXPENSES: SICK WAGES</v>
      </c>
      <c r="D79" s="166" t="str">
        <f t="shared" si="62"/>
        <v>SICK WAGES</v>
      </c>
      <c r="E79" s="166" t="str">
        <f t="shared" si="63"/>
        <v>COSTS AND EXPENSES:</v>
      </c>
      <c r="F79" s="166" t="str">
        <f t="shared" si="31"/>
        <v>502070</v>
      </c>
      <c r="H79" s="134" t="s">
        <v>208</v>
      </c>
      <c r="I79" s="134" t="s">
        <v>209</v>
      </c>
      <c r="J79" s="132">
        <v>3053.57</v>
      </c>
      <c r="K79" s="132">
        <v>528.75</v>
      </c>
      <c r="L79" s="132">
        <v>467.90000000000003</v>
      </c>
      <c r="M79" s="132">
        <v>0</v>
      </c>
      <c r="N79" s="132">
        <v>290</v>
      </c>
      <c r="O79" s="132">
        <v>169.25</v>
      </c>
      <c r="P79" s="132">
        <v>320.7</v>
      </c>
      <c r="Q79" s="132">
        <v>294.8</v>
      </c>
      <c r="R79" s="132">
        <v>485.95</v>
      </c>
      <c r="S79" s="132">
        <v>102.74000000000001</v>
      </c>
      <c r="T79" s="132">
        <v>0</v>
      </c>
      <c r="U79" s="132">
        <v>74.59</v>
      </c>
      <c r="V79" s="132">
        <v>2080.67</v>
      </c>
      <c r="W79" s="132">
        <v>198.16</v>
      </c>
      <c r="X79" s="132">
        <v>905.98</v>
      </c>
      <c r="Y79" s="132">
        <v>51.620000000000005</v>
      </c>
      <c r="Z79" s="132">
        <v>230.93</v>
      </c>
      <c r="AA79" s="132">
        <v>490.28000000000003</v>
      </c>
      <c r="AB79" s="132">
        <v>320.11</v>
      </c>
      <c r="AC79" s="132">
        <v>37.880000000000003</v>
      </c>
      <c r="AD79" s="132">
        <v>0</v>
      </c>
      <c r="AE79" s="132">
        <v>0</v>
      </c>
      <c r="AF79" s="132">
        <v>136.08000000000001</v>
      </c>
      <c r="AG79" s="132">
        <v>111.66</v>
      </c>
      <c r="AH79" s="132">
        <v>1090.76</v>
      </c>
      <c r="AI79" s="132">
        <v>731.88</v>
      </c>
      <c r="AJ79" s="132">
        <v>254.37</v>
      </c>
      <c r="AK79" s="132">
        <v>267.29000000000002</v>
      </c>
      <c r="AL79" s="132">
        <v>816.47</v>
      </c>
      <c r="AM79" s="132">
        <v>252</v>
      </c>
    </row>
    <row r="80" spans="1:39" ht="13.8" outlineLevel="1">
      <c r="A80" s="142" t="s">
        <v>149</v>
      </c>
      <c r="B80" s="171">
        <f t="shared" ca="1" si="60"/>
        <v>301.10000000000002</v>
      </c>
      <c r="C80" s="166" t="str">
        <f t="shared" si="61"/>
        <v>COSTS AND EXPENSES: VACATION WAGES</v>
      </c>
      <c r="D80" s="166" t="str">
        <f t="shared" si="62"/>
        <v>VACATION WAGES</v>
      </c>
      <c r="E80" s="166" t="str">
        <f t="shared" si="63"/>
        <v>COSTS AND EXPENSES:</v>
      </c>
      <c r="F80" s="166" t="str">
        <f t="shared" si="31"/>
        <v>502080</v>
      </c>
      <c r="H80" s="134" t="s">
        <v>210</v>
      </c>
      <c r="I80" s="134" t="s">
        <v>211</v>
      </c>
      <c r="J80" s="132">
        <v>2698.06</v>
      </c>
      <c r="K80" s="132">
        <v>4288.97</v>
      </c>
      <c r="L80" s="132">
        <v>4543.66</v>
      </c>
      <c r="M80" s="132">
        <v>5946.67</v>
      </c>
      <c r="N80" s="132">
        <v>9545.66</v>
      </c>
      <c r="O80" s="132">
        <v>5140.84</v>
      </c>
      <c r="P80" s="132">
        <v>8108.6900000000005</v>
      </c>
      <c r="Q80" s="132">
        <v>6063.24</v>
      </c>
      <c r="R80" s="132">
        <v>7319.25</v>
      </c>
      <c r="S80" s="132">
        <v>17271.55</v>
      </c>
      <c r="T80" s="132">
        <v>3979.35</v>
      </c>
      <c r="U80" s="132">
        <v>12329.78</v>
      </c>
      <c r="V80" s="132">
        <v>8834.4500000000007</v>
      </c>
      <c r="W80" s="132">
        <v>5342.1500000000005</v>
      </c>
      <c r="X80" s="132">
        <v>5819.87</v>
      </c>
      <c r="Y80" s="132">
        <v>5013.16</v>
      </c>
      <c r="Z80" s="132">
        <v>5220.62</v>
      </c>
      <c r="AA80" s="132">
        <v>5946.02</v>
      </c>
      <c r="AB80" s="132">
        <v>8778.68</v>
      </c>
      <c r="AC80" s="132">
        <v>8653.51</v>
      </c>
      <c r="AD80" s="132">
        <v>5060.3</v>
      </c>
      <c r="AE80" s="132">
        <v>5088.4800000000005</v>
      </c>
      <c r="AF80" s="132">
        <v>4095.88</v>
      </c>
      <c r="AG80" s="132">
        <v>-973.87</v>
      </c>
      <c r="AH80" s="132">
        <v>6128.89</v>
      </c>
      <c r="AI80" s="132">
        <v>4201.47</v>
      </c>
      <c r="AJ80" s="132">
        <v>4400.2700000000004</v>
      </c>
      <c r="AK80" s="132">
        <v>4409.59</v>
      </c>
      <c r="AL80" s="132">
        <v>4763.43</v>
      </c>
      <c r="AM80" s="132">
        <v>5953.28</v>
      </c>
    </row>
    <row r="81" spans="1:39" ht="13.8" outlineLevel="1">
      <c r="A81" s="142" t="s">
        <v>149</v>
      </c>
      <c r="B81" s="171">
        <f t="shared" ca="1" si="60"/>
        <v>301.10000000000002</v>
      </c>
      <c r="C81" s="166" t="str">
        <f t="shared" si="61"/>
        <v>COSTS AND EXPENSES: NON-WORK WAGES</v>
      </c>
      <c r="D81" s="166" t="str">
        <f t="shared" si="62"/>
        <v>NON-WORK WAGES</v>
      </c>
      <c r="E81" s="166" t="str">
        <f t="shared" si="63"/>
        <v>COSTS AND EXPENSES:</v>
      </c>
      <c r="F81" s="166" t="str">
        <f t="shared" si="31"/>
        <v>502090</v>
      </c>
      <c r="H81" s="134" t="s">
        <v>212</v>
      </c>
      <c r="I81" s="134" t="s">
        <v>213</v>
      </c>
      <c r="J81" s="132">
        <v>291.49</v>
      </c>
      <c r="K81" s="132">
        <v>640.96</v>
      </c>
      <c r="L81" s="132">
        <v>1084.28</v>
      </c>
      <c r="M81" s="132">
        <v>173.36</v>
      </c>
      <c r="N81" s="132">
        <v>234.75</v>
      </c>
      <c r="O81" s="132">
        <v>620.85</v>
      </c>
      <c r="P81" s="132">
        <v>140</v>
      </c>
      <c r="Q81" s="132">
        <v>316.88</v>
      </c>
      <c r="R81" s="132">
        <v>80</v>
      </c>
      <c r="S81" s="132">
        <v>900</v>
      </c>
      <c r="T81" s="132">
        <v>131.04</v>
      </c>
      <c r="U81" s="132">
        <v>535.41999999999996</v>
      </c>
      <c r="V81" s="132">
        <v>1031.44</v>
      </c>
      <c r="W81" s="132">
        <v>225.44</v>
      </c>
      <c r="X81" s="132">
        <v>318.40000000000003</v>
      </c>
      <c r="Y81" s="132">
        <v>378.7</v>
      </c>
      <c r="Z81" s="132">
        <v>670.56000000000006</v>
      </c>
      <c r="AA81" s="132">
        <v>0</v>
      </c>
      <c r="AB81" s="132">
        <v>258.8</v>
      </c>
      <c r="AC81" s="132">
        <v>1174.8</v>
      </c>
      <c r="AD81" s="132">
        <v>0</v>
      </c>
      <c r="AE81" s="132">
        <v>743.25</v>
      </c>
      <c r="AF81" s="132">
        <v>0</v>
      </c>
      <c r="AG81" s="132">
        <v>323.47000000000003</v>
      </c>
      <c r="AH81" s="132">
        <v>12.950000000000001</v>
      </c>
      <c r="AI81" s="132">
        <v>82.01</v>
      </c>
      <c r="AJ81" s="132">
        <v>298.90000000000003</v>
      </c>
      <c r="AK81" s="132">
        <v>104</v>
      </c>
      <c r="AL81" s="132">
        <v>305.84000000000003</v>
      </c>
      <c r="AM81" s="132">
        <v>176</v>
      </c>
    </row>
    <row r="82" spans="1:39" ht="14.25" customHeight="1">
      <c r="A82" s="142"/>
      <c r="B82" s="171" t="str">
        <f t="shared" ca="1" si="60"/>
        <v/>
      </c>
      <c r="C82" s="166" t="str">
        <f t="shared" si="61"/>
        <v/>
      </c>
      <c r="D82" s="166" t="str">
        <f t="shared" si="62"/>
        <v/>
      </c>
      <c r="E82" s="166" t="str">
        <f t="shared" si="63"/>
        <v/>
      </c>
      <c r="F82" s="166" t="str">
        <f t="shared" si="31"/>
        <v/>
      </c>
      <c r="G82" s="187"/>
      <c r="H82" s="138" t="s">
        <v>214</v>
      </c>
      <c r="J82" s="188">
        <v>178640</v>
      </c>
      <c r="K82" s="188">
        <v>161693.02000000002</v>
      </c>
      <c r="L82" s="188">
        <v>181540.09999999998</v>
      </c>
      <c r="M82" s="188">
        <v>172656.74000000002</v>
      </c>
      <c r="N82" s="188">
        <v>184867.64000000004</v>
      </c>
      <c r="O82" s="188">
        <v>175250.86000000002</v>
      </c>
      <c r="P82" s="188">
        <v>175346.24000000005</v>
      </c>
      <c r="Q82" s="188">
        <v>185256.3299999999</v>
      </c>
      <c r="R82" s="188">
        <v>178384.88999999998</v>
      </c>
      <c r="S82" s="188">
        <v>174790.03999999998</v>
      </c>
      <c r="T82" s="188">
        <v>162247.73000000004</v>
      </c>
      <c r="U82" s="188">
        <v>179751.96999999997</v>
      </c>
      <c r="V82" s="188">
        <v>169697.11000000007</v>
      </c>
      <c r="W82" s="188">
        <v>137901.83999999997</v>
      </c>
      <c r="X82" s="188">
        <v>157657.65999999997</v>
      </c>
      <c r="Y82" s="188">
        <v>158702.49</v>
      </c>
      <c r="Z82" s="188">
        <v>152652.71000000002</v>
      </c>
      <c r="AA82" s="188">
        <v>146304.85</v>
      </c>
      <c r="AB82" s="188">
        <v>143766.04999999996</v>
      </c>
      <c r="AC82" s="188">
        <v>153718.98000000001</v>
      </c>
      <c r="AD82" s="188">
        <v>140071.06</v>
      </c>
      <c r="AE82" s="188">
        <v>135394.09000000003</v>
      </c>
      <c r="AF82" s="188">
        <v>126485.20000000003</v>
      </c>
      <c r="AG82" s="188">
        <v>136998.45000000004</v>
      </c>
      <c r="AH82" s="188">
        <v>138161.43000000002</v>
      </c>
      <c r="AI82" s="188">
        <v>120139.76999999997</v>
      </c>
      <c r="AJ82" s="188">
        <v>139831.45999999996</v>
      </c>
      <c r="AK82" s="188">
        <v>136902.89000000001</v>
      </c>
      <c r="AL82" s="188">
        <v>152137.24000000002</v>
      </c>
      <c r="AM82" s="188">
        <v>159915.87000000002</v>
      </c>
    </row>
    <row r="83" spans="1:39" ht="14.25" customHeight="1">
      <c r="A83" s="142"/>
      <c r="B83" s="171" t="str">
        <f t="shared" ca="1" si="60"/>
        <v/>
      </c>
      <c r="C83" s="166"/>
      <c r="D83" s="166"/>
      <c r="E83" s="166"/>
      <c r="F83" s="166" t="str">
        <f t="shared" si="31"/>
        <v/>
      </c>
      <c r="G83" s="187"/>
      <c r="H83" s="138"/>
      <c r="J83" s="188"/>
      <c r="K83" s="188"/>
      <c r="L83" s="188"/>
      <c r="M83" s="188"/>
      <c r="N83" s="188"/>
      <c r="O83" s="188"/>
      <c r="P83" s="188"/>
      <c r="Q83" s="188"/>
      <c r="R83" s="188"/>
      <c r="S83" s="188"/>
      <c r="T83" s="188"/>
      <c r="U83" s="188"/>
      <c r="V83" s="188"/>
      <c r="W83" s="188"/>
      <c r="X83" s="188"/>
      <c r="Y83" s="188"/>
      <c r="Z83" s="188"/>
      <c r="AA83" s="188"/>
      <c r="AB83" s="188"/>
      <c r="AC83" s="188"/>
      <c r="AD83" s="188"/>
      <c r="AE83" s="188"/>
      <c r="AF83" s="188"/>
      <c r="AG83" s="188"/>
      <c r="AH83" s="188"/>
      <c r="AI83" s="188"/>
      <c r="AJ83" s="188"/>
      <c r="AK83" s="188"/>
      <c r="AL83" s="188"/>
      <c r="AM83" s="188"/>
    </row>
    <row r="84" spans="1:39" ht="13.8">
      <c r="A84" s="142" t="str">
        <f t="shared" ref="A84" si="64">IF(AND(LEN(H84)&gt;0,LEN(H83)=0,LEFT(H84,3)&lt;&gt;"TOT"),"GROUP","")</f>
        <v>GROUP</v>
      </c>
      <c r="B84" s="171"/>
      <c r="C84" s="166" t="str">
        <f t="shared" ref="C84:C147" si="65">IF(LEN(D84)&gt;0,TRIM(E84&amp;" "&amp;D84),"")</f>
        <v/>
      </c>
      <c r="D84" s="166" t="str">
        <f t="shared" ref="D84:D147" si="66">IFERROR(IF(AND(LEN(A84)&gt;0,A84&lt;&gt;"GROUP"),UPPER(H84),""),"")</f>
        <v/>
      </c>
      <c r="E84" s="166" t="str">
        <f t="shared" ref="E84:E147" si="67">IFERROR(IF(A84="GROUP",UPPER(H84),IF(AND(LEN(A84)&gt;0,A84&lt;&gt;"GROUP"),UPPER(E83),"")),"")</f>
        <v>OPERATING EXPENSES</v>
      </c>
      <c r="F84" s="166" t="str">
        <f t="shared" si="31"/>
        <v/>
      </c>
      <c r="G84" s="187"/>
      <c r="H84" s="131" t="s">
        <v>215</v>
      </c>
      <c r="J84" s="188"/>
      <c r="K84" s="188"/>
      <c r="L84" s="188"/>
      <c r="M84" s="188"/>
      <c r="N84" s="188"/>
      <c r="O84" s="188"/>
      <c r="P84" s="188"/>
      <c r="Q84" s="188"/>
      <c r="R84" s="188"/>
      <c r="S84" s="188"/>
      <c r="T84" s="188"/>
      <c r="U84" s="188"/>
      <c r="V84" s="188"/>
      <c r="W84" s="188"/>
      <c r="X84" s="188"/>
      <c r="Y84" s="188"/>
      <c r="Z84" s="188"/>
      <c r="AA84" s="188"/>
      <c r="AB84" s="188"/>
      <c r="AC84" s="188"/>
      <c r="AD84" s="188"/>
      <c r="AE84" s="188"/>
      <c r="AF84" s="188"/>
      <c r="AG84" s="188"/>
      <c r="AH84" s="188"/>
      <c r="AI84" s="188"/>
      <c r="AJ84" s="188"/>
      <c r="AK84" s="188"/>
      <c r="AL84" s="188"/>
      <c r="AM84" s="188"/>
    </row>
    <row r="85" spans="1:39" ht="13.8" outlineLevel="1">
      <c r="A85" s="142" t="s">
        <v>149</v>
      </c>
      <c r="B85" s="171">
        <f t="shared" ca="1" si="60"/>
        <v>313</v>
      </c>
      <c r="C85" s="166" t="str">
        <f t="shared" si="65"/>
        <v>OPERATING EXPENSES OTHER EMPLOYEE BENEFITS</v>
      </c>
      <c r="D85" s="166" t="str">
        <f t="shared" si="66"/>
        <v>OTHER EMPLOYEE BENEFITS</v>
      </c>
      <c r="E85" s="166" t="str">
        <f t="shared" si="67"/>
        <v>OPERATING EXPENSES</v>
      </c>
      <c r="F85" s="166" t="str">
        <f t="shared" si="31"/>
        <v>503050</v>
      </c>
      <c r="H85" s="134" t="s">
        <v>216</v>
      </c>
      <c r="I85" s="134" t="s">
        <v>217</v>
      </c>
      <c r="J85" s="132">
        <v>40.97</v>
      </c>
      <c r="K85" s="132">
        <v>0</v>
      </c>
      <c r="L85" s="132">
        <v>0</v>
      </c>
      <c r="M85" s="132">
        <v>582.56000000000006</v>
      </c>
      <c r="N85" s="132">
        <v>866.39</v>
      </c>
      <c r="O85" s="132">
        <v>447.03000000000003</v>
      </c>
      <c r="P85" s="132">
        <v>240.13</v>
      </c>
      <c r="Q85" s="132">
        <v>50</v>
      </c>
      <c r="R85" s="132">
        <v>1472.8700000000001</v>
      </c>
      <c r="S85" s="132">
        <v>0</v>
      </c>
      <c r="T85" s="132">
        <v>1788.28</v>
      </c>
      <c r="U85" s="132">
        <v>246.13</v>
      </c>
      <c r="V85" s="132">
        <v>99.26</v>
      </c>
      <c r="W85" s="132">
        <v>444.35</v>
      </c>
      <c r="X85" s="132">
        <v>623.14</v>
      </c>
      <c r="Y85" s="132">
        <v>91.350000000000009</v>
      </c>
      <c r="Z85" s="132">
        <v>269.59000000000003</v>
      </c>
      <c r="AA85" s="132">
        <v>709.54</v>
      </c>
      <c r="AB85" s="132">
        <v>48.120000000000005</v>
      </c>
      <c r="AC85" s="132">
        <v>207.68</v>
      </c>
      <c r="AD85" s="132">
        <v>230.46</v>
      </c>
      <c r="AE85" s="132">
        <v>1268.79</v>
      </c>
      <c r="AF85" s="132">
        <v>1544.41</v>
      </c>
      <c r="AG85" s="132">
        <v>308.32</v>
      </c>
      <c r="AH85" s="132">
        <v>189.56</v>
      </c>
      <c r="AI85" s="132">
        <v>0</v>
      </c>
      <c r="AJ85" s="132">
        <v>401.32</v>
      </c>
      <c r="AK85" s="132">
        <v>789.12</v>
      </c>
      <c r="AL85" s="132">
        <v>1446.34</v>
      </c>
      <c r="AM85" s="132">
        <v>1638.95</v>
      </c>
    </row>
    <row r="86" spans="1:39" ht="13.8" outlineLevel="1">
      <c r="A86" s="142" t="s">
        <v>149</v>
      </c>
      <c r="B86" s="171">
        <f t="shared" ca="1" si="60"/>
        <v>311.3</v>
      </c>
      <c r="C86" s="166" t="str">
        <f t="shared" si="65"/>
        <v>OPERATING EXPENSES UNIFORM EXPENSE</v>
      </c>
      <c r="D86" s="166" t="str">
        <f t="shared" si="66"/>
        <v>UNIFORM EXPENSE</v>
      </c>
      <c r="E86" s="166" t="str">
        <f t="shared" si="67"/>
        <v>OPERATING EXPENSES</v>
      </c>
      <c r="F86" s="166" t="str">
        <f t="shared" si="31"/>
        <v>503060</v>
      </c>
      <c r="H86" s="134" t="s">
        <v>218</v>
      </c>
      <c r="I86" s="134" t="s">
        <v>219</v>
      </c>
      <c r="J86" s="132">
        <v>0</v>
      </c>
      <c r="K86" s="132">
        <v>0</v>
      </c>
      <c r="L86" s="132">
        <v>0</v>
      </c>
      <c r="M86" s="132">
        <v>64.010000000000005</v>
      </c>
      <c r="N86" s="132">
        <v>0</v>
      </c>
      <c r="O86" s="132">
        <v>0</v>
      </c>
      <c r="P86" s="132">
        <v>0</v>
      </c>
      <c r="Q86" s="132">
        <v>0</v>
      </c>
      <c r="R86" s="132">
        <v>0</v>
      </c>
      <c r="S86" s="132">
        <v>30.2</v>
      </c>
      <c r="T86" s="132">
        <v>0</v>
      </c>
      <c r="U86" s="132">
        <v>26</v>
      </c>
      <c r="V86" s="132">
        <v>0</v>
      </c>
      <c r="W86" s="132">
        <v>0</v>
      </c>
      <c r="X86" s="132">
        <v>0</v>
      </c>
      <c r="Y86" s="132">
        <v>0</v>
      </c>
      <c r="Z86" s="132">
        <v>0</v>
      </c>
      <c r="AA86" s="132">
        <v>216.15</v>
      </c>
      <c r="AB86" s="132">
        <v>0</v>
      </c>
      <c r="AC86" s="132">
        <v>0</v>
      </c>
      <c r="AD86" s="132">
        <v>0</v>
      </c>
      <c r="AE86" s="132">
        <v>0</v>
      </c>
      <c r="AF86" s="132">
        <v>0</v>
      </c>
      <c r="AG86" s="132">
        <v>0</v>
      </c>
      <c r="AH86" s="132">
        <v>0</v>
      </c>
      <c r="AI86" s="132">
        <v>0</v>
      </c>
      <c r="AJ86" s="132">
        <v>0</v>
      </c>
      <c r="AK86" s="132">
        <v>0</v>
      </c>
      <c r="AL86" s="132">
        <v>498.84000000000003</v>
      </c>
      <c r="AM86" s="132">
        <v>0</v>
      </c>
    </row>
    <row r="87" spans="1:39" ht="13.8" outlineLevel="1">
      <c r="A87" s="142" t="s">
        <v>149</v>
      </c>
      <c r="B87" s="171">
        <f t="shared" ca="1" si="60"/>
        <v>313</v>
      </c>
      <c r="C87" s="166" t="str">
        <f t="shared" si="65"/>
        <v>OPERATING EXPENSES ALLOCATED BENEFITS</v>
      </c>
      <c r="D87" s="166" t="str">
        <f t="shared" si="66"/>
        <v>ALLOCATED BENEFITS</v>
      </c>
      <c r="E87" s="166" t="str">
        <f t="shared" si="67"/>
        <v>OPERATING EXPENSES</v>
      </c>
      <c r="F87" s="166" t="str">
        <f t="shared" si="31"/>
        <v>503070</v>
      </c>
      <c r="H87" s="134" t="s">
        <v>220</v>
      </c>
      <c r="I87" s="134" t="s">
        <v>221</v>
      </c>
      <c r="J87" s="132">
        <v>720.4</v>
      </c>
      <c r="K87" s="132">
        <v>460.68</v>
      </c>
      <c r="L87" s="132">
        <v>392.6</v>
      </c>
      <c r="M87" s="132">
        <v>373.68</v>
      </c>
      <c r="N87" s="132">
        <v>430.54</v>
      </c>
      <c r="O87" s="132">
        <v>389.84000000000003</v>
      </c>
      <c r="P87" s="132">
        <v>330.38</v>
      </c>
      <c r="Q87" s="132">
        <v>389.32</v>
      </c>
      <c r="R87" s="132">
        <v>981.80000000000007</v>
      </c>
      <c r="S87" s="132">
        <v>875.72</v>
      </c>
      <c r="T87" s="132">
        <v>270.32</v>
      </c>
      <c r="U87" s="132">
        <v>324.10000000000002</v>
      </c>
      <c r="V87" s="132">
        <v>245</v>
      </c>
      <c r="W87" s="132">
        <v>195.84</v>
      </c>
      <c r="X87" s="132">
        <v>269.95999999999998</v>
      </c>
      <c r="Y87" s="132">
        <v>260.88</v>
      </c>
      <c r="Z87" s="132">
        <v>211.21</v>
      </c>
      <c r="AA87" s="132">
        <v>224.57</v>
      </c>
      <c r="AB87" s="132">
        <v>255.98000000000002</v>
      </c>
      <c r="AC87" s="132">
        <v>201.04</v>
      </c>
      <c r="AD87" s="132">
        <v>153.49</v>
      </c>
      <c r="AE87" s="132">
        <v>194.05</v>
      </c>
      <c r="AF87" s="132">
        <v>241.21</v>
      </c>
      <c r="AG87" s="132">
        <v>218.63</v>
      </c>
      <c r="AH87" s="132">
        <v>292.95999999999998</v>
      </c>
      <c r="AI87" s="132">
        <v>320.69</v>
      </c>
      <c r="AJ87" s="132">
        <v>327.52</v>
      </c>
      <c r="AK87" s="132">
        <v>165.37</v>
      </c>
      <c r="AL87" s="132">
        <v>549.16999999999996</v>
      </c>
      <c r="AM87" s="132">
        <v>667.15</v>
      </c>
    </row>
    <row r="88" spans="1:39" ht="13.8" outlineLevel="1">
      <c r="A88" s="142" t="s">
        <v>149</v>
      </c>
      <c r="B88" s="171">
        <f t="shared" ca="1" si="60"/>
        <v>312</v>
      </c>
      <c r="C88" s="166" t="str">
        <f t="shared" si="65"/>
        <v>OPERATING EXPENSES PAYROLL TAXES/FICA</v>
      </c>
      <c r="D88" s="166" t="str">
        <f t="shared" si="66"/>
        <v>PAYROLL TAXES/FICA</v>
      </c>
      <c r="E88" s="166" t="str">
        <f t="shared" si="67"/>
        <v>OPERATING EXPENSES</v>
      </c>
      <c r="F88" s="166" t="str">
        <f t="shared" si="31"/>
        <v>503110</v>
      </c>
      <c r="H88" s="134" t="s">
        <v>222</v>
      </c>
      <c r="I88" s="134" t="s">
        <v>223</v>
      </c>
      <c r="J88" s="132">
        <v>12818.27</v>
      </c>
      <c r="K88" s="132">
        <v>11712.43</v>
      </c>
      <c r="L88" s="132">
        <v>12970.75</v>
      </c>
      <c r="M88" s="132">
        <v>12802.49</v>
      </c>
      <c r="N88" s="132">
        <v>13624.62</v>
      </c>
      <c r="O88" s="132">
        <v>12650.32</v>
      </c>
      <c r="P88" s="132">
        <v>12996.53</v>
      </c>
      <c r="Q88" s="132">
        <v>13174.06</v>
      </c>
      <c r="R88" s="132">
        <v>12691.93</v>
      </c>
      <c r="S88" s="132">
        <v>12359.08</v>
      </c>
      <c r="T88" s="132">
        <v>11579.04</v>
      </c>
      <c r="U88" s="132">
        <v>13133.64</v>
      </c>
      <c r="V88" s="132">
        <v>11441.25</v>
      </c>
      <c r="W88" s="132">
        <v>9612.5400000000009</v>
      </c>
      <c r="X88" s="132">
        <v>11824.18</v>
      </c>
      <c r="Y88" s="132">
        <v>10995.7</v>
      </c>
      <c r="Z88" s="132">
        <v>10774.08</v>
      </c>
      <c r="AA88" s="132">
        <v>10295.280000000001</v>
      </c>
      <c r="AB88" s="132">
        <v>10696.19</v>
      </c>
      <c r="AC88" s="132">
        <v>10413.44</v>
      </c>
      <c r="AD88" s="132">
        <v>10027.35</v>
      </c>
      <c r="AE88" s="132">
        <v>9884.48</v>
      </c>
      <c r="AF88" s="132">
        <v>9047.86</v>
      </c>
      <c r="AG88" s="132">
        <v>10534.08</v>
      </c>
      <c r="AH88" s="132">
        <v>9659.7100000000009</v>
      </c>
      <c r="AI88" s="132">
        <v>8237.2000000000007</v>
      </c>
      <c r="AJ88" s="132">
        <v>9869.01</v>
      </c>
      <c r="AK88" s="132">
        <v>9637.69</v>
      </c>
      <c r="AL88" s="132">
        <v>12248.43</v>
      </c>
      <c r="AM88" s="132">
        <v>10404.49</v>
      </c>
    </row>
    <row r="89" spans="1:39" ht="13.8" outlineLevel="1">
      <c r="A89" s="142" t="s">
        <v>149</v>
      </c>
      <c r="B89" s="171">
        <f t="shared" ca="1" si="60"/>
        <v>312</v>
      </c>
      <c r="C89" s="166" t="str">
        <f t="shared" si="65"/>
        <v>OPERATING EXPENSES FUTA</v>
      </c>
      <c r="D89" s="166" t="str">
        <f t="shared" si="66"/>
        <v>FUTA</v>
      </c>
      <c r="E89" s="166" t="str">
        <f t="shared" si="67"/>
        <v>OPERATING EXPENSES</v>
      </c>
      <c r="F89" s="166" t="str">
        <f t="shared" ref="F89:F152" si="68">TRIM(I89)</f>
        <v>503120</v>
      </c>
      <c r="H89" s="134" t="s">
        <v>224</v>
      </c>
      <c r="I89" s="134" t="s">
        <v>225</v>
      </c>
      <c r="J89" s="132">
        <v>295.54000000000002</v>
      </c>
      <c r="K89" s="132">
        <v>289.32</v>
      </c>
      <c r="L89" s="132">
        <v>275.83</v>
      </c>
      <c r="M89" s="132">
        <v>273.49</v>
      </c>
      <c r="N89" s="132">
        <v>453.38</v>
      </c>
      <c r="O89" s="132">
        <v>121.24000000000001</v>
      </c>
      <c r="P89" s="132">
        <v>310.36</v>
      </c>
      <c r="Q89" s="132">
        <v>296.75</v>
      </c>
      <c r="R89" s="132">
        <v>307.36</v>
      </c>
      <c r="S89" s="132">
        <v>292.56</v>
      </c>
      <c r="T89" s="132">
        <v>387.63</v>
      </c>
      <c r="U89" s="132">
        <v>900.64</v>
      </c>
      <c r="V89" s="132">
        <v>257.03000000000003</v>
      </c>
      <c r="W89" s="132">
        <v>233.21</v>
      </c>
      <c r="X89" s="132">
        <v>267.31</v>
      </c>
      <c r="Y89" s="132">
        <v>253.14000000000001</v>
      </c>
      <c r="Z89" s="132">
        <v>203.81</v>
      </c>
      <c r="AA89" s="132">
        <v>223.70000000000002</v>
      </c>
      <c r="AB89" s="132">
        <v>248.16</v>
      </c>
      <c r="AC89" s="132">
        <v>199.56</v>
      </c>
      <c r="AD89" s="132">
        <v>310.18</v>
      </c>
      <c r="AE89" s="132">
        <v>232.09</v>
      </c>
      <c r="AF89" s="132">
        <v>317.90000000000003</v>
      </c>
      <c r="AG89" s="132">
        <v>523.54</v>
      </c>
      <c r="AH89" s="132">
        <v>226.02</v>
      </c>
      <c r="AI89" s="132">
        <v>210.22</v>
      </c>
      <c r="AJ89" s="132">
        <v>211.58</v>
      </c>
      <c r="AK89" s="132">
        <v>177.8</v>
      </c>
      <c r="AL89" s="132">
        <v>188.99</v>
      </c>
      <c r="AM89" s="132">
        <v>201.39000000000001</v>
      </c>
    </row>
    <row r="90" spans="1:39" ht="13.8" outlineLevel="1">
      <c r="A90" s="142" t="s">
        <v>149</v>
      </c>
      <c r="B90" s="171">
        <f t="shared" ca="1" si="60"/>
        <v>312</v>
      </c>
      <c r="C90" s="166" t="str">
        <f t="shared" si="65"/>
        <v>OPERATING EXPENSES SUTA</v>
      </c>
      <c r="D90" s="166" t="str">
        <f t="shared" si="66"/>
        <v>SUTA</v>
      </c>
      <c r="E90" s="166" t="str">
        <f t="shared" si="67"/>
        <v>OPERATING EXPENSES</v>
      </c>
      <c r="F90" s="166" t="str">
        <f t="shared" si="68"/>
        <v>503130</v>
      </c>
      <c r="H90" s="134" t="s">
        <v>226</v>
      </c>
      <c r="I90" s="134" t="s">
        <v>227</v>
      </c>
      <c r="J90" s="132">
        <v>1885.69</v>
      </c>
      <c r="K90" s="132">
        <v>1961.4</v>
      </c>
      <c r="L90" s="132">
        <v>1727.8700000000001</v>
      </c>
      <c r="M90" s="132">
        <v>1745.51</v>
      </c>
      <c r="N90" s="132">
        <v>3327.81</v>
      </c>
      <c r="O90" s="132">
        <v>816.65</v>
      </c>
      <c r="P90" s="132">
        <v>1968.52</v>
      </c>
      <c r="Q90" s="132">
        <v>1918.8500000000001</v>
      </c>
      <c r="R90" s="132">
        <v>2022.46</v>
      </c>
      <c r="S90" s="132">
        <v>1901.56</v>
      </c>
      <c r="T90" s="132">
        <v>2517.7600000000002</v>
      </c>
      <c r="U90" s="132">
        <v>5072.3900000000003</v>
      </c>
      <c r="V90" s="132">
        <v>1254.24</v>
      </c>
      <c r="W90" s="132">
        <v>1391.64</v>
      </c>
      <c r="X90" s="132">
        <v>1504.3700000000001</v>
      </c>
      <c r="Y90" s="132">
        <v>1595.15</v>
      </c>
      <c r="Z90" s="132">
        <v>1421.56</v>
      </c>
      <c r="AA90" s="132">
        <v>1250.56</v>
      </c>
      <c r="AB90" s="132">
        <v>1444.83</v>
      </c>
      <c r="AC90" s="132">
        <v>1281.19</v>
      </c>
      <c r="AD90" s="132">
        <v>1140.58</v>
      </c>
      <c r="AE90" s="132">
        <v>6505.8600000000006</v>
      </c>
      <c r="AF90" s="132">
        <v>3509.14</v>
      </c>
      <c r="AG90" s="132">
        <v>3656.3</v>
      </c>
      <c r="AH90" s="132">
        <v>1090.08</v>
      </c>
      <c r="AI90" s="132">
        <v>1167.0899999999999</v>
      </c>
      <c r="AJ90" s="132">
        <v>1239.73</v>
      </c>
      <c r="AK90" s="132">
        <v>1050.08</v>
      </c>
      <c r="AL90" s="132">
        <v>1167.83</v>
      </c>
      <c r="AM90" s="132">
        <v>1048.1200000000001</v>
      </c>
    </row>
    <row r="91" spans="1:39" ht="13.8" outlineLevel="1">
      <c r="A91" s="142" t="s">
        <v>149</v>
      </c>
      <c r="B91" s="171">
        <f t="shared" ca="1" si="60"/>
        <v>316</v>
      </c>
      <c r="C91" s="166" t="str">
        <f t="shared" si="65"/>
        <v>OPERATING EXPENSES HEALTH INSURANCE DEDUCTIONS</v>
      </c>
      <c r="D91" s="166" t="str">
        <f t="shared" si="66"/>
        <v>HEALTH INSURANCE DEDUCTIONS</v>
      </c>
      <c r="E91" s="166" t="str">
        <f t="shared" si="67"/>
        <v>OPERATING EXPENSES</v>
      </c>
      <c r="F91" s="166" t="str">
        <f t="shared" si="68"/>
        <v>503140</v>
      </c>
      <c r="H91" s="134" t="s">
        <v>228</v>
      </c>
      <c r="I91" s="134" t="s">
        <v>229</v>
      </c>
      <c r="J91" s="132">
        <v>-6530.42</v>
      </c>
      <c r="K91" s="132">
        <v>-6447.3600000000006</v>
      </c>
      <c r="L91" s="132">
        <v>-6512.92</v>
      </c>
      <c r="M91" s="132">
        <v>-9040.7000000000007</v>
      </c>
      <c r="N91" s="132">
        <v>-6163.81</v>
      </c>
      <c r="O91" s="132">
        <v>-6035.31</v>
      </c>
      <c r="P91" s="132">
        <v>-6139.81</v>
      </c>
      <c r="Q91" s="132">
        <v>-6294.28</v>
      </c>
      <c r="R91" s="132">
        <v>-6123.38</v>
      </c>
      <c r="S91" s="132">
        <v>-9031.67</v>
      </c>
      <c r="T91" s="132">
        <v>-6338.99</v>
      </c>
      <c r="U91" s="132">
        <v>-6117.59</v>
      </c>
      <c r="V91" s="132">
        <v>-9315.74</v>
      </c>
      <c r="W91" s="132">
        <v>-6107.85</v>
      </c>
      <c r="X91" s="132">
        <v>-5986.06</v>
      </c>
      <c r="Y91" s="132">
        <v>-5888.56</v>
      </c>
      <c r="Z91" s="132">
        <v>-5323.37</v>
      </c>
      <c r="AA91" s="132">
        <v>-5541.41</v>
      </c>
      <c r="AB91" s="132">
        <v>-5142.08</v>
      </c>
      <c r="AC91" s="132">
        <v>-7844.62</v>
      </c>
      <c r="AD91" s="132">
        <v>-4979.09</v>
      </c>
      <c r="AE91" s="132">
        <v>-4750.32</v>
      </c>
      <c r="AF91" s="132">
        <v>-4843.46</v>
      </c>
      <c r="AG91" s="132">
        <v>-4816.46</v>
      </c>
      <c r="AH91" s="132">
        <v>-7629.83</v>
      </c>
      <c r="AI91" s="132">
        <v>-5217.16</v>
      </c>
      <c r="AJ91" s="132">
        <v>-4831.6900000000005</v>
      </c>
      <c r="AK91" s="132">
        <v>-4667</v>
      </c>
      <c r="AL91" s="132">
        <v>-4667</v>
      </c>
      <c r="AM91" s="132">
        <v>-4991.49</v>
      </c>
    </row>
    <row r="92" spans="1:39" ht="13.8" outlineLevel="1">
      <c r="A92" s="142" t="s">
        <v>149</v>
      </c>
      <c r="B92" s="171">
        <f t="shared" ca="1" si="60"/>
        <v>316</v>
      </c>
      <c r="C92" s="166" t="str">
        <f t="shared" si="65"/>
        <v>OPERATING EXPENSES HEALTH INSURANCE GROSS COST</v>
      </c>
      <c r="D92" s="166" t="str">
        <f t="shared" si="66"/>
        <v>HEALTH INSURANCE GROSS COST</v>
      </c>
      <c r="E92" s="166" t="str">
        <f t="shared" si="67"/>
        <v>OPERATING EXPENSES</v>
      </c>
      <c r="F92" s="166" t="str">
        <f t="shared" si="68"/>
        <v>503145</v>
      </c>
      <c r="H92" s="134" t="s">
        <v>230</v>
      </c>
      <c r="I92" s="134" t="s">
        <v>231</v>
      </c>
      <c r="J92" s="132">
        <v>14960.19</v>
      </c>
      <c r="K92" s="132">
        <v>14960.19</v>
      </c>
      <c r="L92" s="132">
        <v>18887.61</v>
      </c>
      <c r="M92" s="132">
        <v>17107.03</v>
      </c>
      <c r="N92" s="132">
        <v>17518.45</v>
      </c>
      <c r="O92" s="132">
        <v>17685.400000000001</v>
      </c>
      <c r="P92" s="132">
        <v>16564.330000000002</v>
      </c>
      <c r="Q92" s="132">
        <v>17022.97</v>
      </c>
      <c r="R92" s="132">
        <v>16494.03</v>
      </c>
      <c r="S92" s="132">
        <v>16962.14</v>
      </c>
      <c r="T92" s="132">
        <v>16988.18</v>
      </c>
      <c r="U92" s="132">
        <v>18638.5</v>
      </c>
      <c r="V92" s="132">
        <v>15141.73</v>
      </c>
      <c r="W92" s="132">
        <v>18678.25</v>
      </c>
      <c r="X92" s="132">
        <v>18493.93</v>
      </c>
      <c r="Y92" s="132">
        <v>18011.93</v>
      </c>
      <c r="Z92" s="132">
        <v>19641.400000000001</v>
      </c>
      <c r="AA92" s="132">
        <v>17663.650000000001</v>
      </c>
      <c r="AB92" s="132">
        <v>16744</v>
      </c>
      <c r="AC92" s="132">
        <v>11847.92</v>
      </c>
      <c r="AD92" s="132">
        <v>15060.16</v>
      </c>
      <c r="AE92" s="132">
        <v>16585.91</v>
      </c>
      <c r="AF92" s="132">
        <v>15303.880000000001</v>
      </c>
      <c r="AG92" s="132">
        <v>15501.41</v>
      </c>
      <c r="AH92" s="132">
        <v>16129.050000000001</v>
      </c>
      <c r="AI92" s="132">
        <v>17138.34</v>
      </c>
      <c r="AJ92" s="132">
        <v>16536.099999999999</v>
      </c>
      <c r="AK92" s="132">
        <v>14500.36</v>
      </c>
      <c r="AL92" s="132">
        <v>14819.77</v>
      </c>
      <c r="AM92" s="132">
        <v>16289.78</v>
      </c>
    </row>
    <row r="93" spans="1:39" ht="13.8" outlineLevel="1">
      <c r="A93" s="142" t="s">
        <v>149</v>
      </c>
      <c r="B93" s="171">
        <f t="shared" ca="1" si="60"/>
        <v>314</v>
      </c>
      <c r="C93" s="166" t="str">
        <f t="shared" si="65"/>
        <v>OPERATING EXPENSES WORKERS COMPENSATION</v>
      </c>
      <c r="D93" s="166" t="str">
        <f t="shared" si="66"/>
        <v>WORKERS COMPENSATION</v>
      </c>
      <c r="E93" s="166" t="str">
        <f t="shared" si="67"/>
        <v>OPERATING EXPENSES</v>
      </c>
      <c r="F93" s="166" t="str">
        <f t="shared" si="68"/>
        <v>503160</v>
      </c>
      <c r="H93" s="134" t="s">
        <v>232</v>
      </c>
      <c r="I93" s="134" t="s">
        <v>233</v>
      </c>
      <c r="J93" s="132">
        <v>-7842.26</v>
      </c>
      <c r="K93" s="132">
        <v>1000</v>
      </c>
      <c r="L93" s="132">
        <v>1000</v>
      </c>
      <c r="M93" s="132">
        <v>309.29000000000002</v>
      </c>
      <c r="N93" s="132">
        <v>4556.75</v>
      </c>
      <c r="O93" s="132">
        <v>6144.24</v>
      </c>
      <c r="P93" s="132">
        <v>0</v>
      </c>
      <c r="Q93" s="132">
        <v>-3697.26</v>
      </c>
      <c r="R93" s="132">
        <v>309.29000000000002</v>
      </c>
      <c r="S93" s="132">
        <v>0</v>
      </c>
      <c r="T93" s="132">
        <v>0</v>
      </c>
      <c r="U93" s="132">
        <v>0</v>
      </c>
      <c r="V93" s="132">
        <v>4000</v>
      </c>
      <c r="W93" s="132">
        <v>0</v>
      </c>
      <c r="X93" s="132">
        <v>-3000</v>
      </c>
      <c r="Y93" s="132">
        <v>0</v>
      </c>
      <c r="Z93" s="132">
        <v>4792.7300000000005</v>
      </c>
      <c r="AA93" s="132">
        <v>0</v>
      </c>
      <c r="AB93" s="132">
        <v>313.36</v>
      </c>
      <c r="AC93" s="132">
        <v>-8597.69</v>
      </c>
      <c r="AD93" s="132">
        <v>0</v>
      </c>
      <c r="AE93" s="132">
        <v>0</v>
      </c>
      <c r="AF93" s="132">
        <v>9.31</v>
      </c>
      <c r="AG93" s="132">
        <v>0</v>
      </c>
      <c r="AH93" s="132">
        <v>0</v>
      </c>
      <c r="AI93" s="132">
        <v>0</v>
      </c>
      <c r="AJ93" s="132">
        <v>0</v>
      </c>
      <c r="AK93" s="132">
        <v>1924.15</v>
      </c>
      <c r="AL93" s="132">
        <v>0</v>
      </c>
      <c r="AM93" s="132">
        <v>3649.25</v>
      </c>
    </row>
    <row r="94" spans="1:39" ht="13.8" outlineLevel="1">
      <c r="A94" s="142" t="s">
        <v>149</v>
      </c>
      <c r="B94" s="171">
        <f t="shared" ca="1" si="60"/>
        <v>304.3</v>
      </c>
      <c r="C94" s="166" t="str">
        <f t="shared" si="65"/>
        <v>OPERATING EXPENSES OXYGEN COSTS</v>
      </c>
      <c r="D94" s="166" t="str">
        <f t="shared" si="66"/>
        <v>OXYGEN COSTS</v>
      </c>
      <c r="E94" s="166" t="str">
        <f t="shared" si="67"/>
        <v>OPERATING EXPENSES</v>
      </c>
      <c r="F94" s="166" t="str">
        <f t="shared" si="68"/>
        <v>601110</v>
      </c>
      <c r="H94" s="134" t="s">
        <v>234</v>
      </c>
      <c r="I94" s="134" t="s">
        <v>235</v>
      </c>
      <c r="J94" s="132">
        <v>493.5</v>
      </c>
      <c r="K94" s="132">
        <v>828</v>
      </c>
      <c r="L94" s="132">
        <v>997.5</v>
      </c>
      <c r="M94" s="132">
        <v>987</v>
      </c>
      <c r="N94" s="132">
        <v>1133.24</v>
      </c>
      <c r="O94" s="132">
        <v>903</v>
      </c>
      <c r="P94" s="132">
        <v>866.25</v>
      </c>
      <c r="Q94" s="132">
        <v>782.25</v>
      </c>
      <c r="R94" s="132">
        <v>756</v>
      </c>
      <c r="S94" s="132">
        <v>577.5</v>
      </c>
      <c r="T94" s="132">
        <v>488.25</v>
      </c>
      <c r="U94" s="132">
        <v>913.5</v>
      </c>
      <c r="V94" s="132">
        <v>714</v>
      </c>
      <c r="W94" s="132">
        <v>352.5</v>
      </c>
      <c r="X94" s="132">
        <v>-200.25</v>
      </c>
      <c r="Y94" s="132">
        <v>603.75</v>
      </c>
      <c r="Z94" s="132">
        <v>246.75</v>
      </c>
      <c r="AA94" s="132">
        <v>157.5</v>
      </c>
      <c r="AB94" s="132">
        <v>0</v>
      </c>
      <c r="AC94" s="132">
        <v>0</v>
      </c>
      <c r="AD94" s="132">
        <v>236.25</v>
      </c>
      <c r="AE94" s="132">
        <v>0</v>
      </c>
      <c r="AF94" s="132">
        <v>84</v>
      </c>
      <c r="AG94" s="132">
        <v>0</v>
      </c>
      <c r="AH94" s="132">
        <v>0</v>
      </c>
      <c r="AI94" s="132">
        <v>189</v>
      </c>
      <c r="AJ94" s="132">
        <v>703.5</v>
      </c>
      <c r="AK94" s="132">
        <v>367.5</v>
      </c>
      <c r="AL94" s="132">
        <v>705</v>
      </c>
      <c r="AM94" s="132">
        <v>334.5</v>
      </c>
    </row>
    <row r="95" spans="1:39" ht="13.8" outlineLevel="1">
      <c r="A95" s="142" t="s">
        <v>149</v>
      </c>
      <c r="B95" s="171">
        <f t="shared" ca="1" si="60"/>
        <v>302.2</v>
      </c>
      <c r="C95" s="166" t="str">
        <f t="shared" si="65"/>
        <v>OPERATING EXPENSES MEDICAL DIRECTOR FEES</v>
      </c>
      <c r="D95" s="166" t="str">
        <f t="shared" si="66"/>
        <v>MEDICAL DIRECTOR FEES</v>
      </c>
      <c r="E95" s="166" t="str">
        <f t="shared" si="67"/>
        <v>OPERATING EXPENSES</v>
      </c>
      <c r="F95" s="166" t="str">
        <f t="shared" si="68"/>
        <v>601130</v>
      </c>
      <c r="H95" s="134" t="s">
        <v>236</v>
      </c>
      <c r="I95" s="134" t="s">
        <v>237</v>
      </c>
      <c r="J95" s="132">
        <v>2000</v>
      </c>
      <c r="K95" s="132">
        <v>2000</v>
      </c>
      <c r="L95" s="132">
        <v>2000</v>
      </c>
      <c r="M95" s="132">
        <v>2000</v>
      </c>
      <c r="N95" s="132">
        <v>2000</v>
      </c>
      <c r="O95" s="132">
        <v>2000</v>
      </c>
      <c r="P95" s="132">
        <v>2000</v>
      </c>
      <c r="Q95" s="132">
        <v>2000</v>
      </c>
      <c r="R95" s="132">
        <v>2000</v>
      </c>
      <c r="S95" s="132">
        <v>0</v>
      </c>
      <c r="T95" s="132">
        <v>4000</v>
      </c>
      <c r="U95" s="132">
        <v>2000</v>
      </c>
      <c r="V95" s="132">
        <v>2000</v>
      </c>
      <c r="W95" s="132">
        <v>2000</v>
      </c>
      <c r="X95" s="132">
        <v>2000</v>
      </c>
      <c r="Y95" s="132">
        <v>2000</v>
      </c>
      <c r="Z95" s="132">
        <v>2000</v>
      </c>
      <c r="AA95" s="132">
        <v>2000</v>
      </c>
      <c r="AB95" s="132">
        <v>2000</v>
      </c>
      <c r="AC95" s="132">
        <v>2000</v>
      </c>
      <c r="AD95" s="132">
        <v>2000</v>
      </c>
      <c r="AE95" s="132">
        <v>2000</v>
      </c>
      <c r="AF95" s="132">
        <v>2000</v>
      </c>
      <c r="AG95" s="132">
        <v>2000</v>
      </c>
      <c r="AH95" s="132">
        <v>2000</v>
      </c>
      <c r="AI95" s="132">
        <v>2000</v>
      </c>
      <c r="AJ95" s="132">
        <v>2000</v>
      </c>
      <c r="AK95" s="132">
        <v>2000</v>
      </c>
      <c r="AL95" s="132">
        <v>2000</v>
      </c>
      <c r="AM95" s="132">
        <v>2000</v>
      </c>
    </row>
    <row r="96" spans="1:39" s="194" customFormat="1" ht="13.8" outlineLevel="1">
      <c r="A96" s="142" t="s">
        <v>149</v>
      </c>
      <c r="B96" s="171">
        <f t="shared" ca="1" si="60"/>
        <v>301.10000000000002</v>
      </c>
      <c r="C96" s="166" t="str">
        <f t="shared" si="65"/>
        <v>OPERATING EXPENSES REGISTRY RN</v>
      </c>
      <c r="D96" s="166" t="str">
        <f t="shared" si="66"/>
        <v>REGISTRY RN</v>
      </c>
      <c r="E96" s="166" t="str">
        <f t="shared" si="67"/>
        <v>OPERATING EXPENSES</v>
      </c>
      <c r="F96" s="166" t="str">
        <f t="shared" si="68"/>
        <v>601210</v>
      </c>
      <c r="G96" s="192"/>
      <c r="H96" s="193" t="s">
        <v>238</v>
      </c>
      <c r="I96" s="193" t="s">
        <v>239</v>
      </c>
      <c r="J96" s="194">
        <v>0</v>
      </c>
      <c r="K96" s="194">
        <v>0</v>
      </c>
      <c r="L96" s="194">
        <v>0</v>
      </c>
      <c r="M96" s="194">
        <v>0</v>
      </c>
      <c r="N96" s="194">
        <v>0</v>
      </c>
      <c r="O96" s="194">
        <v>0</v>
      </c>
      <c r="P96" s="194">
        <v>0</v>
      </c>
      <c r="Q96" s="194">
        <v>0</v>
      </c>
      <c r="R96" s="194">
        <v>0</v>
      </c>
      <c r="S96" s="194">
        <v>0</v>
      </c>
      <c r="T96" s="194">
        <v>0</v>
      </c>
      <c r="U96" s="194">
        <v>0</v>
      </c>
      <c r="V96" s="194">
        <v>0</v>
      </c>
      <c r="W96" s="194">
        <v>0</v>
      </c>
      <c r="X96" s="194">
        <v>0</v>
      </c>
      <c r="Y96" s="194">
        <v>0</v>
      </c>
      <c r="Z96" s="194">
        <v>1233.4000000000001</v>
      </c>
      <c r="AA96" s="194">
        <v>2749.83</v>
      </c>
      <c r="AB96" s="194">
        <v>4421.1500000000005</v>
      </c>
      <c r="AC96" s="194">
        <v>0</v>
      </c>
      <c r="AD96" s="194">
        <v>0</v>
      </c>
      <c r="AE96" s="194">
        <v>0</v>
      </c>
      <c r="AF96" s="194">
        <v>0</v>
      </c>
      <c r="AG96" s="194">
        <v>0</v>
      </c>
      <c r="AH96" s="194">
        <v>0</v>
      </c>
      <c r="AI96" s="194">
        <v>1298.5</v>
      </c>
      <c r="AJ96" s="194">
        <v>1166.98</v>
      </c>
      <c r="AK96" s="194">
        <v>2918.02</v>
      </c>
      <c r="AL96" s="194">
        <v>513.5</v>
      </c>
      <c r="AM96" s="194">
        <v>0</v>
      </c>
    </row>
    <row r="97" spans="1:39" s="194" customFormat="1" ht="13.8" outlineLevel="1">
      <c r="A97" s="142" t="s">
        <v>149</v>
      </c>
      <c r="B97" s="171">
        <f t="shared" ca="1" si="60"/>
        <v>301.10000000000002</v>
      </c>
      <c r="C97" s="166" t="str">
        <f t="shared" si="65"/>
        <v>OPERATING EXPENSES REGISTRY LPN</v>
      </c>
      <c r="D97" s="166" t="str">
        <f t="shared" si="66"/>
        <v>REGISTRY LPN</v>
      </c>
      <c r="E97" s="166" t="str">
        <f t="shared" si="67"/>
        <v>OPERATING EXPENSES</v>
      </c>
      <c r="F97" s="166" t="str">
        <f t="shared" si="68"/>
        <v>601220</v>
      </c>
      <c r="G97" s="192"/>
      <c r="H97" s="193" t="s">
        <v>240</v>
      </c>
      <c r="I97" s="193" t="s">
        <v>241</v>
      </c>
      <c r="J97" s="194">
        <v>6204.25</v>
      </c>
      <c r="K97" s="194">
        <v>0</v>
      </c>
      <c r="L97" s="194">
        <v>0</v>
      </c>
      <c r="M97" s="194">
        <v>0</v>
      </c>
      <c r="N97" s="194">
        <v>0</v>
      </c>
      <c r="O97" s="194">
        <v>0</v>
      </c>
      <c r="P97" s="194">
        <v>0</v>
      </c>
      <c r="Q97" s="194">
        <v>0</v>
      </c>
      <c r="R97" s="194">
        <v>0</v>
      </c>
      <c r="S97" s="194">
        <v>0</v>
      </c>
      <c r="T97" s="194">
        <v>0</v>
      </c>
      <c r="U97" s="194">
        <v>0</v>
      </c>
      <c r="V97" s="194">
        <v>0</v>
      </c>
      <c r="W97" s="194">
        <v>0</v>
      </c>
      <c r="X97" s="194">
        <v>0</v>
      </c>
      <c r="Y97" s="194">
        <v>0</v>
      </c>
      <c r="Z97" s="194">
        <v>6830.64</v>
      </c>
      <c r="AA97" s="194">
        <v>16767.740000000002</v>
      </c>
      <c r="AB97" s="194">
        <v>10565.15</v>
      </c>
      <c r="AC97" s="194">
        <v>22590.81</v>
      </c>
      <c r="AD97" s="194">
        <v>11058.57</v>
      </c>
      <c r="AE97" s="194">
        <v>4903.71</v>
      </c>
      <c r="AF97" s="194">
        <v>2571.75</v>
      </c>
      <c r="AG97" s="194">
        <v>5179.7</v>
      </c>
      <c r="AH97" s="194">
        <v>5509.27</v>
      </c>
      <c r="AI97" s="194">
        <v>15030.82</v>
      </c>
      <c r="AJ97" s="194">
        <v>10743.2</v>
      </c>
      <c r="AK97" s="194">
        <v>7626.33</v>
      </c>
      <c r="AL97" s="194">
        <v>2372.0100000000002</v>
      </c>
      <c r="AM97" s="194">
        <v>3408.1800000000003</v>
      </c>
    </row>
    <row r="98" spans="1:39" s="194" customFormat="1" ht="13.8" outlineLevel="1">
      <c r="A98" s="142" t="s">
        <v>149</v>
      </c>
      <c r="B98" s="171">
        <f t="shared" ca="1" si="60"/>
        <v>301.10000000000002</v>
      </c>
      <c r="C98" s="166" t="str">
        <f t="shared" si="65"/>
        <v>OPERATING EXPENSES REGISTRY AIDES</v>
      </c>
      <c r="D98" s="166" t="str">
        <f t="shared" si="66"/>
        <v>REGISTRY AIDES</v>
      </c>
      <c r="E98" s="166" t="str">
        <f t="shared" si="67"/>
        <v>OPERATING EXPENSES</v>
      </c>
      <c r="F98" s="166" t="str">
        <f t="shared" si="68"/>
        <v>601230</v>
      </c>
      <c r="G98" s="192"/>
      <c r="H98" s="193" t="s">
        <v>242</v>
      </c>
      <c r="I98" s="193" t="s">
        <v>243</v>
      </c>
      <c r="J98" s="194">
        <v>3410.5</v>
      </c>
      <c r="K98" s="194">
        <v>0</v>
      </c>
      <c r="L98" s="194">
        <v>0</v>
      </c>
      <c r="M98" s="194">
        <v>0</v>
      </c>
      <c r="N98" s="194">
        <v>0</v>
      </c>
      <c r="O98" s="194">
        <v>0</v>
      </c>
      <c r="P98" s="194">
        <v>0</v>
      </c>
      <c r="Q98" s="194">
        <v>0</v>
      </c>
      <c r="R98" s="194">
        <v>2142.5</v>
      </c>
      <c r="S98" s="194">
        <v>0</v>
      </c>
      <c r="T98" s="194">
        <v>0</v>
      </c>
      <c r="U98" s="194">
        <v>0</v>
      </c>
      <c r="V98" s="194">
        <v>0</v>
      </c>
      <c r="W98" s="194">
        <v>0</v>
      </c>
      <c r="X98" s="194">
        <v>0</v>
      </c>
      <c r="Y98" s="194">
        <v>0</v>
      </c>
      <c r="Z98" s="194">
        <v>212.5</v>
      </c>
      <c r="AA98" s="194">
        <v>198.5</v>
      </c>
      <c r="AB98" s="194">
        <v>274.3</v>
      </c>
      <c r="AC98" s="194">
        <v>4244.8999999999996</v>
      </c>
      <c r="AD98" s="194">
        <v>4933.8500000000004</v>
      </c>
      <c r="AE98" s="194">
        <v>17187.05</v>
      </c>
      <c r="AF98" s="194">
        <v>16853.95</v>
      </c>
      <c r="AG98" s="194">
        <v>20660.25</v>
      </c>
      <c r="AH98" s="194">
        <v>37066.42</v>
      </c>
      <c r="AI98" s="194">
        <v>44912</v>
      </c>
      <c r="AJ98" s="194">
        <v>46327.38</v>
      </c>
      <c r="AK98" s="194">
        <v>44155</v>
      </c>
      <c r="AL98" s="194">
        <v>23380.5</v>
      </c>
      <c r="AM98" s="194">
        <v>27465.98</v>
      </c>
    </row>
    <row r="99" spans="1:39" ht="13.8" outlineLevel="1">
      <c r="A99" s="142" t="s">
        <v>149</v>
      </c>
      <c r="B99" s="171">
        <f t="shared" ca="1" si="60"/>
        <v>301.3</v>
      </c>
      <c r="C99" s="166" t="str">
        <f t="shared" si="65"/>
        <v>OPERATING EXPENSES BILLABLE MEDICAL SUPPLIES</v>
      </c>
      <c r="D99" s="166" t="str">
        <f t="shared" si="66"/>
        <v>BILLABLE MEDICAL SUPPLIES</v>
      </c>
      <c r="E99" s="166" t="str">
        <f t="shared" si="67"/>
        <v>OPERATING EXPENSES</v>
      </c>
      <c r="F99" s="166" t="str">
        <f t="shared" si="68"/>
        <v>601410</v>
      </c>
      <c r="H99" s="134" t="s">
        <v>244</v>
      </c>
      <c r="I99" s="134" t="s">
        <v>245</v>
      </c>
      <c r="J99" s="132">
        <v>1107.71</v>
      </c>
      <c r="K99" s="132">
        <v>1035.99</v>
      </c>
      <c r="L99" s="132">
        <v>1596.55</v>
      </c>
      <c r="M99" s="132">
        <v>877.38</v>
      </c>
      <c r="N99" s="132">
        <v>1395.8700000000001</v>
      </c>
      <c r="O99" s="132">
        <v>873.75</v>
      </c>
      <c r="P99" s="132">
        <v>751.77</v>
      </c>
      <c r="Q99" s="132">
        <v>2025.76</v>
      </c>
      <c r="R99" s="132">
        <v>1001.9300000000001</v>
      </c>
      <c r="S99" s="132">
        <v>236.95000000000002</v>
      </c>
      <c r="T99" s="132">
        <v>1268.42</v>
      </c>
      <c r="U99" s="132">
        <v>1594.39</v>
      </c>
      <c r="V99" s="132">
        <v>1361.64</v>
      </c>
      <c r="W99" s="132">
        <v>895.87</v>
      </c>
      <c r="X99" s="132">
        <v>999.88</v>
      </c>
      <c r="Y99" s="132">
        <v>515.39</v>
      </c>
      <c r="Z99" s="132">
        <v>-8.35</v>
      </c>
      <c r="AA99" s="132">
        <v>750.77</v>
      </c>
      <c r="AB99" s="132">
        <v>40.22</v>
      </c>
      <c r="AC99" s="132">
        <v>1408.34</v>
      </c>
      <c r="AD99" s="132">
        <v>1678.77</v>
      </c>
      <c r="AE99" s="132">
        <v>590.97</v>
      </c>
      <c r="AF99" s="132">
        <v>564.91</v>
      </c>
      <c r="AG99" s="132">
        <v>826.83</v>
      </c>
      <c r="AH99" s="132">
        <v>-207.85</v>
      </c>
      <c r="AI99" s="132">
        <v>1121.1600000000001</v>
      </c>
      <c r="AJ99" s="132">
        <v>1198.05</v>
      </c>
      <c r="AK99" s="132">
        <v>177.19</v>
      </c>
      <c r="AL99" s="132">
        <v>1121.52</v>
      </c>
      <c r="AM99" s="132">
        <v>1184.69</v>
      </c>
    </row>
    <row r="100" spans="1:39" ht="13.8" outlineLevel="1">
      <c r="A100" s="142" t="s">
        <v>149</v>
      </c>
      <c r="B100" s="171">
        <f t="shared" ca="1" si="60"/>
        <v>301.3</v>
      </c>
      <c r="C100" s="166" t="str">
        <f t="shared" si="65"/>
        <v>OPERATING EXPENSES NON-BILLABLE SUPPLIES</v>
      </c>
      <c r="D100" s="166" t="str">
        <f t="shared" si="66"/>
        <v>NON-BILLABLE SUPPLIES</v>
      </c>
      <c r="E100" s="166" t="str">
        <f t="shared" si="67"/>
        <v>OPERATING EXPENSES</v>
      </c>
      <c r="F100" s="166" t="str">
        <f t="shared" si="68"/>
        <v>601415</v>
      </c>
      <c r="H100" s="134" t="s">
        <v>246</v>
      </c>
      <c r="I100" s="134" t="s">
        <v>247</v>
      </c>
      <c r="J100" s="132">
        <v>2628.7200000000003</v>
      </c>
      <c r="K100" s="132">
        <v>2682.18</v>
      </c>
      <c r="L100" s="132">
        <v>3629.52</v>
      </c>
      <c r="M100" s="132">
        <v>2557.2000000000003</v>
      </c>
      <c r="N100" s="132">
        <v>2163.34</v>
      </c>
      <c r="O100" s="132">
        <v>3611.4700000000003</v>
      </c>
      <c r="P100" s="132">
        <v>3920.21</v>
      </c>
      <c r="Q100" s="132">
        <v>4151.7300000000005</v>
      </c>
      <c r="R100" s="132">
        <v>3107.57</v>
      </c>
      <c r="S100" s="132">
        <v>2376.1</v>
      </c>
      <c r="T100" s="132">
        <v>1716.88</v>
      </c>
      <c r="U100" s="132">
        <v>3018.98</v>
      </c>
      <c r="V100" s="132">
        <v>2936.2400000000002</v>
      </c>
      <c r="W100" s="132">
        <v>1382.21</v>
      </c>
      <c r="X100" s="132">
        <v>3624.63</v>
      </c>
      <c r="Y100" s="132">
        <v>2105.29</v>
      </c>
      <c r="Z100" s="132">
        <v>735.42</v>
      </c>
      <c r="AA100" s="132">
        <v>2704.7400000000002</v>
      </c>
      <c r="AB100" s="132">
        <v>1828.23</v>
      </c>
      <c r="AC100" s="132">
        <v>1315.08</v>
      </c>
      <c r="AD100" s="132">
        <v>2372.2000000000003</v>
      </c>
      <c r="AE100" s="132">
        <v>1511.94</v>
      </c>
      <c r="AF100" s="132">
        <v>2048.63</v>
      </c>
      <c r="AG100" s="132">
        <v>1101.73</v>
      </c>
      <c r="AH100" s="132">
        <v>507.37</v>
      </c>
      <c r="AI100" s="132">
        <v>2426.77</v>
      </c>
      <c r="AJ100" s="132">
        <v>1669.79</v>
      </c>
      <c r="AK100" s="132">
        <v>2397.1</v>
      </c>
      <c r="AL100" s="132">
        <v>2090.9</v>
      </c>
      <c r="AM100" s="132">
        <v>2287.7000000000003</v>
      </c>
    </row>
    <row r="101" spans="1:39" ht="13.8" outlineLevel="1">
      <c r="A101" s="142" t="s">
        <v>149</v>
      </c>
      <c r="B101" s="171">
        <f t="shared" ca="1" si="60"/>
        <v>301.3</v>
      </c>
      <c r="C101" s="166" t="str">
        <f t="shared" si="65"/>
        <v>OPERATING EXPENSES FORMULA</v>
      </c>
      <c r="D101" s="166" t="str">
        <f t="shared" si="66"/>
        <v>FORMULA</v>
      </c>
      <c r="E101" s="166" t="str">
        <f t="shared" si="67"/>
        <v>OPERATING EXPENSES</v>
      </c>
      <c r="F101" s="166" t="str">
        <f t="shared" si="68"/>
        <v>601440</v>
      </c>
      <c r="H101" s="134" t="s">
        <v>248</v>
      </c>
      <c r="I101" s="134" t="s">
        <v>249</v>
      </c>
      <c r="J101" s="132">
        <v>0</v>
      </c>
      <c r="K101" s="132">
        <v>0</v>
      </c>
      <c r="L101" s="132">
        <v>0</v>
      </c>
      <c r="M101" s="132">
        <v>16.73</v>
      </c>
      <c r="N101" s="132">
        <v>0</v>
      </c>
      <c r="O101" s="132">
        <v>0</v>
      </c>
      <c r="P101" s="132">
        <v>0</v>
      </c>
      <c r="Q101" s="132">
        <v>0</v>
      </c>
      <c r="R101" s="132">
        <v>33.46</v>
      </c>
      <c r="S101" s="132">
        <v>0</v>
      </c>
      <c r="T101" s="132">
        <v>0</v>
      </c>
      <c r="U101" s="132">
        <v>0</v>
      </c>
      <c r="V101" s="132">
        <v>0</v>
      </c>
      <c r="W101" s="132">
        <v>0</v>
      </c>
      <c r="X101" s="132">
        <v>0</v>
      </c>
      <c r="Y101" s="132">
        <v>0</v>
      </c>
      <c r="Z101" s="132">
        <v>0</v>
      </c>
      <c r="AA101" s="132">
        <v>0</v>
      </c>
      <c r="AB101" s="132">
        <v>0</v>
      </c>
      <c r="AC101" s="132">
        <v>0</v>
      </c>
      <c r="AD101" s="132">
        <v>0</v>
      </c>
      <c r="AE101" s="132">
        <v>0</v>
      </c>
      <c r="AF101" s="132">
        <v>0</v>
      </c>
      <c r="AG101" s="132">
        <v>0</v>
      </c>
      <c r="AH101" s="132">
        <v>-1.62</v>
      </c>
      <c r="AI101" s="132">
        <v>0</v>
      </c>
      <c r="AJ101" s="132">
        <v>0</v>
      </c>
      <c r="AK101" s="132">
        <v>0</v>
      </c>
      <c r="AL101" s="132">
        <v>0</v>
      </c>
      <c r="AM101" s="132">
        <v>0</v>
      </c>
    </row>
    <row r="102" spans="1:39" ht="13.8" outlineLevel="1">
      <c r="A102" s="142" t="s">
        <v>149</v>
      </c>
      <c r="B102" s="171">
        <f t="shared" ca="1" si="60"/>
        <v>301.3</v>
      </c>
      <c r="C102" s="166" t="str">
        <f t="shared" si="65"/>
        <v>OPERATING EXPENSES SUPPLEMENTS</v>
      </c>
      <c r="D102" s="166" t="str">
        <f t="shared" si="66"/>
        <v>SUPPLEMENTS</v>
      </c>
      <c r="E102" s="166" t="str">
        <f t="shared" si="67"/>
        <v>OPERATING EXPENSES</v>
      </c>
      <c r="F102" s="166" t="str">
        <f t="shared" si="68"/>
        <v>601442</v>
      </c>
      <c r="H102" s="134" t="s">
        <v>250</v>
      </c>
      <c r="I102" s="134" t="s">
        <v>251</v>
      </c>
      <c r="J102" s="132">
        <v>494.79</v>
      </c>
      <c r="K102" s="132">
        <v>609.07000000000005</v>
      </c>
      <c r="L102" s="132">
        <v>534.65</v>
      </c>
      <c r="M102" s="132">
        <v>322.47000000000003</v>
      </c>
      <c r="N102" s="132">
        <v>359.44</v>
      </c>
      <c r="O102" s="132">
        <v>480.54</v>
      </c>
      <c r="P102" s="132">
        <v>641.61</v>
      </c>
      <c r="Q102" s="132">
        <v>302.88</v>
      </c>
      <c r="R102" s="132">
        <v>386.39</v>
      </c>
      <c r="S102" s="132">
        <v>551.84</v>
      </c>
      <c r="T102" s="132">
        <v>441.85</v>
      </c>
      <c r="U102" s="132">
        <v>414.32</v>
      </c>
      <c r="V102" s="132">
        <v>384.23</v>
      </c>
      <c r="W102" s="132">
        <v>62.46</v>
      </c>
      <c r="X102" s="132">
        <v>517.23</v>
      </c>
      <c r="Y102" s="132">
        <v>83.24</v>
      </c>
      <c r="Z102" s="132">
        <v>349</v>
      </c>
      <c r="AA102" s="132">
        <v>681.12</v>
      </c>
      <c r="AB102" s="132">
        <v>152.47999999999999</v>
      </c>
      <c r="AC102" s="132">
        <v>396.97</v>
      </c>
      <c r="AD102" s="132">
        <v>438.84000000000003</v>
      </c>
      <c r="AE102" s="132">
        <v>522.28</v>
      </c>
      <c r="AF102" s="132">
        <v>185.68</v>
      </c>
      <c r="AG102" s="132">
        <v>336.74</v>
      </c>
      <c r="AH102" s="132">
        <v>199.22</v>
      </c>
      <c r="AI102" s="132">
        <v>310.78000000000003</v>
      </c>
      <c r="AJ102" s="132">
        <v>299.5</v>
      </c>
      <c r="AK102" s="132">
        <v>226.18</v>
      </c>
      <c r="AL102" s="132">
        <v>297.56</v>
      </c>
      <c r="AM102" s="132">
        <v>349.39</v>
      </c>
    </row>
    <row r="103" spans="1:39" ht="13.8" outlineLevel="1">
      <c r="A103" s="142" t="s">
        <v>149</v>
      </c>
      <c r="B103" s="171">
        <f t="shared" ca="1" si="60"/>
        <v>301.3</v>
      </c>
      <c r="C103" s="166" t="str">
        <f t="shared" si="65"/>
        <v>OPERATING EXPENSES SUPPLIES</v>
      </c>
      <c r="D103" s="166" t="str">
        <f t="shared" si="66"/>
        <v>SUPPLIES</v>
      </c>
      <c r="E103" s="166" t="str">
        <f t="shared" si="67"/>
        <v>OPERATING EXPENSES</v>
      </c>
      <c r="F103" s="166" t="str">
        <f t="shared" si="68"/>
        <v>601450</v>
      </c>
      <c r="H103" s="134" t="s">
        <v>252</v>
      </c>
      <c r="I103" s="134" t="s">
        <v>253</v>
      </c>
      <c r="J103" s="132">
        <v>4578.1099999999997</v>
      </c>
      <c r="K103" s="132">
        <v>6457.33</v>
      </c>
      <c r="L103" s="132">
        <v>4770.6099999999997</v>
      </c>
      <c r="M103" s="132">
        <v>6313.84</v>
      </c>
      <c r="N103" s="132">
        <v>5043.84</v>
      </c>
      <c r="O103" s="132">
        <v>6723.52</v>
      </c>
      <c r="P103" s="132">
        <v>5005.8599999999997</v>
      </c>
      <c r="Q103" s="132">
        <v>8127.96</v>
      </c>
      <c r="R103" s="132">
        <v>11493.69</v>
      </c>
      <c r="S103" s="132">
        <v>11535.81</v>
      </c>
      <c r="T103" s="132">
        <v>9002.23</v>
      </c>
      <c r="U103" s="132">
        <v>9222.65</v>
      </c>
      <c r="V103" s="132">
        <v>9602.6200000000008</v>
      </c>
      <c r="W103" s="132">
        <v>7351.2</v>
      </c>
      <c r="X103" s="132">
        <v>4697.92</v>
      </c>
      <c r="Y103" s="132">
        <v>4695.96</v>
      </c>
      <c r="Z103" s="132">
        <v>6182.6500000000005</v>
      </c>
      <c r="AA103" s="132">
        <v>5076.9000000000005</v>
      </c>
      <c r="AB103" s="132">
        <v>4999.9000000000005</v>
      </c>
      <c r="AC103" s="132">
        <v>4447.38</v>
      </c>
      <c r="AD103" s="132">
        <v>4631.97</v>
      </c>
      <c r="AE103" s="132">
        <v>5016.54</v>
      </c>
      <c r="AF103" s="132">
        <v>3430.71</v>
      </c>
      <c r="AG103" s="132">
        <v>4410.26</v>
      </c>
      <c r="AH103" s="132">
        <v>3900.69</v>
      </c>
      <c r="AI103" s="132">
        <v>5772.4800000000005</v>
      </c>
      <c r="AJ103" s="132">
        <v>6124.78</v>
      </c>
      <c r="AK103" s="132">
        <v>4766.1400000000003</v>
      </c>
      <c r="AL103" s="132">
        <v>5767.27</v>
      </c>
      <c r="AM103" s="132">
        <v>8128.25</v>
      </c>
    </row>
    <row r="104" spans="1:39" ht="13.8" outlineLevel="1">
      <c r="A104" s="142" t="s">
        <v>149</v>
      </c>
      <c r="B104" s="171">
        <f t="shared" ca="1" si="60"/>
        <v>301.3</v>
      </c>
      <c r="C104" s="166" t="str">
        <f t="shared" si="65"/>
        <v>OPERATING EXPENSES PRESCRIPTION DRUGS</v>
      </c>
      <c r="D104" s="166" t="str">
        <f t="shared" si="66"/>
        <v>PRESCRIPTION DRUGS</v>
      </c>
      <c r="E104" s="166" t="str">
        <f t="shared" si="67"/>
        <v>OPERATING EXPENSES</v>
      </c>
      <c r="F104" s="166" t="str">
        <f t="shared" si="68"/>
        <v>601530</v>
      </c>
      <c r="H104" s="134" t="s">
        <v>254</v>
      </c>
      <c r="I104" s="134" t="s">
        <v>255</v>
      </c>
      <c r="J104" s="132">
        <v>10476.16</v>
      </c>
      <c r="K104" s="132">
        <v>12693.79</v>
      </c>
      <c r="L104" s="132">
        <v>108.19</v>
      </c>
      <c r="M104" s="132">
        <v>5221.83</v>
      </c>
      <c r="N104" s="132">
        <v>6793.88</v>
      </c>
      <c r="O104" s="132">
        <v>3565.64</v>
      </c>
      <c r="P104" s="132">
        <v>5141.7300000000005</v>
      </c>
      <c r="Q104" s="132">
        <v>6320.53</v>
      </c>
      <c r="R104" s="132">
        <v>1620.24</v>
      </c>
      <c r="S104" s="132">
        <v>3869.36</v>
      </c>
      <c r="T104" s="132">
        <v>3603.63</v>
      </c>
      <c r="U104" s="132">
        <v>2773.61</v>
      </c>
      <c r="V104" s="132">
        <v>1686.79</v>
      </c>
      <c r="W104" s="132">
        <v>1507.66</v>
      </c>
      <c r="X104" s="132">
        <v>2290.52</v>
      </c>
      <c r="Y104" s="132">
        <v>2425.92</v>
      </c>
      <c r="Z104" s="132">
        <v>2710.3</v>
      </c>
      <c r="AA104" s="132">
        <v>991.46</v>
      </c>
      <c r="AB104" s="132">
        <v>952.16</v>
      </c>
      <c r="AC104" s="132">
        <v>2293.5700000000002</v>
      </c>
      <c r="AD104" s="132">
        <v>3024.7000000000003</v>
      </c>
      <c r="AE104" s="132">
        <v>3882.77</v>
      </c>
      <c r="AF104" s="132">
        <v>2935.19</v>
      </c>
      <c r="AG104" s="132">
        <v>6442.89</v>
      </c>
      <c r="AH104" s="132">
        <v>6714.3600000000006</v>
      </c>
      <c r="AI104" s="132">
        <v>11161.380000000001</v>
      </c>
      <c r="AJ104" s="132">
        <v>8408.9600000000009</v>
      </c>
      <c r="AK104" s="132">
        <v>4814.2700000000004</v>
      </c>
      <c r="AL104" s="132">
        <v>6798.9000000000005</v>
      </c>
      <c r="AM104" s="132">
        <v>7548.28</v>
      </c>
    </row>
    <row r="105" spans="1:39" ht="13.8" outlineLevel="1">
      <c r="A105" s="142" t="s">
        <v>149</v>
      </c>
      <c r="B105" s="171">
        <f t="shared" ca="1" si="60"/>
        <v>301.3</v>
      </c>
      <c r="C105" s="166" t="str">
        <f t="shared" si="65"/>
        <v>OPERATING EXPENSES NON-PRESCRIPTION DRUGS</v>
      </c>
      <c r="D105" s="166" t="str">
        <f t="shared" si="66"/>
        <v>NON-PRESCRIPTION DRUGS</v>
      </c>
      <c r="E105" s="166" t="str">
        <f t="shared" si="67"/>
        <v>OPERATING EXPENSES</v>
      </c>
      <c r="F105" s="166" t="str">
        <f t="shared" si="68"/>
        <v>601535</v>
      </c>
      <c r="H105" s="134" t="s">
        <v>256</v>
      </c>
      <c r="I105" s="134" t="s">
        <v>257</v>
      </c>
      <c r="J105" s="132">
        <v>968.14</v>
      </c>
      <c r="K105" s="132">
        <v>1044.79</v>
      </c>
      <c r="L105" s="132">
        <v>906.68000000000006</v>
      </c>
      <c r="M105" s="132">
        <v>1162.02</v>
      </c>
      <c r="N105" s="132">
        <v>1203.94</v>
      </c>
      <c r="O105" s="132">
        <v>1135.07</v>
      </c>
      <c r="P105" s="132">
        <v>1124.3800000000001</v>
      </c>
      <c r="Q105" s="132">
        <v>708.80000000000007</v>
      </c>
      <c r="R105" s="132">
        <v>1295.0899999999999</v>
      </c>
      <c r="S105" s="132">
        <v>997.32</v>
      </c>
      <c r="T105" s="132">
        <v>727.03</v>
      </c>
      <c r="U105" s="132">
        <v>1013.96</v>
      </c>
      <c r="V105" s="132">
        <v>942.4</v>
      </c>
      <c r="W105" s="132">
        <v>375.85</v>
      </c>
      <c r="X105" s="132">
        <v>1048.8600000000001</v>
      </c>
      <c r="Y105" s="132">
        <v>198.6</v>
      </c>
      <c r="Z105" s="132">
        <v>475.01</v>
      </c>
      <c r="AA105" s="132">
        <v>382.06</v>
      </c>
      <c r="AB105" s="132">
        <v>483.22</v>
      </c>
      <c r="AC105" s="132">
        <v>417.64</v>
      </c>
      <c r="AD105" s="132">
        <v>432.24</v>
      </c>
      <c r="AE105" s="132">
        <v>452.91</v>
      </c>
      <c r="AF105" s="132">
        <v>264.41000000000003</v>
      </c>
      <c r="AG105" s="132">
        <v>429.53000000000003</v>
      </c>
      <c r="AH105" s="132">
        <v>39.17</v>
      </c>
      <c r="AI105" s="132">
        <v>353.46</v>
      </c>
      <c r="AJ105" s="132">
        <v>530.15</v>
      </c>
      <c r="AK105" s="132">
        <v>339.64</v>
      </c>
      <c r="AL105" s="132">
        <v>237.45000000000002</v>
      </c>
      <c r="AM105" s="132">
        <v>411.8</v>
      </c>
    </row>
    <row r="106" spans="1:39" ht="13.8" outlineLevel="1">
      <c r="A106" s="142" t="s">
        <v>149</v>
      </c>
      <c r="B106" s="171">
        <f t="shared" ca="1" si="60"/>
        <v>995</v>
      </c>
      <c r="C106" s="166" t="str">
        <f t="shared" si="65"/>
        <v>OPERATING EXPENSES CONTRACT PROF. SERVICES</v>
      </c>
      <c r="D106" s="166" t="str">
        <f t="shared" si="66"/>
        <v>CONTRACT PROF. SERVICES</v>
      </c>
      <c r="E106" s="166" t="str">
        <f t="shared" si="67"/>
        <v>OPERATING EXPENSES</v>
      </c>
      <c r="F106" s="166" t="str">
        <f t="shared" si="68"/>
        <v>610040</v>
      </c>
      <c r="H106" s="134" t="s">
        <v>258</v>
      </c>
      <c r="I106" s="134" t="s">
        <v>259</v>
      </c>
      <c r="J106" s="132">
        <v>100409.79000000001</v>
      </c>
      <c r="K106" s="132">
        <v>96242.150000000009</v>
      </c>
      <c r="L106" s="132">
        <v>99450.19</v>
      </c>
      <c r="M106" s="132">
        <v>99082.510000000009</v>
      </c>
      <c r="N106" s="132">
        <v>95393.88</v>
      </c>
      <c r="O106" s="132">
        <v>93886.040000000008</v>
      </c>
      <c r="P106" s="132">
        <v>93589.84</v>
      </c>
      <c r="Q106" s="132">
        <v>87567.31</v>
      </c>
      <c r="R106" s="132">
        <v>93988.900000000009</v>
      </c>
      <c r="S106" s="132">
        <v>90848.98</v>
      </c>
      <c r="T106" s="132">
        <v>74201.31</v>
      </c>
      <c r="U106" s="132">
        <v>70666.540000000008</v>
      </c>
      <c r="V106" s="132">
        <v>48920.31</v>
      </c>
      <c r="W106" s="132">
        <v>42151.62</v>
      </c>
      <c r="X106" s="132">
        <v>52320.87</v>
      </c>
      <c r="Y106" s="132">
        <v>55420.99</v>
      </c>
      <c r="Z106" s="132">
        <v>47021.24</v>
      </c>
      <c r="AA106" s="132">
        <v>37456.03</v>
      </c>
      <c r="AB106" s="132">
        <v>49572</v>
      </c>
      <c r="AC106" s="132">
        <v>44961.93</v>
      </c>
      <c r="AD106" s="132">
        <v>42316.58</v>
      </c>
      <c r="AE106" s="132">
        <v>48720.83</v>
      </c>
      <c r="AF106" s="132">
        <v>47207.56</v>
      </c>
      <c r="AG106" s="132">
        <v>35851.35</v>
      </c>
      <c r="AH106" s="132">
        <v>59837.700000000004</v>
      </c>
      <c r="AI106" s="132">
        <v>70784.490000000005</v>
      </c>
      <c r="AJ106" s="132">
        <v>59048.99</v>
      </c>
      <c r="AK106" s="132">
        <v>50749.51</v>
      </c>
      <c r="AL106" s="132">
        <v>53688.76</v>
      </c>
      <c r="AM106" s="132">
        <v>58386.21</v>
      </c>
    </row>
    <row r="107" spans="1:39" ht="13.8" outlineLevel="1">
      <c r="A107" s="142" t="s">
        <v>149</v>
      </c>
      <c r="B107" s="171">
        <f t="shared" ca="1" si="60"/>
        <v>305.3</v>
      </c>
      <c r="C107" s="166" t="str">
        <f t="shared" si="65"/>
        <v>OPERATING EXPENSES RAW FOOD</v>
      </c>
      <c r="D107" s="166" t="str">
        <f t="shared" si="66"/>
        <v>RAW FOOD</v>
      </c>
      <c r="E107" s="166" t="str">
        <f t="shared" si="67"/>
        <v>OPERATING EXPENSES</v>
      </c>
      <c r="F107" s="166" t="str">
        <f t="shared" si="68"/>
        <v>610140</v>
      </c>
      <c r="H107" s="134" t="s">
        <v>260</v>
      </c>
      <c r="I107" s="134" t="s">
        <v>261</v>
      </c>
      <c r="J107" s="132">
        <v>12401.880000000001</v>
      </c>
      <c r="K107" s="132">
        <v>11143.36</v>
      </c>
      <c r="L107" s="132">
        <v>12177.08</v>
      </c>
      <c r="M107" s="132">
        <v>13678.59</v>
      </c>
      <c r="N107" s="132">
        <v>12575.77</v>
      </c>
      <c r="O107" s="132">
        <v>12075.15</v>
      </c>
      <c r="P107" s="132">
        <v>11866.56</v>
      </c>
      <c r="Q107" s="132">
        <v>13201.970000000001</v>
      </c>
      <c r="R107" s="132">
        <v>11638.48</v>
      </c>
      <c r="S107" s="132">
        <v>13194.69</v>
      </c>
      <c r="T107" s="132">
        <v>12304.29</v>
      </c>
      <c r="U107" s="132">
        <v>14048.29</v>
      </c>
      <c r="V107" s="132">
        <v>9733.7900000000009</v>
      </c>
      <c r="W107" s="132">
        <v>8002.56</v>
      </c>
      <c r="X107" s="132">
        <v>10329.94</v>
      </c>
      <c r="Y107" s="132">
        <v>7566.62</v>
      </c>
      <c r="Z107" s="132">
        <v>8716.5499999999993</v>
      </c>
      <c r="AA107" s="132">
        <v>10848.62</v>
      </c>
      <c r="AB107" s="132">
        <v>9809.2100000000009</v>
      </c>
      <c r="AC107" s="132">
        <v>8477.5</v>
      </c>
      <c r="AD107" s="132">
        <v>11328.25</v>
      </c>
      <c r="AE107" s="132">
        <v>7542.1900000000005</v>
      </c>
      <c r="AF107" s="132">
        <v>8712.36</v>
      </c>
      <c r="AG107" s="132">
        <v>11253.24</v>
      </c>
      <c r="AH107" s="132">
        <v>9030.7199999999993</v>
      </c>
      <c r="AI107" s="132">
        <v>9981.4699999999993</v>
      </c>
      <c r="AJ107" s="132">
        <v>11006.23</v>
      </c>
      <c r="AK107" s="132">
        <v>7771.55</v>
      </c>
      <c r="AL107" s="132">
        <v>9595.0300000000007</v>
      </c>
      <c r="AM107" s="132">
        <v>11795.81</v>
      </c>
    </row>
    <row r="108" spans="1:39" ht="13.8" outlineLevel="1">
      <c r="A108" s="142" t="s">
        <v>149</v>
      </c>
      <c r="B108" s="171">
        <f t="shared" ca="1" si="60"/>
        <v>305.3</v>
      </c>
      <c r="C108" s="166" t="str">
        <f t="shared" si="65"/>
        <v>OPERATING EXPENSES DIETARY UTENSILS</v>
      </c>
      <c r="D108" s="166" t="str">
        <f t="shared" si="66"/>
        <v>DIETARY UTENSILS</v>
      </c>
      <c r="E108" s="166" t="str">
        <f t="shared" si="67"/>
        <v>OPERATING EXPENSES</v>
      </c>
      <c r="F108" s="166" t="str">
        <f t="shared" si="68"/>
        <v>610145</v>
      </c>
      <c r="H108" s="134" t="s">
        <v>262</v>
      </c>
      <c r="I108" s="134" t="s">
        <v>263</v>
      </c>
      <c r="J108" s="132">
        <v>205.32</v>
      </c>
      <c r="K108" s="132">
        <v>176.91</v>
      </c>
      <c r="L108" s="132">
        <v>196.1</v>
      </c>
      <c r="M108" s="132">
        <v>59.65</v>
      </c>
      <c r="N108" s="132">
        <v>92.73</v>
      </c>
      <c r="O108" s="132">
        <v>32.090000000000003</v>
      </c>
      <c r="P108" s="132">
        <v>0</v>
      </c>
      <c r="Q108" s="132">
        <v>167.06</v>
      </c>
      <c r="R108" s="132">
        <v>3.71</v>
      </c>
      <c r="S108" s="132">
        <v>181.71</v>
      </c>
      <c r="T108" s="132">
        <v>143.1</v>
      </c>
      <c r="U108" s="132">
        <v>140.6</v>
      </c>
      <c r="V108" s="132">
        <v>0</v>
      </c>
      <c r="W108" s="132">
        <v>41.13</v>
      </c>
      <c r="X108" s="132">
        <v>268.17</v>
      </c>
      <c r="Y108" s="132">
        <v>72.19</v>
      </c>
      <c r="Z108" s="132">
        <v>-15.89</v>
      </c>
      <c r="AA108" s="132">
        <v>40.85</v>
      </c>
      <c r="AB108" s="132">
        <v>1028.28</v>
      </c>
      <c r="AC108" s="132">
        <v>0</v>
      </c>
      <c r="AD108" s="132">
        <v>127.57000000000001</v>
      </c>
      <c r="AE108" s="132">
        <v>34.07</v>
      </c>
      <c r="AF108" s="132">
        <v>0</v>
      </c>
      <c r="AG108" s="132">
        <v>47.26</v>
      </c>
      <c r="AH108" s="132">
        <v>160.13</v>
      </c>
      <c r="AI108" s="132">
        <v>127.79</v>
      </c>
      <c r="AJ108" s="132">
        <v>0</v>
      </c>
      <c r="AK108" s="132">
        <v>0</v>
      </c>
      <c r="AL108" s="132">
        <v>505.19</v>
      </c>
      <c r="AM108" s="132">
        <v>75.02</v>
      </c>
    </row>
    <row r="109" spans="1:39" ht="13.8" outlineLevel="1">
      <c r="A109" s="142" t="s">
        <v>149</v>
      </c>
      <c r="B109" s="171">
        <f t="shared" ca="1" si="60"/>
        <v>309.3</v>
      </c>
      <c r="C109" s="166" t="str">
        <f t="shared" si="65"/>
        <v>OPERATING EXPENSES LINEN COSTS</v>
      </c>
      <c r="D109" s="166" t="str">
        <f t="shared" si="66"/>
        <v>LINEN COSTS</v>
      </c>
      <c r="E109" s="166" t="str">
        <f t="shared" si="67"/>
        <v>OPERATING EXPENSES</v>
      </c>
      <c r="F109" s="166" t="str">
        <f t="shared" si="68"/>
        <v>610165</v>
      </c>
      <c r="H109" s="134" t="s">
        <v>264</v>
      </c>
      <c r="I109" s="134" t="s">
        <v>265</v>
      </c>
      <c r="J109" s="132">
        <v>0</v>
      </c>
      <c r="K109" s="132">
        <v>0</v>
      </c>
      <c r="L109" s="132">
        <v>21.96</v>
      </c>
      <c r="M109" s="132">
        <v>0.01</v>
      </c>
      <c r="N109" s="132">
        <v>0</v>
      </c>
      <c r="O109" s="132">
        <v>0</v>
      </c>
      <c r="P109" s="132">
        <v>413.34000000000003</v>
      </c>
      <c r="Q109" s="132">
        <v>195.79</v>
      </c>
      <c r="R109" s="132">
        <v>295.78000000000003</v>
      </c>
      <c r="S109" s="132">
        <v>755.07</v>
      </c>
      <c r="T109" s="132">
        <v>353.07</v>
      </c>
      <c r="U109" s="132">
        <v>0</v>
      </c>
      <c r="V109" s="132">
        <v>0</v>
      </c>
      <c r="W109" s="132">
        <v>0</v>
      </c>
      <c r="X109" s="132">
        <v>0</v>
      </c>
      <c r="Y109" s="132">
        <v>850.32</v>
      </c>
      <c r="Z109" s="132">
        <v>0</v>
      </c>
      <c r="AA109" s="132">
        <v>119.52</v>
      </c>
      <c r="AB109" s="132">
        <v>187.67000000000002</v>
      </c>
      <c r="AC109" s="132">
        <v>369.79</v>
      </c>
      <c r="AD109" s="132">
        <v>760.57</v>
      </c>
      <c r="AE109" s="132">
        <v>0</v>
      </c>
      <c r="AF109" s="132">
        <v>0</v>
      </c>
      <c r="AG109" s="132">
        <v>32.94</v>
      </c>
      <c r="AH109" s="132">
        <v>-3.52</v>
      </c>
      <c r="AI109" s="132">
        <v>0</v>
      </c>
      <c r="AJ109" s="132">
        <v>705.46</v>
      </c>
      <c r="AK109" s="132">
        <v>1035.49</v>
      </c>
      <c r="AL109" s="132">
        <v>705.46</v>
      </c>
      <c r="AM109" s="132">
        <v>382.37</v>
      </c>
    </row>
    <row r="110" spans="1:39" ht="13.8" outlineLevel="1">
      <c r="A110" s="142" t="s">
        <v>149</v>
      </c>
      <c r="B110" s="171">
        <f t="shared" ca="1" si="60"/>
        <v>318.3</v>
      </c>
      <c r="C110" s="166" t="str">
        <f t="shared" si="65"/>
        <v>OPERATING EXPENSES CABLE/INTERNET EXPENSE</v>
      </c>
      <c r="D110" s="166" t="str">
        <f t="shared" si="66"/>
        <v>CABLE/INTERNET EXPENSE</v>
      </c>
      <c r="E110" s="166" t="str">
        <f t="shared" si="67"/>
        <v>OPERATING EXPENSES</v>
      </c>
      <c r="F110" s="166" t="str">
        <f t="shared" si="68"/>
        <v>610290</v>
      </c>
      <c r="H110" s="134" t="s">
        <v>266</v>
      </c>
      <c r="I110" s="134" t="s">
        <v>267</v>
      </c>
      <c r="J110" s="132">
        <v>1818.49</v>
      </c>
      <c r="K110" s="132">
        <v>1818.49</v>
      </c>
      <c r="L110" s="132">
        <v>1818.49</v>
      </c>
      <c r="M110" s="132">
        <v>1827.42</v>
      </c>
      <c r="N110" s="132">
        <v>2027.91</v>
      </c>
      <c r="O110" s="132">
        <v>1921.95</v>
      </c>
      <c r="P110" s="132">
        <v>1921.95</v>
      </c>
      <c r="Q110" s="132">
        <v>1930.53</v>
      </c>
      <c r="R110" s="132">
        <v>1921.95</v>
      </c>
      <c r="S110" s="132">
        <v>1921.95</v>
      </c>
      <c r="T110" s="132">
        <v>1930.53</v>
      </c>
      <c r="U110" s="132">
        <v>1930.53</v>
      </c>
      <c r="V110" s="132">
        <v>1929.51</v>
      </c>
      <c r="W110" s="132">
        <v>1929.51</v>
      </c>
      <c r="X110" s="132">
        <v>1930.5900000000001</v>
      </c>
      <c r="Y110" s="132">
        <v>1930.5900000000001</v>
      </c>
      <c r="Z110" s="132">
        <v>2140.15</v>
      </c>
      <c r="AA110" s="132">
        <v>2025.27</v>
      </c>
      <c r="AB110" s="132">
        <v>2025.27</v>
      </c>
      <c r="AC110" s="132">
        <v>2025.27</v>
      </c>
      <c r="AD110" s="132">
        <v>2025.27</v>
      </c>
      <c r="AE110" s="132">
        <v>2025.27</v>
      </c>
      <c r="AF110" s="132">
        <v>2025.27</v>
      </c>
      <c r="AG110" s="132">
        <v>2600.5</v>
      </c>
      <c r="AH110" s="132">
        <v>896.91</v>
      </c>
      <c r="AI110" s="132">
        <v>855.97</v>
      </c>
      <c r="AJ110" s="132">
        <v>855.97</v>
      </c>
      <c r="AK110" s="132">
        <v>855.97</v>
      </c>
      <c r="AL110" s="132">
        <v>894.97</v>
      </c>
      <c r="AM110" s="132">
        <v>855.97</v>
      </c>
    </row>
    <row r="111" spans="1:39" ht="13.8" outlineLevel="1">
      <c r="A111" s="142" t="s">
        <v>149</v>
      </c>
      <c r="B111" s="171">
        <f t="shared" ca="1" si="60"/>
        <v>311.3</v>
      </c>
      <c r="C111" s="166" t="str">
        <f t="shared" si="65"/>
        <v>OPERATING EXPENSES NON-ALLOWABLE EXPENSE</v>
      </c>
      <c r="D111" s="166" t="str">
        <f t="shared" si="66"/>
        <v>NON-ALLOWABLE EXPENSE</v>
      </c>
      <c r="E111" s="166" t="str">
        <f t="shared" si="67"/>
        <v>OPERATING EXPENSES</v>
      </c>
      <c r="F111" s="166" t="str">
        <f t="shared" si="68"/>
        <v>610520</v>
      </c>
      <c r="H111" s="134" t="s">
        <v>268</v>
      </c>
      <c r="I111" s="134" t="s">
        <v>269</v>
      </c>
      <c r="J111" s="132">
        <v>155.17000000000002</v>
      </c>
      <c r="K111" s="132">
        <v>161.79</v>
      </c>
      <c r="L111" s="132">
        <v>154.99</v>
      </c>
      <c r="M111" s="132">
        <v>137.5</v>
      </c>
      <c r="N111" s="132">
        <v>0</v>
      </c>
      <c r="O111" s="132">
        <v>0</v>
      </c>
      <c r="P111" s="132">
        <v>0</v>
      </c>
      <c r="Q111" s="132">
        <v>504.11</v>
      </c>
      <c r="R111" s="132">
        <v>127.84</v>
      </c>
      <c r="S111" s="132">
        <v>113.67</v>
      </c>
      <c r="T111" s="132">
        <v>110.36</v>
      </c>
      <c r="U111" s="132">
        <v>119.49000000000001</v>
      </c>
      <c r="V111" s="132">
        <v>114.83</v>
      </c>
      <c r="W111" s="132">
        <v>90.55</v>
      </c>
      <c r="X111" s="132">
        <v>95.01</v>
      </c>
      <c r="Y111" s="132">
        <v>105.7</v>
      </c>
      <c r="Z111" s="132">
        <v>3.75</v>
      </c>
      <c r="AA111" s="132">
        <v>0</v>
      </c>
      <c r="AB111" s="132">
        <v>0</v>
      </c>
      <c r="AC111" s="132">
        <v>4415</v>
      </c>
      <c r="AD111" s="132">
        <v>0</v>
      </c>
      <c r="AE111" s="132">
        <v>0</v>
      </c>
      <c r="AF111" s="132">
        <v>0</v>
      </c>
      <c r="AG111" s="132">
        <v>-4094.11</v>
      </c>
      <c r="AH111" s="132">
        <v>0</v>
      </c>
      <c r="AI111" s="132">
        <v>0</v>
      </c>
      <c r="AJ111" s="132">
        <v>0</v>
      </c>
      <c r="AK111" s="132">
        <v>21.650000000000002</v>
      </c>
      <c r="AL111" s="132">
        <v>0</v>
      </c>
      <c r="AM111" s="132">
        <v>124.97</v>
      </c>
    </row>
    <row r="112" spans="1:39" ht="13.8" outlineLevel="1">
      <c r="A112" s="142" t="s">
        <v>149</v>
      </c>
      <c r="B112" s="171">
        <f t="shared" ca="1" si="60"/>
        <v>311.3</v>
      </c>
      <c r="C112" s="166" t="str">
        <f t="shared" si="65"/>
        <v>OPERATING EXPENSES TRANSPORTATION COSTS</v>
      </c>
      <c r="D112" s="166" t="str">
        <f t="shared" si="66"/>
        <v>TRANSPORTATION COSTS</v>
      </c>
      <c r="E112" s="166" t="str">
        <f t="shared" si="67"/>
        <v>OPERATING EXPENSES</v>
      </c>
      <c r="F112" s="166" t="str">
        <f t="shared" si="68"/>
        <v>610550</v>
      </c>
      <c r="H112" s="134" t="s">
        <v>270</v>
      </c>
      <c r="I112" s="134" t="s">
        <v>271</v>
      </c>
      <c r="J112" s="132">
        <v>0</v>
      </c>
      <c r="K112" s="132">
        <v>50</v>
      </c>
      <c r="L112" s="132">
        <v>0</v>
      </c>
      <c r="M112" s="132">
        <v>50</v>
      </c>
      <c r="N112" s="132">
        <v>0</v>
      </c>
      <c r="O112" s="132">
        <v>0</v>
      </c>
      <c r="P112" s="132">
        <v>100</v>
      </c>
      <c r="Q112" s="132">
        <v>50</v>
      </c>
      <c r="R112" s="132">
        <v>126.8</v>
      </c>
      <c r="S112" s="132">
        <v>113.07000000000001</v>
      </c>
      <c r="T112" s="132">
        <v>0</v>
      </c>
      <c r="U112" s="132">
        <v>0</v>
      </c>
      <c r="V112" s="132">
        <v>0</v>
      </c>
      <c r="W112" s="132">
        <v>0</v>
      </c>
      <c r="X112" s="132">
        <v>0</v>
      </c>
      <c r="Y112" s="132">
        <v>0</v>
      </c>
      <c r="Z112" s="132">
        <v>0</v>
      </c>
      <c r="AA112" s="132">
        <v>0</v>
      </c>
      <c r="AB112" s="132">
        <v>54.54</v>
      </c>
      <c r="AC112" s="132">
        <v>821.44</v>
      </c>
      <c r="AD112" s="132">
        <v>882</v>
      </c>
      <c r="AE112" s="132">
        <v>45</v>
      </c>
      <c r="AF112" s="132">
        <v>-882</v>
      </c>
      <c r="AG112" s="132">
        <v>882</v>
      </c>
      <c r="AH112" s="132">
        <v>0</v>
      </c>
      <c r="AI112" s="132">
        <v>0</v>
      </c>
      <c r="AJ112" s="132">
        <v>0</v>
      </c>
      <c r="AK112" s="132">
        <v>0</v>
      </c>
      <c r="AL112" s="132">
        <v>100</v>
      </c>
      <c r="AM112" s="132">
        <v>0</v>
      </c>
    </row>
    <row r="113" spans="1:39" ht="13.8" outlineLevel="1">
      <c r="A113" s="142" t="s">
        <v>149</v>
      </c>
      <c r="B113" s="171">
        <f t="shared" ca="1" si="60"/>
        <v>311.3</v>
      </c>
      <c r="C113" s="166" t="str">
        <f t="shared" si="65"/>
        <v>OPERATING EXPENSES TRAVEL- LODGING</v>
      </c>
      <c r="D113" s="166" t="str">
        <f t="shared" si="66"/>
        <v>TRAVEL- LODGING</v>
      </c>
      <c r="E113" s="166" t="str">
        <f t="shared" si="67"/>
        <v>OPERATING EXPENSES</v>
      </c>
      <c r="F113" s="166" t="str">
        <f t="shared" si="68"/>
        <v>630105</v>
      </c>
      <c r="H113" s="134" t="s">
        <v>272</v>
      </c>
      <c r="I113" s="134" t="s">
        <v>273</v>
      </c>
      <c r="J113" s="132">
        <v>0</v>
      </c>
      <c r="K113" s="132">
        <v>906.2</v>
      </c>
      <c r="L113" s="132">
        <v>376.05</v>
      </c>
      <c r="M113" s="132">
        <v>888.95</v>
      </c>
      <c r="N113" s="132">
        <v>0</v>
      </c>
      <c r="O113" s="132">
        <v>0</v>
      </c>
      <c r="P113" s="132">
        <v>131.1</v>
      </c>
      <c r="Q113" s="132">
        <v>710.37</v>
      </c>
      <c r="R113" s="132">
        <v>4473.5</v>
      </c>
      <c r="S113" s="132">
        <v>2467.9</v>
      </c>
      <c r="T113" s="132">
        <v>2360.23</v>
      </c>
      <c r="U113" s="132">
        <v>1566.6000000000001</v>
      </c>
      <c r="V113" s="132">
        <v>1504.2</v>
      </c>
      <c r="W113" s="132">
        <v>1336.3</v>
      </c>
      <c r="X113" s="132">
        <v>802.7</v>
      </c>
      <c r="Y113" s="132">
        <v>2348.63</v>
      </c>
      <c r="Z113" s="132">
        <v>1140.8</v>
      </c>
      <c r="AA113" s="132">
        <v>798.1</v>
      </c>
      <c r="AB113" s="132">
        <v>0</v>
      </c>
      <c r="AC113" s="132">
        <v>389.85</v>
      </c>
      <c r="AD113" s="132">
        <v>626.75</v>
      </c>
      <c r="AE113" s="132">
        <v>2267.8000000000002</v>
      </c>
      <c r="AF113" s="132">
        <v>1128.1500000000001</v>
      </c>
      <c r="AG113" s="132">
        <v>1377.69</v>
      </c>
      <c r="AH113" s="132">
        <v>0</v>
      </c>
      <c r="AI113" s="132">
        <v>439.3</v>
      </c>
      <c r="AJ113" s="132">
        <v>1128.1500000000001</v>
      </c>
      <c r="AK113" s="132">
        <v>919.48</v>
      </c>
      <c r="AL113" s="132">
        <v>342.69</v>
      </c>
      <c r="AM113" s="132">
        <v>1048.8</v>
      </c>
    </row>
    <row r="114" spans="1:39" ht="13.8" outlineLevel="1">
      <c r="A114" s="142" t="s">
        <v>149</v>
      </c>
      <c r="B114" s="171">
        <f t="shared" ref="B114:B177" ca="1" si="69">IF(LEN(A114)=0,"",IFERROR(VLOOKUP(C114,INDIRECT(A114&amp;"_LOOKUP"),2,FALSE),"-100"))</f>
        <v>311.3</v>
      </c>
      <c r="C114" s="166" t="str">
        <f t="shared" si="65"/>
        <v>OPERATING EXPENSES AIRLINE TRAVEL</v>
      </c>
      <c r="D114" s="166" t="str">
        <f t="shared" si="66"/>
        <v>AIRLINE TRAVEL</v>
      </c>
      <c r="E114" s="166" t="str">
        <f t="shared" si="67"/>
        <v>OPERATING EXPENSES</v>
      </c>
      <c r="F114" s="166" t="str">
        <f t="shared" si="68"/>
        <v>630110</v>
      </c>
      <c r="H114" s="134" t="s">
        <v>274</v>
      </c>
      <c r="I114" s="134" t="s">
        <v>275</v>
      </c>
      <c r="J114" s="132">
        <v>0</v>
      </c>
      <c r="K114" s="132">
        <v>100</v>
      </c>
      <c r="L114" s="132">
        <v>1161</v>
      </c>
      <c r="M114" s="132">
        <v>100</v>
      </c>
      <c r="N114" s="132">
        <v>0</v>
      </c>
      <c r="O114" s="132">
        <v>0</v>
      </c>
      <c r="P114" s="132">
        <v>0</v>
      </c>
      <c r="Q114" s="132">
        <v>0</v>
      </c>
      <c r="R114" s="132">
        <v>25</v>
      </c>
      <c r="S114" s="132">
        <v>0</v>
      </c>
      <c r="T114" s="132">
        <v>0</v>
      </c>
      <c r="U114" s="132">
        <v>0</v>
      </c>
      <c r="V114" s="132">
        <v>0</v>
      </c>
      <c r="W114" s="132">
        <v>0</v>
      </c>
      <c r="X114" s="132">
        <v>0</v>
      </c>
      <c r="Y114" s="132">
        <v>0</v>
      </c>
      <c r="Z114" s="132">
        <v>25</v>
      </c>
      <c r="AA114" s="132">
        <v>0</v>
      </c>
      <c r="AB114" s="132">
        <v>0</v>
      </c>
      <c r="AC114" s="132">
        <v>0</v>
      </c>
      <c r="AD114" s="132">
        <v>0</v>
      </c>
      <c r="AE114" s="132">
        <v>0</v>
      </c>
      <c r="AF114" s="132">
        <v>0</v>
      </c>
      <c r="AG114" s="132">
        <v>0</v>
      </c>
      <c r="AH114" s="132">
        <v>0</v>
      </c>
      <c r="AI114" s="132">
        <v>0</v>
      </c>
      <c r="AJ114" s="132">
        <v>0</v>
      </c>
      <c r="AK114" s="132">
        <v>0</v>
      </c>
      <c r="AL114" s="132">
        <v>0</v>
      </c>
      <c r="AM114" s="132">
        <v>0</v>
      </c>
    </row>
    <row r="115" spans="1:39" ht="13.8" outlineLevel="1">
      <c r="A115" s="142" t="s">
        <v>149</v>
      </c>
      <c r="B115" s="171">
        <f t="shared" ca="1" si="69"/>
        <v>318.3</v>
      </c>
      <c r="C115" s="166" t="str">
        <f t="shared" si="65"/>
        <v>OPERATING EXPENSES AUTO- REPAIRS AND MAINTENANCE</v>
      </c>
      <c r="D115" s="166" t="str">
        <f t="shared" si="66"/>
        <v>AUTO- REPAIRS AND MAINTENANCE</v>
      </c>
      <c r="E115" s="166" t="str">
        <f t="shared" si="67"/>
        <v>OPERATING EXPENSES</v>
      </c>
      <c r="F115" s="166" t="str">
        <f t="shared" si="68"/>
        <v>630122</v>
      </c>
      <c r="H115" s="134" t="s">
        <v>276</v>
      </c>
      <c r="I115" s="134" t="s">
        <v>277</v>
      </c>
      <c r="J115" s="132">
        <v>572.1</v>
      </c>
      <c r="K115" s="132">
        <v>418.83</v>
      </c>
      <c r="L115" s="132">
        <v>539.08000000000004</v>
      </c>
      <c r="M115" s="132">
        <v>543.39</v>
      </c>
      <c r="N115" s="132">
        <v>617.55000000000007</v>
      </c>
      <c r="O115" s="132">
        <v>7.0600000000000005</v>
      </c>
      <c r="P115" s="132">
        <v>214.05</v>
      </c>
      <c r="Q115" s="132">
        <v>565.08000000000004</v>
      </c>
      <c r="R115" s="132">
        <v>331.08</v>
      </c>
      <c r="S115" s="132">
        <v>2742.64</v>
      </c>
      <c r="T115" s="132">
        <v>563.08000000000004</v>
      </c>
      <c r="U115" s="132">
        <v>348.25</v>
      </c>
      <c r="V115" s="132">
        <v>1563.42</v>
      </c>
      <c r="W115" s="132">
        <v>226.14000000000001</v>
      </c>
      <c r="X115" s="132">
        <v>146.14000000000001</v>
      </c>
      <c r="Y115" s="132">
        <v>208.15</v>
      </c>
      <c r="Z115" s="132">
        <v>269.14</v>
      </c>
      <c r="AA115" s="132">
        <v>178.25</v>
      </c>
      <c r="AB115" s="132">
        <v>223.15</v>
      </c>
      <c r="AC115" s="132">
        <v>974.01</v>
      </c>
      <c r="AD115" s="132">
        <v>265.14</v>
      </c>
      <c r="AE115" s="132">
        <v>158.14000000000001</v>
      </c>
      <c r="AF115" s="132">
        <v>97.14</v>
      </c>
      <c r="AG115" s="132">
        <v>605.31000000000006</v>
      </c>
      <c r="AH115" s="132">
        <v>395.5</v>
      </c>
      <c r="AI115" s="132">
        <v>84.25</v>
      </c>
      <c r="AJ115" s="132">
        <v>309.59000000000003</v>
      </c>
      <c r="AK115" s="132">
        <v>143.75</v>
      </c>
      <c r="AL115" s="132">
        <v>105.14</v>
      </c>
      <c r="AM115" s="132">
        <v>177.14000000000001</v>
      </c>
    </row>
    <row r="116" spans="1:39" ht="13.8" outlineLevel="1">
      <c r="A116" s="142" t="s">
        <v>149</v>
      </c>
      <c r="B116" s="171">
        <f t="shared" ca="1" si="69"/>
        <v>311.3</v>
      </c>
      <c r="C116" s="166" t="str">
        <f t="shared" si="65"/>
        <v>OPERATING EXPENSES CAR RENTAL</v>
      </c>
      <c r="D116" s="166" t="str">
        <f t="shared" si="66"/>
        <v>CAR RENTAL</v>
      </c>
      <c r="E116" s="166" t="str">
        <f t="shared" si="67"/>
        <v>OPERATING EXPENSES</v>
      </c>
      <c r="F116" s="166" t="str">
        <f t="shared" si="68"/>
        <v>630124</v>
      </c>
      <c r="H116" s="134" t="s">
        <v>278</v>
      </c>
      <c r="I116" s="134" t="s">
        <v>279</v>
      </c>
      <c r="J116" s="132">
        <v>0</v>
      </c>
      <c r="K116" s="132">
        <v>512.28</v>
      </c>
      <c r="L116" s="132">
        <v>233.23000000000002</v>
      </c>
      <c r="M116" s="132">
        <v>288.56</v>
      </c>
      <c r="N116" s="132">
        <v>0</v>
      </c>
      <c r="O116" s="132">
        <v>0</v>
      </c>
      <c r="P116" s="132">
        <v>0</v>
      </c>
      <c r="Q116" s="132">
        <v>268.52</v>
      </c>
      <c r="R116" s="132">
        <v>1362.55</v>
      </c>
      <c r="S116" s="132">
        <v>681.18000000000006</v>
      </c>
      <c r="T116" s="132">
        <v>0</v>
      </c>
      <c r="U116" s="132">
        <v>286.79000000000002</v>
      </c>
      <c r="V116" s="132">
        <v>0</v>
      </c>
      <c r="W116" s="132">
        <v>21.88</v>
      </c>
      <c r="X116" s="132">
        <v>285.28000000000003</v>
      </c>
      <c r="Y116" s="132">
        <v>345.24</v>
      </c>
      <c r="Z116" s="132">
        <v>343.2</v>
      </c>
      <c r="AA116" s="132">
        <v>0</v>
      </c>
      <c r="AB116" s="132">
        <v>0</v>
      </c>
      <c r="AC116" s="132">
        <v>0</v>
      </c>
      <c r="AD116" s="132">
        <v>22.88</v>
      </c>
      <c r="AE116" s="132">
        <v>0</v>
      </c>
      <c r="AF116" s="132">
        <v>0</v>
      </c>
      <c r="AG116" s="132">
        <v>0</v>
      </c>
      <c r="AH116" s="132">
        <v>0</v>
      </c>
      <c r="AI116" s="132">
        <v>0</v>
      </c>
      <c r="AJ116" s="132">
        <v>0</v>
      </c>
      <c r="AK116" s="132">
        <v>0</v>
      </c>
      <c r="AL116" s="132">
        <v>0</v>
      </c>
      <c r="AM116" s="132">
        <v>0</v>
      </c>
    </row>
    <row r="117" spans="1:39" ht="13.8" outlineLevel="1">
      <c r="A117" s="142" t="s">
        <v>149</v>
      </c>
      <c r="B117" s="171">
        <f t="shared" ca="1" si="69"/>
        <v>311.3</v>
      </c>
      <c r="C117" s="166" t="str">
        <f t="shared" si="65"/>
        <v>OPERATING EXPENSES MILEAGE</v>
      </c>
      <c r="D117" s="166" t="str">
        <f t="shared" si="66"/>
        <v>MILEAGE</v>
      </c>
      <c r="E117" s="166" t="str">
        <f t="shared" si="67"/>
        <v>OPERATING EXPENSES</v>
      </c>
      <c r="F117" s="166" t="str">
        <f t="shared" si="68"/>
        <v>630125</v>
      </c>
      <c r="H117" s="134" t="s">
        <v>280</v>
      </c>
      <c r="I117" s="134" t="s">
        <v>281</v>
      </c>
      <c r="J117" s="132">
        <v>117.60000000000001</v>
      </c>
      <c r="K117" s="132">
        <v>889.2</v>
      </c>
      <c r="L117" s="132">
        <v>376</v>
      </c>
      <c r="M117" s="132">
        <v>442.8</v>
      </c>
      <c r="N117" s="132">
        <v>48.4</v>
      </c>
      <c r="O117" s="132">
        <v>453</v>
      </c>
      <c r="P117" s="132">
        <v>326.40000000000003</v>
      </c>
      <c r="Q117" s="132">
        <v>494</v>
      </c>
      <c r="R117" s="132">
        <v>836.72</v>
      </c>
      <c r="S117" s="132">
        <v>1451.6000000000001</v>
      </c>
      <c r="T117" s="132">
        <v>538.4</v>
      </c>
      <c r="U117" s="132">
        <v>990</v>
      </c>
      <c r="V117" s="132">
        <v>659.2</v>
      </c>
      <c r="W117" s="132">
        <v>797.6</v>
      </c>
      <c r="X117" s="132">
        <v>415.2</v>
      </c>
      <c r="Y117" s="132">
        <v>1412.8</v>
      </c>
      <c r="Z117" s="132">
        <v>739.6</v>
      </c>
      <c r="AA117" s="132">
        <v>527.6</v>
      </c>
      <c r="AB117" s="132">
        <v>330</v>
      </c>
      <c r="AC117" s="132">
        <v>612.80000000000007</v>
      </c>
      <c r="AD117" s="132">
        <v>421.2</v>
      </c>
      <c r="AE117" s="132">
        <v>1354.8</v>
      </c>
      <c r="AF117" s="132">
        <v>394.8</v>
      </c>
      <c r="AG117" s="132">
        <v>1709.2</v>
      </c>
      <c r="AH117" s="132">
        <v>304.8</v>
      </c>
      <c r="AI117" s="132">
        <v>458.8</v>
      </c>
      <c r="AJ117" s="132">
        <v>763.28</v>
      </c>
      <c r="AK117" s="132">
        <v>996.52</v>
      </c>
      <c r="AL117" s="132">
        <v>685.36</v>
      </c>
      <c r="AM117" s="132">
        <v>862.84</v>
      </c>
    </row>
    <row r="118" spans="1:39" ht="13.8" outlineLevel="1">
      <c r="A118" s="142" t="s">
        <v>149</v>
      </c>
      <c r="B118" s="171">
        <f t="shared" ca="1" si="69"/>
        <v>311.3</v>
      </c>
      <c r="C118" s="166" t="str">
        <f t="shared" si="65"/>
        <v>OPERATING EXPENSES MEALS/ENTERTAINMENT</v>
      </c>
      <c r="D118" s="166" t="str">
        <f t="shared" si="66"/>
        <v>MEALS/ENTERTAINMENT</v>
      </c>
      <c r="E118" s="166" t="str">
        <f t="shared" si="67"/>
        <v>OPERATING EXPENSES</v>
      </c>
      <c r="F118" s="166" t="str">
        <f t="shared" si="68"/>
        <v>630130</v>
      </c>
      <c r="H118" s="134" t="s">
        <v>282</v>
      </c>
      <c r="I118" s="134" t="s">
        <v>283</v>
      </c>
      <c r="J118" s="132">
        <v>0</v>
      </c>
      <c r="K118" s="132">
        <v>0</v>
      </c>
      <c r="L118" s="132">
        <v>41.42</v>
      </c>
      <c r="M118" s="132">
        <v>0</v>
      </c>
      <c r="N118" s="132">
        <v>0</v>
      </c>
      <c r="O118" s="132">
        <v>0</v>
      </c>
      <c r="P118" s="132">
        <v>104.59</v>
      </c>
      <c r="Q118" s="132">
        <v>0</v>
      </c>
      <c r="R118" s="132">
        <v>0</v>
      </c>
      <c r="S118" s="132">
        <v>288.89</v>
      </c>
      <c r="T118" s="132">
        <v>0</v>
      </c>
      <c r="U118" s="132">
        <v>0</v>
      </c>
      <c r="V118" s="132">
        <v>777.55000000000007</v>
      </c>
      <c r="W118" s="132">
        <v>0</v>
      </c>
      <c r="X118" s="132">
        <v>0</v>
      </c>
      <c r="Y118" s="132">
        <v>0</v>
      </c>
      <c r="Z118" s="132">
        <v>0</v>
      </c>
      <c r="AA118" s="132">
        <v>179.52</v>
      </c>
      <c r="AB118" s="132">
        <v>0</v>
      </c>
      <c r="AC118" s="132">
        <v>0</v>
      </c>
      <c r="AD118" s="132">
        <v>0</v>
      </c>
      <c r="AE118" s="132">
        <v>106.51</v>
      </c>
      <c r="AF118" s="132">
        <v>0</v>
      </c>
      <c r="AG118" s="132">
        <v>229.88</v>
      </c>
      <c r="AH118" s="132">
        <v>0</v>
      </c>
      <c r="AI118" s="132">
        <v>0</v>
      </c>
      <c r="AJ118" s="132">
        <v>0</v>
      </c>
      <c r="AK118" s="132">
        <v>0</v>
      </c>
      <c r="AL118" s="132">
        <v>0</v>
      </c>
      <c r="AM118" s="132">
        <v>9.9</v>
      </c>
    </row>
    <row r="119" spans="1:39" ht="13.8" outlineLevel="1">
      <c r="A119" s="142" t="s">
        <v>149</v>
      </c>
      <c r="B119" s="171">
        <f t="shared" ca="1" si="69"/>
        <v>311.3</v>
      </c>
      <c r="C119" s="166" t="str">
        <f t="shared" si="65"/>
        <v>OPERATING EXPENSES MEETINGS/CONFERENCES</v>
      </c>
      <c r="D119" s="166" t="str">
        <f t="shared" si="66"/>
        <v>MEETINGS/CONFERENCES</v>
      </c>
      <c r="E119" s="166" t="str">
        <f t="shared" si="67"/>
        <v>OPERATING EXPENSES</v>
      </c>
      <c r="F119" s="166" t="str">
        <f t="shared" si="68"/>
        <v>630140</v>
      </c>
      <c r="H119" s="134" t="s">
        <v>284</v>
      </c>
      <c r="I119" s="134" t="s">
        <v>285</v>
      </c>
      <c r="J119" s="132">
        <v>0</v>
      </c>
      <c r="K119" s="132">
        <v>48</v>
      </c>
      <c r="L119" s="132">
        <v>367</v>
      </c>
      <c r="M119" s="132">
        <v>0</v>
      </c>
      <c r="N119" s="132">
        <v>-167</v>
      </c>
      <c r="O119" s="132">
        <v>-100</v>
      </c>
      <c r="P119" s="132">
        <v>195.49</v>
      </c>
      <c r="Q119" s="132">
        <v>0</v>
      </c>
      <c r="R119" s="132">
        <v>25</v>
      </c>
      <c r="S119" s="132">
        <v>-25</v>
      </c>
      <c r="T119" s="132">
        <v>0</v>
      </c>
      <c r="U119" s="132">
        <v>67</v>
      </c>
      <c r="V119" s="132">
        <v>0</v>
      </c>
      <c r="W119" s="132">
        <v>0</v>
      </c>
      <c r="X119" s="132">
        <v>0</v>
      </c>
      <c r="Y119" s="132">
        <v>0</v>
      </c>
      <c r="Z119" s="132">
        <v>0</v>
      </c>
      <c r="AA119" s="132">
        <v>0</v>
      </c>
      <c r="AB119" s="132">
        <v>0</v>
      </c>
      <c r="AC119" s="132">
        <v>0</v>
      </c>
      <c r="AD119" s="132">
        <v>0</v>
      </c>
      <c r="AE119" s="132">
        <v>0</v>
      </c>
      <c r="AF119" s="132">
        <v>0</v>
      </c>
      <c r="AG119" s="132">
        <v>0</v>
      </c>
      <c r="AH119" s="132">
        <v>0</v>
      </c>
      <c r="AI119" s="132">
        <v>0</v>
      </c>
      <c r="AJ119" s="132">
        <v>350</v>
      </c>
      <c r="AK119" s="132">
        <v>450</v>
      </c>
      <c r="AL119" s="132">
        <v>0</v>
      </c>
      <c r="AM119" s="132">
        <v>0</v>
      </c>
    </row>
    <row r="120" spans="1:39" ht="13.8" outlineLevel="1">
      <c r="A120" s="142" t="s">
        <v>149</v>
      </c>
      <c r="B120" s="171">
        <f t="shared" ca="1" si="69"/>
        <v>311.3</v>
      </c>
      <c r="C120" s="166" t="str">
        <f t="shared" si="65"/>
        <v>OPERATING EXPENSES TRAINING/EDUCATION</v>
      </c>
      <c r="D120" s="166" t="str">
        <f t="shared" si="66"/>
        <v>TRAINING/EDUCATION</v>
      </c>
      <c r="E120" s="166" t="str">
        <f t="shared" si="67"/>
        <v>OPERATING EXPENSES</v>
      </c>
      <c r="F120" s="166" t="str">
        <f t="shared" si="68"/>
        <v>630150</v>
      </c>
      <c r="H120" s="134" t="s">
        <v>286</v>
      </c>
      <c r="I120" s="134" t="s">
        <v>287</v>
      </c>
      <c r="J120" s="132">
        <v>0</v>
      </c>
      <c r="K120" s="132">
        <v>154.38</v>
      </c>
      <c r="L120" s="132">
        <v>0</v>
      </c>
      <c r="M120" s="132">
        <v>0</v>
      </c>
      <c r="N120" s="132">
        <v>27.8</v>
      </c>
      <c r="O120" s="132">
        <v>249.28</v>
      </c>
      <c r="P120" s="132">
        <v>80.17</v>
      </c>
      <c r="Q120" s="132">
        <v>115.01</v>
      </c>
      <c r="R120" s="132">
        <v>40.550000000000004</v>
      </c>
      <c r="S120" s="132">
        <v>0</v>
      </c>
      <c r="T120" s="132">
        <v>41.38</v>
      </c>
      <c r="U120" s="132">
        <v>20</v>
      </c>
      <c r="V120" s="132">
        <v>90.210000000000008</v>
      </c>
      <c r="W120" s="132">
        <v>81</v>
      </c>
      <c r="X120" s="132">
        <v>111.51</v>
      </c>
      <c r="Y120" s="132">
        <v>163.63</v>
      </c>
      <c r="Z120" s="132">
        <v>0</v>
      </c>
      <c r="AA120" s="132">
        <v>181.79</v>
      </c>
      <c r="AB120" s="132">
        <v>88.91</v>
      </c>
      <c r="AC120" s="132">
        <v>162</v>
      </c>
      <c r="AD120" s="132">
        <v>166.05</v>
      </c>
      <c r="AE120" s="132">
        <v>30.14</v>
      </c>
      <c r="AF120" s="132">
        <v>0</v>
      </c>
      <c r="AG120" s="132">
        <v>25</v>
      </c>
      <c r="AH120" s="132">
        <v>120.68</v>
      </c>
      <c r="AI120" s="132">
        <v>34.17</v>
      </c>
      <c r="AJ120" s="132">
        <v>350</v>
      </c>
      <c r="AK120" s="132">
        <v>138.38</v>
      </c>
      <c r="AL120" s="132">
        <v>0</v>
      </c>
      <c r="AM120" s="132">
        <v>0</v>
      </c>
    </row>
    <row r="121" spans="1:39" ht="13.8" outlineLevel="1">
      <c r="A121" s="142" t="s">
        <v>149</v>
      </c>
      <c r="B121" s="171">
        <f t="shared" ca="1" si="69"/>
        <v>311.3</v>
      </c>
      <c r="C121" s="166" t="str">
        <f t="shared" si="65"/>
        <v>OPERATING EXPENSES TRAVEL MEALS</v>
      </c>
      <c r="D121" s="166" t="str">
        <f t="shared" si="66"/>
        <v>TRAVEL MEALS</v>
      </c>
      <c r="E121" s="166" t="str">
        <f t="shared" si="67"/>
        <v>OPERATING EXPENSES</v>
      </c>
      <c r="F121" s="166" t="str">
        <f t="shared" si="68"/>
        <v>630160</v>
      </c>
      <c r="H121" s="134" t="s">
        <v>288</v>
      </c>
      <c r="I121" s="134" t="s">
        <v>289</v>
      </c>
      <c r="J121" s="132">
        <v>0</v>
      </c>
      <c r="K121" s="132">
        <v>153.5</v>
      </c>
      <c r="L121" s="132">
        <v>78.08</v>
      </c>
      <c r="M121" s="132">
        <v>122.39</v>
      </c>
      <c r="N121" s="132">
        <v>0</v>
      </c>
      <c r="O121" s="132">
        <v>0</v>
      </c>
      <c r="P121" s="132">
        <v>6.3500000000000005</v>
      </c>
      <c r="Q121" s="132">
        <v>163.94</v>
      </c>
      <c r="R121" s="132">
        <v>586.64</v>
      </c>
      <c r="S121" s="132">
        <v>379.79</v>
      </c>
      <c r="T121" s="132">
        <v>273.33</v>
      </c>
      <c r="U121" s="132">
        <v>392.91</v>
      </c>
      <c r="V121" s="132">
        <v>503</v>
      </c>
      <c r="W121" s="132">
        <v>180.3</v>
      </c>
      <c r="X121" s="132">
        <v>175.49</v>
      </c>
      <c r="Y121" s="132">
        <v>450.87</v>
      </c>
      <c r="Z121" s="132">
        <v>385.36</v>
      </c>
      <c r="AA121" s="132">
        <v>186.03</v>
      </c>
      <c r="AB121" s="132">
        <v>14.34</v>
      </c>
      <c r="AC121" s="132">
        <v>134.18</v>
      </c>
      <c r="AD121" s="132">
        <v>122.72</v>
      </c>
      <c r="AE121" s="132">
        <v>269.06</v>
      </c>
      <c r="AF121" s="132">
        <v>0</v>
      </c>
      <c r="AG121" s="132">
        <v>34.340000000000003</v>
      </c>
      <c r="AH121" s="132">
        <v>0</v>
      </c>
      <c r="AI121" s="132">
        <v>14.47</v>
      </c>
      <c r="AJ121" s="132">
        <v>101.10000000000001</v>
      </c>
      <c r="AK121" s="132">
        <v>138.83000000000001</v>
      </c>
      <c r="AL121" s="132">
        <v>77.75</v>
      </c>
      <c r="AM121" s="132">
        <v>171.63</v>
      </c>
    </row>
    <row r="122" spans="1:39" ht="13.8" outlineLevel="1">
      <c r="A122" s="142" t="s">
        <v>149</v>
      </c>
      <c r="B122" s="171">
        <f t="shared" ca="1" si="69"/>
        <v>311.3</v>
      </c>
      <c r="C122" s="166" t="str">
        <f t="shared" si="65"/>
        <v>OPERATING EXPENSES TIPS</v>
      </c>
      <c r="D122" s="166" t="str">
        <f t="shared" si="66"/>
        <v>TIPS</v>
      </c>
      <c r="E122" s="166" t="str">
        <f t="shared" si="67"/>
        <v>OPERATING EXPENSES</v>
      </c>
      <c r="F122" s="166" t="str">
        <f t="shared" si="68"/>
        <v>630165</v>
      </c>
      <c r="H122" s="134" t="s">
        <v>290</v>
      </c>
      <c r="I122" s="134" t="s">
        <v>291</v>
      </c>
      <c r="J122" s="132">
        <v>0</v>
      </c>
      <c r="K122" s="132">
        <v>36.5</v>
      </c>
      <c r="L122" s="132">
        <v>23</v>
      </c>
      <c r="M122" s="132">
        <v>20</v>
      </c>
      <c r="N122" s="132">
        <v>0</v>
      </c>
      <c r="O122" s="132">
        <v>0</v>
      </c>
      <c r="P122" s="132">
        <v>0</v>
      </c>
      <c r="Q122" s="132">
        <v>14</v>
      </c>
      <c r="R122" s="132">
        <v>68</v>
      </c>
      <c r="S122" s="132">
        <v>91.01</v>
      </c>
      <c r="T122" s="132">
        <v>10</v>
      </c>
      <c r="U122" s="132">
        <v>16.91</v>
      </c>
      <c r="V122" s="132">
        <v>110.39</v>
      </c>
      <c r="W122" s="132">
        <v>19.600000000000001</v>
      </c>
      <c r="X122" s="132">
        <v>9</v>
      </c>
      <c r="Y122" s="132">
        <v>39</v>
      </c>
      <c r="Z122" s="132">
        <v>31.14</v>
      </c>
      <c r="AA122" s="132">
        <v>12</v>
      </c>
      <c r="AB122" s="132">
        <v>0</v>
      </c>
      <c r="AC122" s="132">
        <v>8.7799999999999994</v>
      </c>
      <c r="AD122" s="132">
        <v>15</v>
      </c>
      <c r="AE122" s="132">
        <v>21.38</v>
      </c>
      <c r="AF122" s="132">
        <v>0</v>
      </c>
      <c r="AG122" s="132">
        <v>3</v>
      </c>
      <c r="AH122" s="132">
        <v>0</v>
      </c>
      <c r="AI122" s="132">
        <v>0</v>
      </c>
      <c r="AJ122" s="132">
        <v>0</v>
      </c>
      <c r="AK122" s="132">
        <v>3</v>
      </c>
      <c r="AL122" s="132">
        <v>0</v>
      </c>
      <c r="AM122" s="132">
        <v>15</v>
      </c>
    </row>
    <row r="123" spans="1:39" ht="13.8" outlineLevel="1">
      <c r="A123" s="142" t="s">
        <v>149</v>
      </c>
      <c r="B123" s="171">
        <f t="shared" ca="1" si="69"/>
        <v>310.3</v>
      </c>
      <c r="C123" s="166" t="str">
        <f t="shared" si="65"/>
        <v>OPERATING EXPENSES ADVERTISING AND P.R.</v>
      </c>
      <c r="D123" s="166" t="str">
        <f t="shared" si="66"/>
        <v>ADVERTISING AND P.R.</v>
      </c>
      <c r="E123" s="166" t="str">
        <f t="shared" si="67"/>
        <v>OPERATING EXPENSES</v>
      </c>
      <c r="F123" s="166" t="str">
        <f t="shared" si="68"/>
        <v>630220</v>
      </c>
      <c r="H123" s="134" t="s">
        <v>292</v>
      </c>
      <c r="I123" s="134" t="s">
        <v>293</v>
      </c>
      <c r="J123" s="132">
        <v>-341.93</v>
      </c>
      <c r="K123" s="132">
        <v>0</v>
      </c>
      <c r="L123" s="132">
        <v>25</v>
      </c>
      <c r="M123" s="132">
        <v>0</v>
      </c>
      <c r="N123" s="132">
        <v>0</v>
      </c>
      <c r="O123" s="132">
        <v>100</v>
      </c>
      <c r="P123" s="132">
        <v>425</v>
      </c>
      <c r="Q123" s="132">
        <v>0</v>
      </c>
      <c r="R123" s="132">
        <v>-158.28</v>
      </c>
      <c r="S123" s="132">
        <v>492.58</v>
      </c>
      <c r="T123" s="132">
        <v>145.5</v>
      </c>
      <c r="U123" s="132">
        <v>0</v>
      </c>
      <c r="V123" s="132">
        <v>0</v>
      </c>
      <c r="W123" s="132">
        <v>0</v>
      </c>
      <c r="X123" s="132">
        <v>0</v>
      </c>
      <c r="Y123" s="132">
        <v>1220.4100000000001</v>
      </c>
      <c r="Z123" s="132">
        <v>619.71</v>
      </c>
      <c r="AA123" s="132">
        <v>549.34</v>
      </c>
      <c r="AB123" s="132">
        <v>274.67</v>
      </c>
      <c r="AC123" s="132">
        <v>1000.6700000000001</v>
      </c>
      <c r="AD123" s="132">
        <v>1137.83</v>
      </c>
      <c r="AE123" s="132">
        <v>1252.67</v>
      </c>
      <c r="AF123" s="132">
        <v>2305</v>
      </c>
      <c r="AG123" s="132">
        <v>285.27</v>
      </c>
      <c r="AH123" s="132">
        <v>1010.99</v>
      </c>
      <c r="AI123" s="132">
        <v>730.36</v>
      </c>
      <c r="AJ123" s="132">
        <v>2471.9500000000003</v>
      </c>
      <c r="AK123" s="132">
        <v>282.67</v>
      </c>
      <c r="AL123" s="132">
        <v>510.25</v>
      </c>
      <c r="AM123" s="132">
        <v>0</v>
      </c>
    </row>
    <row r="124" spans="1:39" ht="13.8" outlineLevel="1">
      <c r="A124" s="142" t="s">
        <v>149</v>
      </c>
      <c r="B124" s="171">
        <f t="shared" ca="1" si="69"/>
        <v>311.3</v>
      </c>
      <c r="C124" s="166" t="str">
        <f t="shared" si="65"/>
        <v>OPERATING EXPENSES FORMS AND PRINTING</v>
      </c>
      <c r="D124" s="166" t="str">
        <f t="shared" si="66"/>
        <v>FORMS AND PRINTING</v>
      </c>
      <c r="E124" s="166" t="str">
        <f t="shared" si="67"/>
        <v>OPERATING EXPENSES</v>
      </c>
      <c r="F124" s="166" t="str">
        <f t="shared" si="68"/>
        <v>630320</v>
      </c>
      <c r="H124" s="134" t="s">
        <v>294</v>
      </c>
      <c r="I124" s="134" t="s">
        <v>295</v>
      </c>
      <c r="J124" s="132">
        <v>416.61</v>
      </c>
      <c r="K124" s="132">
        <v>492.44</v>
      </c>
      <c r="L124" s="132">
        <v>728.63</v>
      </c>
      <c r="M124" s="132">
        <v>286.12</v>
      </c>
      <c r="N124" s="132">
        <v>611.55000000000007</v>
      </c>
      <c r="O124" s="132">
        <v>770.77</v>
      </c>
      <c r="P124" s="132">
        <v>203.17000000000002</v>
      </c>
      <c r="Q124" s="132">
        <v>505.43</v>
      </c>
      <c r="R124" s="132">
        <v>427.22</v>
      </c>
      <c r="S124" s="132">
        <v>194.58</v>
      </c>
      <c r="T124" s="132">
        <v>466.96000000000004</v>
      </c>
      <c r="U124" s="132">
        <v>334.87</v>
      </c>
      <c r="V124" s="132">
        <v>353.18</v>
      </c>
      <c r="W124" s="132">
        <v>454.95</v>
      </c>
      <c r="X124" s="132">
        <v>580.22</v>
      </c>
      <c r="Y124" s="132">
        <v>553.66999999999996</v>
      </c>
      <c r="Z124" s="132">
        <v>221.16</v>
      </c>
      <c r="AA124" s="132">
        <v>365.15000000000003</v>
      </c>
      <c r="AB124" s="132">
        <v>429.94</v>
      </c>
      <c r="AC124" s="132">
        <v>315.5</v>
      </c>
      <c r="AD124" s="132">
        <v>194.32</v>
      </c>
      <c r="AE124" s="132">
        <v>227.16</v>
      </c>
      <c r="AF124" s="132">
        <v>158.04</v>
      </c>
      <c r="AG124" s="132">
        <v>288</v>
      </c>
      <c r="AH124" s="132">
        <v>233.72</v>
      </c>
      <c r="AI124" s="132">
        <v>170.35</v>
      </c>
      <c r="AJ124" s="132">
        <v>567.99</v>
      </c>
      <c r="AK124" s="132">
        <v>254.92000000000002</v>
      </c>
      <c r="AL124" s="132">
        <v>188.96</v>
      </c>
      <c r="AM124" s="132">
        <v>301.01</v>
      </c>
    </row>
    <row r="125" spans="1:39" ht="13.8" outlineLevel="1">
      <c r="A125" s="142" t="s">
        <v>149</v>
      </c>
      <c r="B125" s="171">
        <f t="shared" ca="1" si="69"/>
        <v>311.3</v>
      </c>
      <c r="C125" s="166" t="str">
        <f t="shared" si="65"/>
        <v>OPERATING EXPENSES POSTAGE</v>
      </c>
      <c r="D125" s="166" t="str">
        <f t="shared" si="66"/>
        <v>POSTAGE</v>
      </c>
      <c r="E125" s="166" t="str">
        <f t="shared" si="67"/>
        <v>OPERATING EXPENSES</v>
      </c>
      <c r="F125" s="166" t="str">
        <f t="shared" si="68"/>
        <v>630330</v>
      </c>
      <c r="H125" s="134" t="s">
        <v>296</v>
      </c>
      <c r="I125" s="134" t="s">
        <v>297</v>
      </c>
      <c r="J125" s="132">
        <v>28.080000000000002</v>
      </c>
      <c r="K125" s="132">
        <v>250</v>
      </c>
      <c r="L125" s="132">
        <v>0</v>
      </c>
      <c r="M125" s="132">
        <v>60.620000000000005</v>
      </c>
      <c r="N125" s="132">
        <v>147</v>
      </c>
      <c r="O125" s="132">
        <v>-232.15</v>
      </c>
      <c r="P125" s="132">
        <v>49</v>
      </c>
      <c r="Q125" s="132">
        <v>49</v>
      </c>
      <c r="R125" s="132">
        <v>49</v>
      </c>
      <c r="S125" s="132">
        <v>0</v>
      </c>
      <c r="T125" s="132">
        <v>0</v>
      </c>
      <c r="U125" s="132">
        <v>-500</v>
      </c>
      <c r="V125" s="132">
        <v>73.03</v>
      </c>
      <c r="W125" s="132">
        <v>250.38</v>
      </c>
      <c r="X125" s="132">
        <v>150</v>
      </c>
      <c r="Y125" s="132">
        <v>199</v>
      </c>
      <c r="Z125" s="132">
        <v>-218.52</v>
      </c>
      <c r="AA125" s="132">
        <v>518.52</v>
      </c>
      <c r="AB125" s="132">
        <v>150</v>
      </c>
      <c r="AC125" s="132">
        <v>150</v>
      </c>
      <c r="AD125" s="132">
        <v>150</v>
      </c>
      <c r="AE125" s="132">
        <v>150</v>
      </c>
      <c r="AF125" s="132">
        <v>75</v>
      </c>
      <c r="AG125" s="132">
        <v>75</v>
      </c>
      <c r="AH125" s="132">
        <v>75</v>
      </c>
      <c r="AI125" s="132">
        <v>0</v>
      </c>
      <c r="AJ125" s="132">
        <v>0</v>
      </c>
      <c r="AK125" s="132">
        <v>0</v>
      </c>
      <c r="AL125" s="132">
        <v>0</v>
      </c>
      <c r="AM125" s="132">
        <v>0</v>
      </c>
    </row>
    <row r="126" spans="1:39" ht="13.8" outlineLevel="1">
      <c r="A126" s="142" t="s">
        <v>149</v>
      </c>
      <c r="B126" s="171">
        <f t="shared" ca="1" si="69"/>
        <v>311.3</v>
      </c>
      <c r="C126" s="166" t="str">
        <f t="shared" si="65"/>
        <v>OPERATING EXPENSES OVERNIGHT SERVICE</v>
      </c>
      <c r="D126" s="166" t="str">
        <f t="shared" si="66"/>
        <v>OVERNIGHT SERVICE</v>
      </c>
      <c r="E126" s="166" t="str">
        <f t="shared" si="67"/>
        <v>OPERATING EXPENSES</v>
      </c>
      <c r="F126" s="166" t="str">
        <f t="shared" si="68"/>
        <v>630334</v>
      </c>
      <c r="H126" s="134" t="s">
        <v>298</v>
      </c>
      <c r="I126" s="134" t="s">
        <v>299</v>
      </c>
      <c r="J126" s="132">
        <v>102.55</v>
      </c>
      <c r="K126" s="132">
        <v>146.32</v>
      </c>
      <c r="L126" s="132">
        <v>222.84</v>
      </c>
      <c r="M126" s="132">
        <v>136.22</v>
      </c>
      <c r="N126" s="132">
        <v>152.67000000000002</v>
      </c>
      <c r="O126" s="132">
        <v>238.29</v>
      </c>
      <c r="P126" s="132">
        <v>148.67000000000002</v>
      </c>
      <c r="Q126" s="132">
        <v>200.21</v>
      </c>
      <c r="R126" s="132">
        <v>285.75</v>
      </c>
      <c r="S126" s="132">
        <v>337.93</v>
      </c>
      <c r="T126" s="132">
        <v>157.80000000000001</v>
      </c>
      <c r="U126" s="132">
        <v>217.72</v>
      </c>
      <c r="V126" s="132">
        <v>197.33</v>
      </c>
      <c r="W126" s="132">
        <v>137.64000000000001</v>
      </c>
      <c r="X126" s="132">
        <v>184.20000000000002</v>
      </c>
      <c r="Y126" s="132">
        <v>222</v>
      </c>
      <c r="Z126" s="132">
        <v>189.91</v>
      </c>
      <c r="AA126" s="132">
        <v>195.44</v>
      </c>
      <c r="AB126" s="132">
        <v>155.72</v>
      </c>
      <c r="AC126" s="132">
        <v>368.14</v>
      </c>
      <c r="AD126" s="132">
        <v>350.19</v>
      </c>
      <c r="AE126" s="132">
        <v>251.06</v>
      </c>
      <c r="AF126" s="132">
        <v>256.66000000000003</v>
      </c>
      <c r="AG126" s="132">
        <v>95.02</v>
      </c>
      <c r="AH126" s="132">
        <v>156.17000000000002</v>
      </c>
      <c r="AI126" s="132">
        <v>174.05</v>
      </c>
      <c r="AJ126" s="132">
        <v>109.49000000000001</v>
      </c>
      <c r="AK126" s="132">
        <v>199.77</v>
      </c>
      <c r="AL126" s="132">
        <v>155.81</v>
      </c>
      <c r="AM126" s="132">
        <v>293.62</v>
      </c>
    </row>
    <row r="127" spans="1:39" ht="13.8" outlineLevel="1">
      <c r="A127" s="142" t="s">
        <v>149</v>
      </c>
      <c r="B127" s="171">
        <f t="shared" ca="1" si="69"/>
        <v>318.3</v>
      </c>
      <c r="C127" s="166" t="str">
        <f t="shared" si="65"/>
        <v>OPERATING EXPENSES TELEPHONE</v>
      </c>
      <c r="D127" s="166" t="str">
        <f t="shared" si="66"/>
        <v>TELEPHONE</v>
      </c>
      <c r="E127" s="166" t="str">
        <f t="shared" si="67"/>
        <v>OPERATING EXPENSES</v>
      </c>
      <c r="F127" s="166" t="str">
        <f t="shared" si="68"/>
        <v>630340</v>
      </c>
      <c r="H127" s="134" t="s">
        <v>300</v>
      </c>
      <c r="I127" s="134" t="s">
        <v>301</v>
      </c>
      <c r="J127" s="132">
        <v>2342.54</v>
      </c>
      <c r="K127" s="132">
        <v>1978.49</v>
      </c>
      <c r="L127" s="132">
        <v>3100.14</v>
      </c>
      <c r="M127" s="132">
        <v>2506.06</v>
      </c>
      <c r="N127" s="132">
        <v>2519.5700000000002</v>
      </c>
      <c r="O127" s="132">
        <v>2487.6</v>
      </c>
      <c r="P127" s="132">
        <v>2562.15</v>
      </c>
      <c r="Q127" s="132">
        <v>2698</v>
      </c>
      <c r="R127" s="132">
        <v>2708.13</v>
      </c>
      <c r="S127" s="132">
        <v>3835.2000000000003</v>
      </c>
      <c r="T127" s="132">
        <v>3635.5</v>
      </c>
      <c r="U127" s="132">
        <v>3044.9700000000003</v>
      </c>
      <c r="V127" s="132">
        <v>2925.42</v>
      </c>
      <c r="W127" s="132">
        <v>5333.06</v>
      </c>
      <c r="X127" s="132">
        <v>5064.38</v>
      </c>
      <c r="Y127" s="132">
        <v>1434.29</v>
      </c>
      <c r="Z127" s="132">
        <v>3182.25</v>
      </c>
      <c r="AA127" s="132">
        <v>1431.1200000000001</v>
      </c>
      <c r="AB127" s="132">
        <v>1429.65</v>
      </c>
      <c r="AC127" s="132">
        <v>1410.1000000000001</v>
      </c>
      <c r="AD127" s="132">
        <v>2174.6799999999998</v>
      </c>
      <c r="AE127" s="132">
        <v>2321.2200000000003</v>
      </c>
      <c r="AF127" s="132">
        <v>2269.09</v>
      </c>
      <c r="AG127" s="132">
        <v>2282.25</v>
      </c>
      <c r="AH127" s="132">
        <v>2389.44</v>
      </c>
      <c r="AI127" s="132">
        <v>2675.4700000000003</v>
      </c>
      <c r="AJ127" s="132">
        <v>2545.71</v>
      </c>
      <c r="AK127" s="132">
        <v>2478.3200000000002</v>
      </c>
      <c r="AL127" s="132">
        <v>2504.37</v>
      </c>
      <c r="AM127" s="132">
        <v>2469.17</v>
      </c>
    </row>
    <row r="128" spans="1:39" ht="13.8" outlineLevel="1">
      <c r="A128" s="142" t="s">
        <v>149</v>
      </c>
      <c r="B128" s="171">
        <f t="shared" ca="1" si="69"/>
        <v>318.3</v>
      </c>
      <c r="C128" s="166" t="str">
        <f t="shared" si="65"/>
        <v>OPERATING EXPENSES WIRELESS TELEPHONE</v>
      </c>
      <c r="D128" s="166" t="str">
        <f t="shared" si="66"/>
        <v>WIRELESS TELEPHONE</v>
      </c>
      <c r="E128" s="166" t="str">
        <f t="shared" si="67"/>
        <v>OPERATING EXPENSES</v>
      </c>
      <c r="F128" s="166" t="str">
        <f t="shared" si="68"/>
        <v>630341</v>
      </c>
      <c r="H128" s="134" t="s">
        <v>302</v>
      </c>
      <c r="I128" s="134" t="s">
        <v>303</v>
      </c>
      <c r="J128" s="132">
        <v>243.21</v>
      </c>
      <c r="K128" s="132">
        <v>233.54</v>
      </c>
      <c r="L128" s="132">
        <v>240.70000000000002</v>
      </c>
      <c r="M128" s="132">
        <v>495.47</v>
      </c>
      <c r="N128" s="132">
        <v>245.45000000000002</v>
      </c>
      <c r="O128" s="132">
        <v>245</v>
      </c>
      <c r="P128" s="132">
        <v>589.65</v>
      </c>
      <c r="Q128" s="132">
        <v>-265</v>
      </c>
      <c r="R128" s="132">
        <v>522.98</v>
      </c>
      <c r="S128" s="132">
        <v>241.81</v>
      </c>
      <c r="T128" s="132">
        <v>335.96</v>
      </c>
      <c r="U128" s="132">
        <v>432.73</v>
      </c>
      <c r="V128" s="132">
        <v>499.46000000000004</v>
      </c>
      <c r="W128" s="132">
        <v>539.22</v>
      </c>
      <c r="X128" s="132">
        <v>333.06</v>
      </c>
      <c r="Y128" s="132">
        <v>785.29</v>
      </c>
      <c r="Z128" s="132">
        <v>366.19</v>
      </c>
      <c r="AA128" s="132">
        <v>331.38</v>
      </c>
      <c r="AB128" s="132">
        <v>267.20999999999998</v>
      </c>
      <c r="AC128" s="132">
        <v>0</v>
      </c>
      <c r="AD128" s="132">
        <v>583.03</v>
      </c>
      <c r="AE128" s="132">
        <v>50</v>
      </c>
      <c r="AF128" s="132">
        <v>613.26</v>
      </c>
      <c r="AG128" s="132">
        <v>292.36</v>
      </c>
      <c r="AH128" s="132">
        <v>0</v>
      </c>
      <c r="AI128" s="132">
        <v>291.35000000000002</v>
      </c>
      <c r="AJ128" s="132">
        <v>605.25</v>
      </c>
      <c r="AK128" s="132">
        <v>290</v>
      </c>
      <c r="AL128" s="132">
        <v>269.70999999999998</v>
      </c>
      <c r="AM128" s="132">
        <v>-0.42</v>
      </c>
    </row>
    <row r="129" spans="1:39" ht="13.8" outlineLevel="1">
      <c r="A129" s="142" t="s">
        <v>149</v>
      </c>
      <c r="B129" s="171">
        <f t="shared" ca="1" si="69"/>
        <v>318.3</v>
      </c>
      <c r="C129" s="166" t="str">
        <f t="shared" si="65"/>
        <v>OPERATING EXPENSES MINOR FURNITURE &amp; FIXTURES</v>
      </c>
      <c r="D129" s="166" t="str">
        <f t="shared" si="66"/>
        <v>MINOR FURNITURE &amp; FIXTURES</v>
      </c>
      <c r="E129" s="166" t="str">
        <f t="shared" si="67"/>
        <v>OPERATING EXPENSES</v>
      </c>
      <c r="F129" s="166" t="str">
        <f t="shared" si="68"/>
        <v>630410</v>
      </c>
      <c r="H129" s="134" t="s">
        <v>304</v>
      </c>
      <c r="I129" s="134" t="s">
        <v>305</v>
      </c>
      <c r="J129" s="132">
        <v>1187.6400000000001</v>
      </c>
      <c r="K129" s="132">
        <v>303.31</v>
      </c>
      <c r="L129" s="132">
        <v>1833.89</v>
      </c>
      <c r="M129" s="132">
        <v>1135.71</v>
      </c>
      <c r="N129" s="132">
        <v>728.97</v>
      </c>
      <c r="O129" s="132">
        <v>870.1</v>
      </c>
      <c r="P129" s="132">
        <v>599.03</v>
      </c>
      <c r="Q129" s="132">
        <v>490.62</v>
      </c>
      <c r="R129" s="132">
        <v>1227.4000000000001</v>
      </c>
      <c r="S129" s="132">
        <v>4590.95</v>
      </c>
      <c r="T129" s="132">
        <v>1117.98</v>
      </c>
      <c r="U129" s="132">
        <v>1476.81</v>
      </c>
      <c r="V129" s="132">
        <v>3631.8</v>
      </c>
      <c r="W129" s="132">
        <v>0</v>
      </c>
      <c r="X129" s="132">
        <v>1387.3500000000001</v>
      </c>
      <c r="Y129" s="132">
        <v>1561.33</v>
      </c>
      <c r="Z129" s="132">
        <v>1672.25</v>
      </c>
      <c r="AA129" s="132">
        <v>1565.14</v>
      </c>
      <c r="AB129" s="132">
        <v>1317.55</v>
      </c>
      <c r="AC129" s="132">
        <v>367.76</v>
      </c>
      <c r="AD129" s="132">
        <v>1125.08</v>
      </c>
      <c r="AE129" s="132">
        <v>433.14</v>
      </c>
      <c r="AF129" s="132">
        <v>230.42000000000002</v>
      </c>
      <c r="AG129" s="132">
        <v>396.03000000000003</v>
      </c>
      <c r="AH129" s="132">
        <v>723.49</v>
      </c>
      <c r="AI129" s="132">
        <v>1239.74</v>
      </c>
      <c r="AJ129" s="132">
        <v>415.33</v>
      </c>
      <c r="AK129" s="132">
        <v>1225.05</v>
      </c>
      <c r="AL129" s="132">
        <v>740.85</v>
      </c>
      <c r="AM129" s="132">
        <v>1088.2</v>
      </c>
    </row>
    <row r="130" spans="1:39" ht="13.8" outlineLevel="1">
      <c r="A130" s="142" t="s">
        <v>149</v>
      </c>
      <c r="B130" s="171">
        <f t="shared" ca="1" si="69"/>
        <v>319</v>
      </c>
      <c r="C130" s="166" t="str">
        <f t="shared" si="65"/>
        <v>OPERATING EXPENSES HEAT, POWER AND LIGHT</v>
      </c>
      <c r="D130" s="166" t="str">
        <f t="shared" si="66"/>
        <v>HEAT, POWER AND LIGHT</v>
      </c>
      <c r="E130" s="166" t="str">
        <f t="shared" si="67"/>
        <v>OPERATING EXPENSES</v>
      </c>
      <c r="F130" s="166" t="str">
        <f t="shared" si="68"/>
        <v>630440</v>
      </c>
      <c r="H130" s="134" t="s">
        <v>306</v>
      </c>
      <c r="I130" s="134" t="s">
        <v>307</v>
      </c>
      <c r="J130" s="132">
        <v>6218.59</v>
      </c>
      <c r="K130" s="132">
        <v>6113.68</v>
      </c>
      <c r="L130" s="132">
        <v>7882.9800000000005</v>
      </c>
      <c r="M130" s="132">
        <v>6213.49</v>
      </c>
      <c r="N130" s="132">
        <v>6449.22</v>
      </c>
      <c r="O130" s="132">
        <v>7002.75</v>
      </c>
      <c r="P130" s="132">
        <v>7048.97</v>
      </c>
      <c r="Q130" s="132">
        <v>6611.02</v>
      </c>
      <c r="R130" s="132">
        <v>6697.85</v>
      </c>
      <c r="S130" s="132">
        <v>5235.4400000000005</v>
      </c>
      <c r="T130" s="132">
        <v>4906.63</v>
      </c>
      <c r="U130" s="132">
        <v>5075.47</v>
      </c>
      <c r="V130" s="132">
        <v>6070.43</v>
      </c>
      <c r="W130" s="132">
        <v>5431.45</v>
      </c>
      <c r="X130" s="132">
        <v>2986.4</v>
      </c>
      <c r="Y130" s="132">
        <v>3025.66</v>
      </c>
      <c r="Z130" s="132">
        <v>3030.18</v>
      </c>
      <c r="AA130" s="132">
        <v>4037.51</v>
      </c>
      <c r="AB130" s="132">
        <v>4848.74</v>
      </c>
      <c r="AC130" s="132">
        <v>4244.47</v>
      </c>
      <c r="AD130" s="132">
        <v>3780.46</v>
      </c>
      <c r="AE130" s="132">
        <v>3866.1800000000003</v>
      </c>
      <c r="AF130" s="132">
        <v>2187.21</v>
      </c>
      <c r="AG130" s="132">
        <v>956.93000000000006</v>
      </c>
      <c r="AH130" s="132">
        <v>5278.93</v>
      </c>
      <c r="AI130" s="132">
        <v>3652.27</v>
      </c>
      <c r="AJ130" s="132">
        <v>5858.56</v>
      </c>
      <c r="AK130" s="132">
        <v>5253.07</v>
      </c>
      <c r="AL130" s="132">
        <v>2250.85</v>
      </c>
      <c r="AM130" s="132">
        <v>2196.41</v>
      </c>
    </row>
    <row r="131" spans="1:39" ht="13.8" outlineLevel="1">
      <c r="A131" s="142" t="s">
        <v>149</v>
      </c>
      <c r="B131" s="171">
        <f t="shared" ca="1" si="69"/>
        <v>319</v>
      </c>
      <c r="C131" s="166" t="str">
        <f t="shared" si="65"/>
        <v>OPERATING EXPENSES INFECTIOUS WASTE REMOVAL</v>
      </c>
      <c r="D131" s="166" t="str">
        <f t="shared" si="66"/>
        <v>INFECTIOUS WASTE REMOVAL</v>
      </c>
      <c r="E131" s="166" t="str">
        <f t="shared" si="67"/>
        <v>OPERATING EXPENSES</v>
      </c>
      <c r="F131" s="166" t="str">
        <f t="shared" si="68"/>
        <v>630442</v>
      </c>
      <c r="H131" s="134" t="s">
        <v>308</v>
      </c>
      <c r="I131" s="134" t="s">
        <v>309</v>
      </c>
      <c r="J131" s="132">
        <v>190</v>
      </c>
      <c r="K131" s="132">
        <v>254.03</v>
      </c>
      <c r="L131" s="132">
        <v>198.35</v>
      </c>
      <c r="M131" s="132">
        <v>240</v>
      </c>
      <c r="N131" s="132">
        <v>224.87</v>
      </c>
      <c r="O131" s="132">
        <v>225</v>
      </c>
      <c r="P131" s="132">
        <v>224.82</v>
      </c>
      <c r="Q131" s="132">
        <v>140.47</v>
      </c>
      <c r="R131" s="132">
        <v>261.3</v>
      </c>
      <c r="S131" s="132">
        <v>711.44</v>
      </c>
      <c r="T131" s="132">
        <v>700</v>
      </c>
      <c r="U131" s="132">
        <v>-248.55</v>
      </c>
      <c r="V131" s="132">
        <v>-28.310000000000002</v>
      </c>
      <c r="W131" s="132">
        <v>0</v>
      </c>
      <c r="X131" s="132">
        <v>150.14000000000001</v>
      </c>
      <c r="Y131" s="132">
        <v>150</v>
      </c>
      <c r="Z131" s="132">
        <v>191.88</v>
      </c>
      <c r="AA131" s="132">
        <v>171.69</v>
      </c>
      <c r="AB131" s="132">
        <v>-14.950000000000001</v>
      </c>
      <c r="AC131" s="132">
        <v>47.37</v>
      </c>
      <c r="AD131" s="132">
        <v>114.46000000000001</v>
      </c>
      <c r="AE131" s="132">
        <v>105</v>
      </c>
      <c r="AF131" s="132">
        <v>143.1</v>
      </c>
      <c r="AG131" s="132">
        <v>2.23</v>
      </c>
      <c r="AH131" s="132">
        <v>106.69</v>
      </c>
      <c r="AI131" s="132">
        <v>114.46000000000001</v>
      </c>
      <c r="AJ131" s="132">
        <v>114.46000000000001</v>
      </c>
      <c r="AK131" s="132">
        <v>114.46000000000001</v>
      </c>
      <c r="AL131" s="132">
        <v>194.22</v>
      </c>
      <c r="AM131" s="132">
        <v>114.46000000000001</v>
      </c>
    </row>
    <row r="132" spans="1:39" ht="13.8" outlineLevel="1">
      <c r="A132" s="142" t="s">
        <v>149</v>
      </c>
      <c r="B132" s="171">
        <f t="shared" ca="1" si="69"/>
        <v>319</v>
      </c>
      <c r="C132" s="166" t="str">
        <f t="shared" si="65"/>
        <v>OPERATING EXPENSES TRASH AND REFUSE DISPOSAL</v>
      </c>
      <c r="D132" s="166" t="str">
        <f t="shared" si="66"/>
        <v>TRASH AND REFUSE DISPOSAL</v>
      </c>
      <c r="E132" s="166" t="str">
        <f t="shared" si="67"/>
        <v>OPERATING EXPENSES</v>
      </c>
      <c r="F132" s="166" t="str">
        <f t="shared" si="68"/>
        <v>630444</v>
      </c>
      <c r="H132" s="134" t="s">
        <v>310</v>
      </c>
      <c r="I132" s="134" t="s">
        <v>311</v>
      </c>
      <c r="J132" s="132">
        <v>573.05000000000007</v>
      </c>
      <c r="K132" s="132">
        <v>562.79</v>
      </c>
      <c r="L132" s="132">
        <v>563.81000000000006</v>
      </c>
      <c r="M132" s="132">
        <v>564.16999999999996</v>
      </c>
      <c r="N132" s="132">
        <v>494.05</v>
      </c>
      <c r="O132" s="132">
        <v>572.23</v>
      </c>
      <c r="P132" s="132">
        <v>562.81000000000006</v>
      </c>
      <c r="Q132" s="132">
        <v>563.55000000000007</v>
      </c>
      <c r="R132" s="132">
        <v>566.18000000000006</v>
      </c>
      <c r="S132" s="132">
        <v>567.08000000000004</v>
      </c>
      <c r="T132" s="132">
        <v>568.22</v>
      </c>
      <c r="U132" s="132">
        <v>592.57000000000005</v>
      </c>
      <c r="V132" s="132">
        <v>580.89</v>
      </c>
      <c r="W132" s="132">
        <v>568.22</v>
      </c>
      <c r="X132" s="132">
        <v>582.61</v>
      </c>
      <c r="Y132" s="132">
        <v>597.21</v>
      </c>
      <c r="Z132" s="132">
        <v>583.59</v>
      </c>
      <c r="AA132" s="132">
        <v>581.97</v>
      </c>
      <c r="AB132" s="132">
        <v>584.23</v>
      </c>
      <c r="AC132" s="132">
        <v>583.86</v>
      </c>
      <c r="AD132" s="132">
        <v>579.54</v>
      </c>
      <c r="AE132" s="132">
        <v>581.35</v>
      </c>
      <c r="AF132" s="132">
        <v>579.4</v>
      </c>
      <c r="AG132" s="132">
        <v>568.22</v>
      </c>
      <c r="AH132" s="132">
        <v>576.99</v>
      </c>
      <c r="AI132" s="132">
        <v>575.66</v>
      </c>
      <c r="AJ132" s="132">
        <v>583.16</v>
      </c>
      <c r="AK132" s="132">
        <v>568.22</v>
      </c>
      <c r="AL132" s="132">
        <v>580.64</v>
      </c>
      <c r="AM132" s="132">
        <v>576.69000000000005</v>
      </c>
    </row>
    <row r="133" spans="1:39" ht="13.8" outlineLevel="1">
      <c r="A133" s="142" t="s">
        <v>149</v>
      </c>
      <c r="B133" s="171">
        <f t="shared" ca="1" si="69"/>
        <v>319</v>
      </c>
      <c r="C133" s="166" t="str">
        <f t="shared" si="65"/>
        <v>OPERATING EXPENSES WATER &amp; SEWER</v>
      </c>
      <c r="D133" s="166" t="str">
        <f t="shared" si="66"/>
        <v>WATER &amp; SEWER</v>
      </c>
      <c r="E133" s="166" t="str">
        <f t="shared" si="67"/>
        <v>OPERATING EXPENSES</v>
      </c>
      <c r="F133" s="166" t="str">
        <f t="shared" si="68"/>
        <v>630446</v>
      </c>
      <c r="H133" s="134" t="s">
        <v>312</v>
      </c>
      <c r="I133" s="134" t="s">
        <v>313</v>
      </c>
      <c r="J133" s="132">
        <v>1583.5900000000001</v>
      </c>
      <c r="K133" s="132">
        <v>1862.03</v>
      </c>
      <c r="L133" s="132">
        <v>1651.8500000000001</v>
      </c>
      <c r="M133" s="132">
        <v>1586.75</v>
      </c>
      <c r="N133" s="132">
        <v>1700.95</v>
      </c>
      <c r="O133" s="132">
        <v>2097.35</v>
      </c>
      <c r="P133" s="132">
        <v>1857.03</v>
      </c>
      <c r="Q133" s="132">
        <v>1701.91</v>
      </c>
      <c r="R133" s="132">
        <v>1280.96</v>
      </c>
      <c r="S133" s="132">
        <v>1170.5</v>
      </c>
      <c r="T133" s="132">
        <v>1505.63</v>
      </c>
      <c r="U133" s="132">
        <v>1814.44</v>
      </c>
      <c r="V133" s="132">
        <v>1568.3400000000001</v>
      </c>
      <c r="W133" s="132">
        <v>1283.33</v>
      </c>
      <c r="X133" s="132">
        <v>1629.32</v>
      </c>
      <c r="Y133" s="132">
        <v>1091.5999999999999</v>
      </c>
      <c r="Z133" s="132">
        <v>1195.1400000000001</v>
      </c>
      <c r="AA133" s="132">
        <v>1401.96</v>
      </c>
      <c r="AB133" s="132">
        <v>1126.1000000000001</v>
      </c>
      <c r="AC133" s="132">
        <v>1166.3700000000001</v>
      </c>
      <c r="AD133" s="132">
        <v>1820.49</v>
      </c>
      <c r="AE133" s="132">
        <v>1493.78</v>
      </c>
      <c r="AF133" s="132">
        <v>1849.13</v>
      </c>
      <c r="AG133" s="132">
        <v>2468.9299999999998</v>
      </c>
      <c r="AH133" s="132">
        <v>3048.85</v>
      </c>
      <c r="AI133" s="132">
        <v>2691.2200000000003</v>
      </c>
      <c r="AJ133" s="132">
        <v>6206.21</v>
      </c>
      <c r="AK133" s="132">
        <v>4551.74</v>
      </c>
      <c r="AL133" s="132">
        <v>3974.1</v>
      </c>
      <c r="AM133" s="132">
        <v>1513.27</v>
      </c>
    </row>
    <row r="134" spans="1:39" ht="13.8" outlineLevel="1">
      <c r="A134" s="142" t="s">
        <v>149</v>
      </c>
      <c r="B134" s="171">
        <f t="shared" ca="1" si="69"/>
        <v>319.3</v>
      </c>
      <c r="C134" s="166" t="str">
        <f t="shared" si="65"/>
        <v>OPERATING EXPENSES REPAIRS AND MAINTENANCE</v>
      </c>
      <c r="D134" s="166" t="str">
        <f t="shared" si="66"/>
        <v>REPAIRS AND MAINTENANCE</v>
      </c>
      <c r="E134" s="166" t="str">
        <f t="shared" si="67"/>
        <v>OPERATING EXPENSES</v>
      </c>
      <c r="F134" s="166" t="str">
        <f t="shared" si="68"/>
        <v>630460</v>
      </c>
      <c r="H134" s="134" t="s">
        <v>314</v>
      </c>
      <c r="I134" s="134" t="s">
        <v>315</v>
      </c>
      <c r="J134" s="132">
        <v>2189.33</v>
      </c>
      <c r="K134" s="132">
        <v>2028.15</v>
      </c>
      <c r="L134" s="132">
        <v>3438.56</v>
      </c>
      <c r="M134" s="132">
        <v>969.55000000000007</v>
      </c>
      <c r="N134" s="132">
        <v>-487.7</v>
      </c>
      <c r="O134" s="132">
        <v>1519.21</v>
      </c>
      <c r="P134" s="132">
        <v>2416.29</v>
      </c>
      <c r="Q134" s="132">
        <v>3691.02</v>
      </c>
      <c r="R134" s="132">
        <v>4693.7</v>
      </c>
      <c r="S134" s="132">
        <v>3964.96</v>
      </c>
      <c r="T134" s="132">
        <v>417.16</v>
      </c>
      <c r="U134" s="132">
        <v>2413.7000000000003</v>
      </c>
      <c r="V134" s="132">
        <v>2094.2200000000003</v>
      </c>
      <c r="W134" s="132">
        <v>912.42000000000007</v>
      </c>
      <c r="X134" s="132">
        <v>1723.9</v>
      </c>
      <c r="Y134" s="132">
        <v>3631.23</v>
      </c>
      <c r="Z134" s="132">
        <v>1404.1000000000001</v>
      </c>
      <c r="AA134" s="132">
        <v>370.61</v>
      </c>
      <c r="AB134" s="132">
        <v>1943.6200000000001</v>
      </c>
      <c r="AC134" s="132">
        <v>6883.84</v>
      </c>
      <c r="AD134" s="132">
        <v>612.26</v>
      </c>
      <c r="AE134" s="132">
        <v>1585.02</v>
      </c>
      <c r="AF134" s="132">
        <v>1157.03</v>
      </c>
      <c r="AG134" s="132">
        <v>4064.13</v>
      </c>
      <c r="AH134" s="132">
        <v>770.19</v>
      </c>
      <c r="AI134" s="132">
        <v>1880.6000000000001</v>
      </c>
      <c r="AJ134" s="132">
        <v>1912.83</v>
      </c>
      <c r="AK134" s="132">
        <v>3312.52</v>
      </c>
      <c r="AL134" s="132">
        <v>5929.01</v>
      </c>
      <c r="AM134" s="132">
        <v>3369.1800000000003</v>
      </c>
    </row>
    <row r="135" spans="1:39" ht="13.8" outlineLevel="1">
      <c r="A135" s="142" t="s">
        <v>149</v>
      </c>
      <c r="B135" s="171">
        <f t="shared" ca="1" si="69"/>
        <v>311.3</v>
      </c>
      <c r="C135" s="166" t="str">
        <f t="shared" si="65"/>
        <v>OPERATING EXPENSES LICENSES</v>
      </c>
      <c r="D135" s="166" t="str">
        <f t="shared" si="66"/>
        <v>LICENSES</v>
      </c>
      <c r="E135" s="166" t="str">
        <f t="shared" si="67"/>
        <v>OPERATING EXPENSES</v>
      </c>
      <c r="F135" s="166" t="str">
        <f t="shared" si="68"/>
        <v>630520</v>
      </c>
      <c r="H135" s="134" t="s">
        <v>316</v>
      </c>
      <c r="I135" s="134" t="s">
        <v>317</v>
      </c>
      <c r="J135" s="132">
        <v>0</v>
      </c>
      <c r="K135" s="132">
        <v>0</v>
      </c>
      <c r="L135" s="132">
        <v>0</v>
      </c>
      <c r="M135" s="132">
        <v>0</v>
      </c>
      <c r="N135" s="132">
        <v>0</v>
      </c>
      <c r="O135" s="132">
        <v>0</v>
      </c>
      <c r="P135" s="132">
        <v>0</v>
      </c>
      <c r="Q135" s="132">
        <v>66</v>
      </c>
      <c r="R135" s="132">
        <v>0</v>
      </c>
      <c r="S135" s="132">
        <v>0</v>
      </c>
      <c r="T135" s="132">
        <v>622</v>
      </c>
      <c r="U135" s="132">
        <v>0</v>
      </c>
      <c r="V135" s="132">
        <v>85.94</v>
      </c>
      <c r="W135" s="132">
        <v>0</v>
      </c>
      <c r="X135" s="132">
        <v>2109</v>
      </c>
      <c r="Y135" s="132">
        <v>0</v>
      </c>
      <c r="Z135" s="132">
        <v>70</v>
      </c>
      <c r="AA135" s="132">
        <v>680</v>
      </c>
      <c r="AB135" s="132">
        <v>416.67</v>
      </c>
      <c r="AC135" s="132">
        <v>416.67</v>
      </c>
      <c r="AD135" s="132">
        <v>698.02</v>
      </c>
      <c r="AE135" s="132">
        <v>416.67</v>
      </c>
      <c r="AF135" s="132">
        <v>476.67</v>
      </c>
      <c r="AG135" s="132">
        <v>416.67</v>
      </c>
      <c r="AH135" s="132">
        <v>970.67000000000007</v>
      </c>
      <c r="AI135" s="132">
        <v>416.67</v>
      </c>
      <c r="AJ135" s="132">
        <v>416.67</v>
      </c>
      <c r="AK135" s="132">
        <v>416.67</v>
      </c>
      <c r="AL135" s="132">
        <v>416.67</v>
      </c>
      <c r="AM135" s="132">
        <v>416.63</v>
      </c>
    </row>
    <row r="136" spans="1:39" ht="13.8" outlineLevel="1">
      <c r="A136" s="142" t="s">
        <v>149</v>
      </c>
      <c r="B136" s="171">
        <f t="shared" ca="1" si="69"/>
        <v>317</v>
      </c>
      <c r="C136" s="166" t="str">
        <f t="shared" si="65"/>
        <v>OPERATING EXPENSES REAL ESTATE TAXES</v>
      </c>
      <c r="D136" s="166" t="str">
        <f t="shared" si="66"/>
        <v>REAL ESTATE TAXES</v>
      </c>
      <c r="E136" s="166" t="str">
        <f t="shared" si="67"/>
        <v>OPERATING EXPENSES</v>
      </c>
      <c r="F136" s="166" t="str">
        <f t="shared" si="68"/>
        <v>630530</v>
      </c>
      <c r="H136" s="134" t="s">
        <v>8</v>
      </c>
      <c r="I136" s="134" t="s">
        <v>318</v>
      </c>
      <c r="J136" s="132">
        <v>2995.8</v>
      </c>
      <c r="K136" s="132">
        <v>2995.8</v>
      </c>
      <c r="L136" s="132">
        <v>2893</v>
      </c>
      <c r="M136" s="132">
        <v>2893</v>
      </c>
      <c r="N136" s="132">
        <v>2893</v>
      </c>
      <c r="O136" s="132">
        <v>2893</v>
      </c>
      <c r="P136" s="132">
        <v>2893</v>
      </c>
      <c r="Q136" s="132">
        <v>2893</v>
      </c>
      <c r="R136" s="132">
        <v>2893</v>
      </c>
      <c r="S136" s="132">
        <v>2893</v>
      </c>
      <c r="T136" s="132">
        <v>2893</v>
      </c>
      <c r="U136" s="132">
        <v>4782.43</v>
      </c>
      <c r="V136" s="132">
        <v>2923</v>
      </c>
      <c r="W136" s="132">
        <v>2923</v>
      </c>
      <c r="X136" s="132">
        <v>2923</v>
      </c>
      <c r="Y136" s="132">
        <v>2923</v>
      </c>
      <c r="Z136" s="132">
        <v>2923</v>
      </c>
      <c r="AA136" s="132">
        <v>2923</v>
      </c>
      <c r="AB136" s="132">
        <v>2923</v>
      </c>
      <c r="AC136" s="132">
        <v>2923</v>
      </c>
      <c r="AD136" s="132">
        <v>2923</v>
      </c>
      <c r="AE136" s="132">
        <v>2923</v>
      </c>
      <c r="AF136" s="132">
        <v>2923</v>
      </c>
      <c r="AG136" s="132">
        <v>5083.33</v>
      </c>
      <c r="AH136" s="132">
        <v>3150</v>
      </c>
      <c r="AI136" s="132">
        <v>3150</v>
      </c>
      <c r="AJ136" s="132">
        <v>3150</v>
      </c>
      <c r="AK136" s="132">
        <v>3150</v>
      </c>
      <c r="AL136" s="132">
        <v>3150</v>
      </c>
      <c r="AM136" s="132">
        <v>3150</v>
      </c>
    </row>
    <row r="137" spans="1:39" ht="13.8" outlineLevel="1">
      <c r="A137" s="142" t="s">
        <v>149</v>
      </c>
      <c r="B137" s="171">
        <f t="shared" ca="1" si="69"/>
        <v>317</v>
      </c>
      <c r="C137" s="166" t="str">
        <f t="shared" si="65"/>
        <v>OPERATING EXPENSES PERSONAL PROPERTY TAXES</v>
      </c>
      <c r="D137" s="166" t="str">
        <f t="shared" si="66"/>
        <v>PERSONAL PROPERTY TAXES</v>
      </c>
      <c r="E137" s="166" t="str">
        <f t="shared" si="67"/>
        <v>OPERATING EXPENSES</v>
      </c>
      <c r="F137" s="166" t="str">
        <f t="shared" si="68"/>
        <v>630535</v>
      </c>
      <c r="H137" s="134" t="s">
        <v>319</v>
      </c>
      <c r="I137" s="134" t="s">
        <v>320</v>
      </c>
      <c r="J137" s="132">
        <v>131.21</v>
      </c>
      <c r="K137" s="132">
        <v>1735.3</v>
      </c>
      <c r="L137" s="132">
        <v>290.77</v>
      </c>
      <c r="M137" s="132">
        <v>294.31</v>
      </c>
      <c r="N137" s="132">
        <v>294.31</v>
      </c>
      <c r="O137" s="132">
        <v>294.31</v>
      </c>
      <c r="P137" s="132">
        <v>294.31</v>
      </c>
      <c r="Q137" s="132">
        <v>294.31</v>
      </c>
      <c r="R137" s="132">
        <v>294.31</v>
      </c>
      <c r="S137" s="132">
        <v>294.31</v>
      </c>
      <c r="T137" s="132">
        <v>294.31</v>
      </c>
      <c r="U137" s="132">
        <v>-571.11</v>
      </c>
      <c r="V137" s="132">
        <v>458.32</v>
      </c>
      <c r="W137" s="132">
        <v>457.86</v>
      </c>
      <c r="X137" s="132">
        <v>457.86</v>
      </c>
      <c r="Y137" s="132">
        <v>457.86</v>
      </c>
      <c r="Z137" s="132">
        <v>457.86</v>
      </c>
      <c r="AA137" s="132">
        <v>457.86</v>
      </c>
      <c r="AB137" s="132">
        <v>457.86</v>
      </c>
      <c r="AC137" s="132">
        <v>460.88</v>
      </c>
      <c r="AD137" s="132">
        <v>458.56</v>
      </c>
      <c r="AE137" s="132">
        <v>454.72</v>
      </c>
      <c r="AF137" s="132">
        <v>458.44</v>
      </c>
      <c r="AG137" s="132">
        <v>-2429.98</v>
      </c>
      <c r="AH137" s="132">
        <v>208.44</v>
      </c>
      <c r="AI137" s="132">
        <v>208.44</v>
      </c>
      <c r="AJ137" s="132">
        <v>208.44</v>
      </c>
      <c r="AK137" s="132">
        <v>207.19</v>
      </c>
      <c r="AL137" s="132">
        <v>207.19</v>
      </c>
      <c r="AM137" s="132">
        <v>209.8</v>
      </c>
    </row>
    <row r="138" spans="1:39" ht="13.8" outlineLevel="1">
      <c r="A138" s="142" t="s">
        <v>149</v>
      </c>
      <c r="B138" s="171">
        <f t="shared" ca="1" si="69"/>
        <v>317</v>
      </c>
      <c r="C138" s="166" t="str">
        <f t="shared" si="65"/>
        <v>OPERATING EXPENSES SALES &amp; USE TAX</v>
      </c>
      <c r="D138" s="166" t="str">
        <f t="shared" si="66"/>
        <v>SALES &amp; USE TAX</v>
      </c>
      <c r="E138" s="166" t="str">
        <f t="shared" si="67"/>
        <v>OPERATING EXPENSES</v>
      </c>
      <c r="F138" s="166" t="str">
        <f t="shared" si="68"/>
        <v>630552</v>
      </c>
      <c r="H138" s="134" t="s">
        <v>321</v>
      </c>
      <c r="I138" s="134" t="s">
        <v>322</v>
      </c>
      <c r="J138" s="132">
        <v>0</v>
      </c>
      <c r="K138" s="132">
        <v>0</v>
      </c>
      <c r="L138" s="132">
        <v>0</v>
      </c>
      <c r="M138" s="132">
        <v>0</v>
      </c>
      <c r="N138" s="132">
        <v>0</v>
      </c>
      <c r="O138" s="132">
        <v>0</v>
      </c>
      <c r="P138" s="132">
        <v>0</v>
      </c>
      <c r="Q138" s="132">
        <v>0</v>
      </c>
      <c r="R138" s="132">
        <v>0</v>
      </c>
      <c r="S138" s="132">
        <v>0</v>
      </c>
      <c r="T138" s="132">
        <v>0</v>
      </c>
      <c r="U138" s="132">
        <v>0</v>
      </c>
      <c r="V138" s="132">
        <v>0</v>
      </c>
      <c r="W138" s="132">
        <v>0</v>
      </c>
      <c r="X138" s="132">
        <v>0</v>
      </c>
      <c r="Y138" s="132">
        <v>0</v>
      </c>
      <c r="Z138" s="132">
        <v>0</v>
      </c>
      <c r="AA138" s="132">
        <v>0</v>
      </c>
      <c r="AB138" s="132">
        <v>0</v>
      </c>
      <c r="AC138" s="132">
        <v>0</v>
      </c>
      <c r="AD138" s="132">
        <v>1</v>
      </c>
      <c r="AE138" s="132">
        <v>61.230000000000004</v>
      </c>
      <c r="AF138" s="132">
        <v>0</v>
      </c>
      <c r="AG138" s="132">
        <v>0</v>
      </c>
      <c r="AH138" s="132">
        <v>0</v>
      </c>
      <c r="AI138" s="132">
        <v>0</v>
      </c>
      <c r="AJ138" s="132">
        <v>0</v>
      </c>
      <c r="AK138" s="132">
        <v>63.04</v>
      </c>
      <c r="AL138" s="132">
        <v>0</v>
      </c>
      <c r="AM138" s="132">
        <v>0</v>
      </c>
    </row>
    <row r="139" spans="1:39" ht="13.8" outlineLevel="1">
      <c r="A139" s="142" t="s">
        <v>149</v>
      </c>
      <c r="B139" s="171">
        <f t="shared" ca="1" si="69"/>
        <v>316</v>
      </c>
      <c r="C139" s="166" t="str">
        <f t="shared" si="65"/>
        <v>OPERATING EXPENSES INSURANCE - PROPERTY/OTHER</v>
      </c>
      <c r="D139" s="166" t="str">
        <f t="shared" si="66"/>
        <v>INSURANCE - PROPERTY/OTHER</v>
      </c>
      <c r="E139" s="166" t="str">
        <f t="shared" si="67"/>
        <v>OPERATING EXPENSES</v>
      </c>
      <c r="F139" s="166" t="str">
        <f t="shared" si="68"/>
        <v>630610</v>
      </c>
      <c r="H139" s="134" t="s">
        <v>323</v>
      </c>
      <c r="I139" s="134" t="s">
        <v>324</v>
      </c>
      <c r="J139" s="132">
        <v>172.83</v>
      </c>
      <c r="K139" s="132">
        <v>172.83</v>
      </c>
      <c r="L139" s="132">
        <v>172.83</v>
      </c>
      <c r="M139" s="132">
        <v>172.83</v>
      </c>
      <c r="N139" s="132">
        <v>172.83</v>
      </c>
      <c r="O139" s="132">
        <v>172.83</v>
      </c>
      <c r="P139" s="132">
        <v>172.83</v>
      </c>
      <c r="Q139" s="132">
        <v>172.83</v>
      </c>
      <c r="R139" s="132">
        <v>172.83</v>
      </c>
      <c r="S139" s="132">
        <v>172.83</v>
      </c>
      <c r="T139" s="132">
        <v>172.83</v>
      </c>
      <c r="U139" s="132">
        <v>172.83</v>
      </c>
      <c r="V139" s="132">
        <v>173.08</v>
      </c>
      <c r="W139" s="132">
        <v>173.08</v>
      </c>
      <c r="X139" s="132">
        <v>173.08</v>
      </c>
      <c r="Y139" s="132">
        <v>173.08</v>
      </c>
      <c r="Z139" s="132">
        <v>173.08</v>
      </c>
      <c r="AA139" s="132">
        <v>173.08</v>
      </c>
      <c r="AB139" s="132">
        <v>173.08</v>
      </c>
      <c r="AC139" s="132">
        <v>173.08</v>
      </c>
      <c r="AD139" s="132">
        <v>173.08</v>
      </c>
      <c r="AE139" s="132">
        <v>173.08</v>
      </c>
      <c r="AF139" s="132">
        <v>173.08</v>
      </c>
      <c r="AG139" s="132">
        <v>173.08</v>
      </c>
      <c r="AH139" s="132">
        <v>264</v>
      </c>
      <c r="AI139" s="132">
        <v>264</v>
      </c>
      <c r="AJ139" s="132">
        <v>264</v>
      </c>
      <c r="AK139" s="132">
        <v>264</v>
      </c>
      <c r="AL139" s="132">
        <v>264</v>
      </c>
      <c r="AM139" s="132">
        <v>264</v>
      </c>
    </row>
    <row r="140" spans="1:39" ht="13.8" outlineLevel="1">
      <c r="A140" s="142" t="s">
        <v>149</v>
      </c>
      <c r="B140" s="171">
        <f t="shared" ca="1" si="69"/>
        <v>316</v>
      </c>
      <c r="C140" s="166" t="str">
        <f t="shared" si="65"/>
        <v>OPERATING EXPENSES INSURANCE-AUTOMOBILE</v>
      </c>
      <c r="D140" s="166" t="str">
        <f t="shared" si="66"/>
        <v>INSURANCE-AUTOMOBILE</v>
      </c>
      <c r="E140" s="166" t="str">
        <f t="shared" si="67"/>
        <v>OPERATING EXPENSES</v>
      </c>
      <c r="F140" s="166" t="str">
        <f t="shared" si="68"/>
        <v>630615</v>
      </c>
      <c r="H140" s="134" t="s">
        <v>325</v>
      </c>
      <c r="I140" s="134" t="s">
        <v>326</v>
      </c>
      <c r="J140" s="132">
        <v>175.08</v>
      </c>
      <c r="K140" s="132">
        <v>175.08</v>
      </c>
      <c r="L140" s="132">
        <v>175.08</v>
      </c>
      <c r="M140" s="132">
        <v>175.08</v>
      </c>
      <c r="N140" s="132">
        <v>175.08</v>
      </c>
      <c r="O140" s="132">
        <v>175.08</v>
      </c>
      <c r="P140" s="132">
        <v>175.08</v>
      </c>
      <c r="Q140" s="132">
        <v>175.08</v>
      </c>
      <c r="R140" s="132">
        <v>175.08</v>
      </c>
      <c r="S140" s="132">
        <v>175.08</v>
      </c>
      <c r="T140" s="132">
        <v>175.08</v>
      </c>
      <c r="U140" s="132">
        <v>175.08</v>
      </c>
      <c r="V140" s="132">
        <v>175.33</v>
      </c>
      <c r="W140" s="132">
        <v>175.33</v>
      </c>
      <c r="X140" s="132">
        <v>175.33</v>
      </c>
      <c r="Y140" s="132">
        <v>175.33</v>
      </c>
      <c r="Z140" s="132">
        <v>175.33</v>
      </c>
      <c r="AA140" s="132">
        <v>175.33</v>
      </c>
      <c r="AB140" s="132">
        <v>175.33</v>
      </c>
      <c r="AC140" s="132">
        <v>175.33</v>
      </c>
      <c r="AD140" s="132">
        <v>175.33</v>
      </c>
      <c r="AE140" s="132">
        <v>175.33</v>
      </c>
      <c r="AF140" s="132">
        <v>175.33</v>
      </c>
      <c r="AG140" s="132">
        <v>175.33</v>
      </c>
      <c r="AH140" s="132">
        <v>212</v>
      </c>
      <c r="AI140" s="132">
        <v>212</v>
      </c>
      <c r="AJ140" s="132">
        <v>212</v>
      </c>
      <c r="AK140" s="132">
        <v>212</v>
      </c>
      <c r="AL140" s="132">
        <v>212</v>
      </c>
      <c r="AM140" s="132">
        <v>212</v>
      </c>
    </row>
    <row r="141" spans="1:39" ht="13.8" outlineLevel="1">
      <c r="A141" s="142" t="s">
        <v>149</v>
      </c>
      <c r="B141" s="171">
        <f t="shared" ca="1" si="69"/>
        <v>316</v>
      </c>
      <c r="C141" s="166" t="str">
        <f t="shared" si="65"/>
        <v>OPERATING EXPENSES INSURANCE-OTHER</v>
      </c>
      <c r="D141" s="166" t="str">
        <f t="shared" si="66"/>
        <v>INSURANCE-OTHER</v>
      </c>
      <c r="E141" s="166" t="str">
        <f t="shared" si="67"/>
        <v>OPERATING EXPENSES</v>
      </c>
      <c r="F141" s="166" t="str">
        <f t="shared" si="68"/>
        <v>630630</v>
      </c>
      <c r="H141" s="134" t="s">
        <v>327</v>
      </c>
      <c r="I141" s="134" t="s">
        <v>328</v>
      </c>
      <c r="J141" s="132">
        <v>0</v>
      </c>
      <c r="K141" s="132">
        <v>0</v>
      </c>
      <c r="L141" s="132">
        <v>0</v>
      </c>
      <c r="M141" s="132">
        <v>0</v>
      </c>
      <c r="N141" s="132">
        <v>0</v>
      </c>
      <c r="O141" s="132">
        <v>400</v>
      </c>
      <c r="P141" s="132">
        <v>0</v>
      </c>
      <c r="Q141" s="132">
        <v>0</v>
      </c>
      <c r="R141" s="132">
        <v>0</v>
      </c>
      <c r="S141" s="132">
        <v>0</v>
      </c>
      <c r="T141" s="132">
        <v>0</v>
      </c>
      <c r="U141" s="132">
        <v>0</v>
      </c>
      <c r="V141" s="132">
        <v>0</v>
      </c>
      <c r="W141" s="132">
        <v>0</v>
      </c>
      <c r="X141" s="132">
        <v>0</v>
      </c>
      <c r="Y141" s="132">
        <v>0</v>
      </c>
      <c r="Z141" s="132">
        <v>0</v>
      </c>
      <c r="AA141" s="132">
        <v>400</v>
      </c>
      <c r="AB141" s="132">
        <v>0</v>
      </c>
      <c r="AC141" s="132">
        <v>0</v>
      </c>
      <c r="AD141" s="132">
        <v>0</v>
      </c>
      <c r="AE141" s="132">
        <v>0</v>
      </c>
      <c r="AF141" s="132">
        <v>0</v>
      </c>
      <c r="AG141" s="132">
        <v>0</v>
      </c>
      <c r="AH141" s="132">
        <v>0</v>
      </c>
      <c r="AI141" s="132">
        <v>-284</v>
      </c>
      <c r="AJ141" s="132">
        <v>0</v>
      </c>
      <c r="AK141" s="132">
        <v>0</v>
      </c>
      <c r="AL141" s="132">
        <v>350</v>
      </c>
      <c r="AM141" s="132">
        <v>250</v>
      </c>
    </row>
    <row r="142" spans="1:39" ht="13.8" outlineLevel="1">
      <c r="A142" s="142" t="s">
        <v>149</v>
      </c>
      <c r="B142" s="171">
        <f t="shared" ca="1" si="69"/>
        <v>311.3</v>
      </c>
      <c r="C142" s="166" t="str">
        <f t="shared" si="65"/>
        <v>OPERATING EXPENSES EMPLOYEE HIRING/MOVING</v>
      </c>
      <c r="D142" s="166" t="str">
        <f t="shared" si="66"/>
        <v>EMPLOYEE HIRING/MOVING</v>
      </c>
      <c r="E142" s="166" t="str">
        <f t="shared" si="67"/>
        <v>OPERATING EXPENSES</v>
      </c>
      <c r="F142" s="166" t="str">
        <f t="shared" si="68"/>
        <v>630700</v>
      </c>
      <c r="H142" s="134" t="s">
        <v>329</v>
      </c>
      <c r="I142" s="134" t="s">
        <v>330</v>
      </c>
      <c r="J142" s="132">
        <v>1797.8</v>
      </c>
      <c r="K142" s="132">
        <v>0</v>
      </c>
      <c r="L142" s="132">
        <v>0</v>
      </c>
      <c r="M142" s="132">
        <v>695.64</v>
      </c>
      <c r="N142" s="132">
        <v>1299.77</v>
      </c>
      <c r="O142" s="132">
        <v>0</v>
      </c>
      <c r="P142" s="132">
        <v>0</v>
      </c>
      <c r="Q142" s="132">
        <v>1455.57</v>
      </c>
      <c r="R142" s="132">
        <v>0</v>
      </c>
      <c r="S142" s="132">
        <v>846.04</v>
      </c>
      <c r="T142" s="132">
        <v>1500</v>
      </c>
      <c r="U142" s="132">
        <v>1788.6100000000001</v>
      </c>
      <c r="V142" s="132">
        <v>1909.47</v>
      </c>
      <c r="W142" s="132">
        <v>3720.6</v>
      </c>
      <c r="X142" s="132">
        <v>0</v>
      </c>
      <c r="Y142" s="132">
        <v>1409.19</v>
      </c>
      <c r="Z142" s="132">
        <v>0</v>
      </c>
      <c r="AA142" s="132">
        <v>2902.13</v>
      </c>
      <c r="AB142" s="132">
        <v>75</v>
      </c>
      <c r="AC142" s="132">
        <v>2008</v>
      </c>
      <c r="AD142" s="132">
        <v>2778.02</v>
      </c>
      <c r="AE142" s="132">
        <v>0</v>
      </c>
      <c r="AF142" s="132">
        <v>0</v>
      </c>
      <c r="AG142" s="132">
        <v>0</v>
      </c>
      <c r="AH142" s="132">
        <v>2652.03</v>
      </c>
      <c r="AI142" s="132">
        <v>51.38</v>
      </c>
      <c r="AJ142" s="132">
        <v>75</v>
      </c>
      <c r="AK142" s="132">
        <v>742.04</v>
      </c>
      <c r="AL142" s="132">
        <v>0</v>
      </c>
      <c r="AM142" s="132">
        <v>4000</v>
      </c>
    </row>
    <row r="143" spans="1:39" ht="13.8" outlineLevel="1">
      <c r="A143" s="142" t="s">
        <v>149</v>
      </c>
      <c r="B143" s="171">
        <f t="shared" ca="1" si="69"/>
        <v>990</v>
      </c>
      <c r="C143" s="166" t="str">
        <f t="shared" si="65"/>
        <v>OPERATING EXPENSES BANK CHARGES</v>
      </c>
      <c r="D143" s="166" t="str">
        <f t="shared" si="66"/>
        <v>BANK CHARGES</v>
      </c>
      <c r="E143" s="166" t="str">
        <f t="shared" si="67"/>
        <v>OPERATING EXPENSES</v>
      </c>
      <c r="F143" s="166" t="str">
        <f t="shared" si="68"/>
        <v>630720</v>
      </c>
      <c r="H143" s="134" t="s">
        <v>331</v>
      </c>
      <c r="I143" s="134" t="s">
        <v>332</v>
      </c>
      <c r="J143" s="132">
        <v>0</v>
      </c>
      <c r="K143" s="132">
        <v>0</v>
      </c>
      <c r="L143" s="132">
        <v>0</v>
      </c>
      <c r="M143" s="132">
        <v>0.8</v>
      </c>
      <c r="N143" s="132">
        <v>-0.8</v>
      </c>
      <c r="O143" s="132">
        <v>0</v>
      </c>
      <c r="P143" s="132">
        <v>0</v>
      </c>
      <c r="Q143" s="132">
        <v>0.36</v>
      </c>
      <c r="R143" s="132">
        <v>-0.36</v>
      </c>
      <c r="S143" s="132">
        <v>0</v>
      </c>
      <c r="T143" s="132">
        <v>0</v>
      </c>
      <c r="U143" s="132">
        <v>0</v>
      </c>
      <c r="V143" s="132">
        <v>-0.08</v>
      </c>
      <c r="W143" s="132">
        <v>0</v>
      </c>
      <c r="X143" s="132">
        <v>0</v>
      </c>
      <c r="Y143" s="132">
        <v>0</v>
      </c>
      <c r="Z143" s="132">
        <v>0</v>
      </c>
      <c r="AA143" s="132">
        <v>0</v>
      </c>
      <c r="AB143" s="132">
        <v>0</v>
      </c>
      <c r="AC143" s="132">
        <v>0</v>
      </c>
      <c r="AD143" s="132">
        <v>0</v>
      </c>
      <c r="AE143" s="132">
        <v>0</v>
      </c>
      <c r="AF143" s="132">
        <v>0</v>
      </c>
      <c r="AG143" s="132">
        <v>0</v>
      </c>
      <c r="AH143" s="132">
        <v>0</v>
      </c>
      <c r="AI143" s="132">
        <v>0</v>
      </c>
      <c r="AJ143" s="132">
        <v>-0.47000000000000003</v>
      </c>
      <c r="AK143" s="132">
        <v>0</v>
      </c>
      <c r="AL143" s="132">
        <v>0</v>
      </c>
      <c r="AM143" s="132">
        <v>0</v>
      </c>
    </row>
    <row r="144" spans="1:39" ht="13.8" outlineLevel="1">
      <c r="A144" s="142" t="s">
        <v>149</v>
      </c>
      <c r="B144" s="171">
        <f t="shared" ca="1" si="69"/>
        <v>311.3</v>
      </c>
      <c r="C144" s="166" t="str">
        <f t="shared" si="65"/>
        <v>OPERATING EXPENSES DUES/SUBSCRIPTIONS</v>
      </c>
      <c r="D144" s="166" t="str">
        <f t="shared" si="66"/>
        <v>DUES/SUBSCRIPTIONS</v>
      </c>
      <c r="E144" s="166" t="str">
        <f t="shared" si="67"/>
        <v>OPERATING EXPENSES</v>
      </c>
      <c r="F144" s="166" t="str">
        <f t="shared" si="68"/>
        <v>630730</v>
      </c>
      <c r="H144" s="134" t="s">
        <v>333</v>
      </c>
      <c r="I144" s="134" t="s">
        <v>334</v>
      </c>
      <c r="J144" s="132">
        <v>989.88</v>
      </c>
      <c r="K144" s="132">
        <v>722.91</v>
      </c>
      <c r="L144" s="132">
        <v>1247.9100000000001</v>
      </c>
      <c r="M144" s="132">
        <v>722.91</v>
      </c>
      <c r="N144" s="132">
        <v>722.91</v>
      </c>
      <c r="O144" s="132">
        <v>722.91</v>
      </c>
      <c r="P144" s="132">
        <v>722.91</v>
      </c>
      <c r="Q144" s="132">
        <v>831.88</v>
      </c>
      <c r="R144" s="132">
        <v>0</v>
      </c>
      <c r="S144" s="132">
        <v>0</v>
      </c>
      <c r="T144" s="132">
        <v>267</v>
      </c>
      <c r="U144" s="132">
        <v>0</v>
      </c>
      <c r="V144" s="132">
        <v>594.35</v>
      </c>
      <c r="W144" s="132">
        <v>1019.35</v>
      </c>
      <c r="X144" s="132">
        <v>494.35</v>
      </c>
      <c r="Y144" s="132">
        <v>494.35</v>
      </c>
      <c r="Z144" s="132">
        <v>494.35</v>
      </c>
      <c r="AA144" s="132">
        <v>494.35</v>
      </c>
      <c r="AB144" s="132">
        <v>494.35</v>
      </c>
      <c r="AC144" s="132">
        <v>494.35</v>
      </c>
      <c r="AD144" s="132">
        <v>494.35</v>
      </c>
      <c r="AE144" s="132">
        <v>494.35</v>
      </c>
      <c r="AF144" s="132">
        <v>494.35</v>
      </c>
      <c r="AG144" s="132">
        <v>494.39</v>
      </c>
      <c r="AH144" s="132">
        <v>494.39</v>
      </c>
      <c r="AI144" s="132">
        <v>1019.39</v>
      </c>
      <c r="AJ144" s="132">
        <v>494.39</v>
      </c>
      <c r="AK144" s="132">
        <v>494.39</v>
      </c>
      <c r="AL144" s="132">
        <v>494.39</v>
      </c>
      <c r="AM144" s="132">
        <v>494.39</v>
      </c>
    </row>
    <row r="145" spans="1:39" ht="13.8" outlineLevel="1">
      <c r="A145" s="142" t="s">
        <v>149</v>
      </c>
      <c r="B145" s="171">
        <f t="shared" ca="1" si="69"/>
        <v>311.3</v>
      </c>
      <c r="C145" s="166" t="str">
        <f t="shared" si="65"/>
        <v>OPERATING EXPENSES EMPLOYEE PATIENT LOSS FUND</v>
      </c>
      <c r="D145" s="166" t="str">
        <f t="shared" si="66"/>
        <v>EMPLOYEE PATIENT LOSS FUND</v>
      </c>
      <c r="E145" s="166" t="str">
        <f t="shared" si="67"/>
        <v>OPERATING EXPENSES</v>
      </c>
      <c r="F145" s="166" t="str">
        <f t="shared" si="68"/>
        <v>630740</v>
      </c>
      <c r="H145" s="134" t="s">
        <v>335</v>
      </c>
      <c r="I145" s="134" t="s">
        <v>336</v>
      </c>
      <c r="J145" s="132">
        <v>0</v>
      </c>
      <c r="K145" s="132">
        <v>0</v>
      </c>
      <c r="L145" s="132">
        <v>0</v>
      </c>
      <c r="M145" s="132">
        <v>0</v>
      </c>
      <c r="N145" s="132">
        <v>0</v>
      </c>
      <c r="O145" s="132">
        <v>87.570000000000007</v>
      </c>
      <c r="P145" s="132">
        <v>99.43</v>
      </c>
      <c r="Q145" s="132">
        <v>-48.67</v>
      </c>
      <c r="R145" s="132">
        <v>0</v>
      </c>
      <c r="S145" s="132">
        <v>0</v>
      </c>
      <c r="T145" s="132">
        <v>0</v>
      </c>
      <c r="U145" s="132">
        <v>0</v>
      </c>
      <c r="V145" s="132">
        <v>0</v>
      </c>
      <c r="W145" s="132">
        <v>0</v>
      </c>
      <c r="X145" s="132">
        <v>0</v>
      </c>
      <c r="Y145" s="132">
        <v>0</v>
      </c>
      <c r="Z145" s="132">
        <v>0</v>
      </c>
      <c r="AA145" s="132">
        <v>0</v>
      </c>
      <c r="AB145" s="132">
        <v>0</v>
      </c>
      <c r="AC145" s="132">
        <v>0</v>
      </c>
      <c r="AD145" s="132">
        <v>0</v>
      </c>
      <c r="AE145" s="132">
        <v>0</v>
      </c>
      <c r="AF145" s="132">
        <v>0</v>
      </c>
      <c r="AG145" s="132">
        <v>0</v>
      </c>
      <c r="AH145" s="132">
        <v>0</v>
      </c>
      <c r="AI145" s="132">
        <v>0</v>
      </c>
      <c r="AJ145" s="132">
        <v>420</v>
      </c>
      <c r="AK145" s="132">
        <v>0</v>
      </c>
      <c r="AL145" s="132">
        <v>0</v>
      </c>
      <c r="AM145" s="132">
        <v>0</v>
      </c>
    </row>
    <row r="146" spans="1:39" ht="13.8" outlineLevel="1">
      <c r="A146" s="142" t="s">
        <v>149</v>
      </c>
      <c r="B146" s="171">
        <f t="shared" ca="1" si="69"/>
        <v>321</v>
      </c>
      <c r="C146" s="166" t="str">
        <f t="shared" si="65"/>
        <v>OPERATING EXPENSES PENALTIES</v>
      </c>
      <c r="D146" s="166" t="str">
        <f t="shared" si="66"/>
        <v>PENALTIES</v>
      </c>
      <c r="E146" s="166" t="str">
        <f t="shared" si="67"/>
        <v>OPERATING EXPENSES</v>
      </c>
      <c r="F146" s="166" t="str">
        <f t="shared" si="68"/>
        <v>630755</v>
      </c>
      <c r="H146" s="134" t="s">
        <v>337</v>
      </c>
      <c r="I146" s="134" t="s">
        <v>338</v>
      </c>
      <c r="J146" s="132">
        <v>0</v>
      </c>
      <c r="K146" s="132">
        <v>0</v>
      </c>
      <c r="L146" s="132">
        <v>0</v>
      </c>
      <c r="M146" s="132">
        <v>0</v>
      </c>
      <c r="N146" s="132">
        <v>0</v>
      </c>
      <c r="O146" s="132">
        <v>0</v>
      </c>
      <c r="P146" s="132">
        <v>0</v>
      </c>
      <c r="Q146" s="132">
        <v>0</v>
      </c>
      <c r="R146" s="132">
        <v>0</v>
      </c>
      <c r="S146" s="132">
        <v>0</v>
      </c>
      <c r="T146" s="132">
        <v>0</v>
      </c>
      <c r="U146" s="132">
        <v>0</v>
      </c>
      <c r="V146" s="132">
        <v>0</v>
      </c>
      <c r="W146" s="132">
        <v>0</v>
      </c>
      <c r="X146" s="132">
        <v>3.0500000000000003</v>
      </c>
      <c r="Y146" s="132">
        <v>0</v>
      </c>
      <c r="Z146" s="132">
        <v>0</v>
      </c>
      <c r="AA146" s="132">
        <v>0</v>
      </c>
      <c r="AB146" s="132">
        <v>0</v>
      </c>
      <c r="AC146" s="132">
        <v>0</v>
      </c>
      <c r="AD146" s="132">
        <v>0</v>
      </c>
      <c r="AE146" s="132">
        <v>0</v>
      </c>
      <c r="AF146" s="132">
        <v>0</v>
      </c>
      <c r="AG146" s="132">
        <v>6.03</v>
      </c>
      <c r="AH146" s="132">
        <v>0</v>
      </c>
      <c r="AI146" s="132">
        <v>0</v>
      </c>
      <c r="AJ146" s="132">
        <v>0</v>
      </c>
      <c r="AK146" s="132">
        <v>0</v>
      </c>
      <c r="AL146" s="132">
        <v>0</v>
      </c>
      <c r="AM146" s="132">
        <v>0</v>
      </c>
    </row>
    <row r="147" spans="1:39" ht="13.8" outlineLevel="1">
      <c r="A147" s="142" t="s">
        <v>149</v>
      </c>
      <c r="B147" s="171">
        <f t="shared" ca="1" si="69"/>
        <v>320</v>
      </c>
      <c r="C147" s="166" t="str">
        <f t="shared" si="65"/>
        <v>OPERATING EXPENSES PROVISION FOR BAD DEBT</v>
      </c>
      <c r="D147" s="166" t="str">
        <f t="shared" si="66"/>
        <v>PROVISION FOR BAD DEBT</v>
      </c>
      <c r="E147" s="166" t="str">
        <f t="shared" si="67"/>
        <v>OPERATING EXPENSES</v>
      </c>
      <c r="F147" s="166" t="str">
        <f t="shared" si="68"/>
        <v>630760</v>
      </c>
      <c r="H147" s="134" t="s">
        <v>339</v>
      </c>
      <c r="I147" s="134" t="s">
        <v>340</v>
      </c>
      <c r="J147" s="132">
        <v>4065.39</v>
      </c>
      <c r="K147" s="132">
        <v>2400.54</v>
      </c>
      <c r="L147" s="132">
        <v>2185.48</v>
      </c>
      <c r="M147" s="132">
        <v>1808.81</v>
      </c>
      <c r="N147" s="132">
        <v>3952.98</v>
      </c>
      <c r="O147" s="132">
        <v>2684.43</v>
      </c>
      <c r="P147" s="132">
        <v>-173.3</v>
      </c>
      <c r="Q147" s="132">
        <v>807.46</v>
      </c>
      <c r="R147" s="132">
        <v>-2679.31</v>
      </c>
      <c r="S147" s="132">
        <v>-3494.17</v>
      </c>
      <c r="T147" s="132">
        <v>-923.79</v>
      </c>
      <c r="U147" s="132">
        <v>-2297.4500000000003</v>
      </c>
      <c r="V147" s="132">
        <v>10555.300000000001</v>
      </c>
      <c r="W147" s="132">
        <v>-589.55000000000007</v>
      </c>
      <c r="X147" s="132">
        <v>4017.57</v>
      </c>
      <c r="Y147" s="132">
        <v>6108.43</v>
      </c>
      <c r="Z147" s="132">
        <v>7464.6100000000006</v>
      </c>
      <c r="AA147" s="132">
        <v>6156.77</v>
      </c>
      <c r="AB147" s="132">
        <v>6988.03</v>
      </c>
      <c r="AC147" s="132">
        <v>7849.16</v>
      </c>
      <c r="AD147" s="132">
        <v>0</v>
      </c>
      <c r="AE147" s="132">
        <v>8018.22</v>
      </c>
      <c r="AF147" s="132">
        <v>5080.05</v>
      </c>
      <c r="AG147" s="132">
        <v>5858.74</v>
      </c>
      <c r="AH147" s="132">
        <v>6929.6</v>
      </c>
      <c r="AI147" s="132">
        <v>6602.58</v>
      </c>
      <c r="AJ147" s="132">
        <v>6802.92</v>
      </c>
      <c r="AK147" s="132">
        <v>5531.05</v>
      </c>
      <c r="AL147" s="132">
        <v>5801.9800000000005</v>
      </c>
      <c r="AM147" s="132">
        <v>5883.4400000000005</v>
      </c>
    </row>
    <row r="148" spans="1:39" ht="13.8" outlineLevel="1">
      <c r="A148" s="142" t="s">
        <v>149</v>
      </c>
      <c r="B148" s="171">
        <f t="shared" ca="1" si="69"/>
        <v>320</v>
      </c>
      <c r="C148" s="166" t="str">
        <f t="shared" ref="C148:C154" si="70">IF(LEN(D148)&gt;0,TRIM(E148&amp;" "&amp;D148),"")</f>
        <v>OPERATING EXPENSES BAD DEBT PART B CO-INS</v>
      </c>
      <c r="D148" s="166" t="str">
        <f t="shared" ref="D148:D153" si="71">IFERROR(IF(AND(LEN(A148)&gt;0,A148&lt;&gt;"GROUP"),UPPER(H148),""),"")</f>
        <v>BAD DEBT PART B CO-INS</v>
      </c>
      <c r="E148" s="166" t="str">
        <f t="shared" ref="E148:E153" si="72">IFERROR(IF(A148="GROUP",UPPER(H148),IF(AND(LEN(A148)&gt;0,A148&lt;&gt;"GROUP"),UPPER(E147),"")),"")</f>
        <v>OPERATING EXPENSES</v>
      </c>
      <c r="F148" s="166" t="str">
        <f t="shared" si="68"/>
        <v>630762</v>
      </c>
      <c r="H148" s="134" t="s">
        <v>341</v>
      </c>
      <c r="I148" s="134" t="s">
        <v>342</v>
      </c>
      <c r="J148" s="132">
        <v>6288.64</v>
      </c>
      <c r="K148" s="132">
        <v>6998.42</v>
      </c>
      <c r="L148" s="132">
        <v>7627.95</v>
      </c>
      <c r="M148" s="132">
        <v>7881.51</v>
      </c>
      <c r="N148" s="132">
        <v>6469.03</v>
      </c>
      <c r="O148" s="132">
        <v>6359.4000000000005</v>
      </c>
      <c r="P148" s="132">
        <v>8930.9600000000009</v>
      </c>
      <c r="Q148" s="132">
        <v>8189.51</v>
      </c>
      <c r="R148" s="132">
        <v>10736.87</v>
      </c>
      <c r="S148" s="132">
        <v>10702.7</v>
      </c>
      <c r="T148" s="132">
        <v>8196.0499999999993</v>
      </c>
      <c r="U148" s="132">
        <v>7149.79</v>
      </c>
      <c r="V148" s="132">
        <v>0</v>
      </c>
      <c r="W148" s="132">
        <v>0</v>
      </c>
      <c r="X148" s="132">
        <v>0</v>
      </c>
      <c r="Y148" s="132">
        <v>3227.52</v>
      </c>
      <c r="Z148" s="132">
        <v>-3227.52</v>
      </c>
      <c r="AA148" s="132">
        <v>0</v>
      </c>
      <c r="AB148" s="132">
        <v>0</v>
      </c>
      <c r="AC148" s="132">
        <v>0</v>
      </c>
      <c r="AD148" s="132">
        <v>0</v>
      </c>
      <c r="AE148" s="132">
        <v>0</v>
      </c>
      <c r="AF148" s="132">
        <v>0</v>
      </c>
      <c r="AG148" s="132">
        <v>0</v>
      </c>
      <c r="AH148" s="132">
        <v>-12.05</v>
      </c>
      <c r="AI148" s="132">
        <v>0</v>
      </c>
      <c r="AJ148" s="132">
        <v>725.58</v>
      </c>
      <c r="AK148" s="132">
        <v>0</v>
      </c>
      <c r="AL148" s="132">
        <v>0</v>
      </c>
      <c r="AM148" s="132">
        <v>0</v>
      </c>
    </row>
    <row r="149" spans="1:39" ht="13.8" outlineLevel="1">
      <c r="A149" s="142" t="s">
        <v>149</v>
      </c>
      <c r="B149" s="171">
        <f t="shared" ca="1" si="69"/>
        <v>311.3</v>
      </c>
      <c r="C149" s="166" t="str">
        <f t="shared" si="70"/>
        <v>OPERATING EXPENSES REFERRAL &amp; PHYSICIAN GIFTS</v>
      </c>
      <c r="D149" s="166" t="str">
        <f t="shared" si="71"/>
        <v>REFERRAL &amp; PHYSICIAN GIFTS</v>
      </c>
      <c r="E149" s="166" t="str">
        <f t="shared" si="72"/>
        <v>OPERATING EXPENSES</v>
      </c>
      <c r="F149" s="166" t="str">
        <f t="shared" si="68"/>
        <v>630767</v>
      </c>
      <c r="H149" s="134" t="s">
        <v>343</v>
      </c>
      <c r="I149" s="134" t="s">
        <v>344</v>
      </c>
      <c r="J149" s="132">
        <v>0</v>
      </c>
      <c r="K149" s="132">
        <v>0</v>
      </c>
      <c r="L149" s="132">
        <v>0</v>
      </c>
      <c r="M149" s="132">
        <v>0</v>
      </c>
      <c r="N149" s="132">
        <v>0</v>
      </c>
      <c r="O149" s="132">
        <v>0</v>
      </c>
      <c r="P149" s="132">
        <v>0</v>
      </c>
      <c r="Q149" s="132">
        <v>0</v>
      </c>
      <c r="R149" s="132">
        <v>0</v>
      </c>
      <c r="S149" s="132">
        <v>0</v>
      </c>
      <c r="T149" s="132">
        <v>0</v>
      </c>
      <c r="U149" s="132">
        <v>0</v>
      </c>
      <c r="V149" s="132">
        <v>0</v>
      </c>
      <c r="W149" s="132">
        <v>0</v>
      </c>
      <c r="X149" s="132">
        <v>0</v>
      </c>
      <c r="Y149" s="132">
        <v>0</v>
      </c>
      <c r="Z149" s="132">
        <v>0</v>
      </c>
      <c r="AA149" s="132">
        <v>0</v>
      </c>
      <c r="AB149" s="132">
        <v>0</v>
      </c>
      <c r="AC149" s="132">
        <v>0</v>
      </c>
      <c r="AD149" s="132">
        <v>0</v>
      </c>
      <c r="AE149" s="132">
        <v>0</v>
      </c>
      <c r="AF149" s="132">
        <v>0</v>
      </c>
      <c r="AG149" s="132">
        <v>66.710000000000008</v>
      </c>
      <c r="AH149" s="132">
        <v>0</v>
      </c>
      <c r="AI149" s="132">
        <v>0</v>
      </c>
      <c r="AJ149" s="132">
        <v>0</v>
      </c>
      <c r="AK149" s="132">
        <v>0</v>
      </c>
      <c r="AL149" s="132">
        <v>0</v>
      </c>
      <c r="AM149" s="132">
        <v>0</v>
      </c>
    </row>
    <row r="150" spans="1:39" ht="13.8" outlineLevel="1">
      <c r="A150" s="142" t="s">
        <v>149</v>
      </c>
      <c r="B150" s="171">
        <f t="shared" ca="1" si="69"/>
        <v>321</v>
      </c>
      <c r="C150" s="166" t="str">
        <f t="shared" si="70"/>
        <v>OPERATING EXPENSES SURVEY FINES</v>
      </c>
      <c r="D150" s="166" t="str">
        <f t="shared" si="71"/>
        <v>SURVEY FINES</v>
      </c>
      <c r="E150" s="166" t="str">
        <f t="shared" si="72"/>
        <v>OPERATING EXPENSES</v>
      </c>
      <c r="F150" s="166" t="str">
        <f t="shared" si="68"/>
        <v>630775</v>
      </c>
      <c r="H150" s="134" t="s">
        <v>345</v>
      </c>
      <c r="I150" s="134" t="s">
        <v>346</v>
      </c>
      <c r="J150" s="132">
        <v>70900</v>
      </c>
      <c r="K150" s="132">
        <v>0</v>
      </c>
      <c r="L150" s="132">
        <v>0</v>
      </c>
      <c r="M150" s="132">
        <v>33000</v>
      </c>
      <c r="N150" s="132">
        <v>0</v>
      </c>
      <c r="O150" s="132">
        <v>0</v>
      </c>
      <c r="P150" s="132">
        <v>-17725</v>
      </c>
      <c r="Q150" s="132">
        <v>0</v>
      </c>
      <c r="R150" s="132">
        <v>55250</v>
      </c>
      <c r="S150" s="132">
        <v>0</v>
      </c>
      <c r="T150" s="132">
        <v>0</v>
      </c>
      <c r="U150" s="132">
        <v>0</v>
      </c>
      <c r="V150" s="132">
        <v>0</v>
      </c>
      <c r="W150" s="132">
        <v>0</v>
      </c>
      <c r="X150" s="132">
        <v>0</v>
      </c>
      <c r="Y150" s="132">
        <v>0</v>
      </c>
      <c r="Z150" s="132">
        <v>0</v>
      </c>
      <c r="AA150" s="132">
        <v>0</v>
      </c>
      <c r="AB150" s="132">
        <v>0</v>
      </c>
      <c r="AC150" s="132">
        <v>0</v>
      </c>
      <c r="AD150" s="132">
        <v>0</v>
      </c>
      <c r="AE150" s="132">
        <v>0</v>
      </c>
      <c r="AF150" s="132">
        <v>0</v>
      </c>
      <c r="AG150" s="132">
        <v>0</v>
      </c>
      <c r="AH150" s="132">
        <v>0</v>
      </c>
      <c r="AI150" s="132">
        <v>0</v>
      </c>
      <c r="AJ150" s="132">
        <v>0</v>
      </c>
      <c r="AK150" s="132">
        <v>0</v>
      </c>
      <c r="AL150" s="132">
        <v>0</v>
      </c>
      <c r="AM150" s="132">
        <v>0</v>
      </c>
    </row>
    <row r="151" spans="1:39" ht="13.8" outlineLevel="1">
      <c r="A151" s="142" t="s">
        <v>149</v>
      </c>
      <c r="B151" s="171">
        <f t="shared" ca="1" si="69"/>
        <v>311.3</v>
      </c>
      <c r="C151" s="166" t="str">
        <f t="shared" si="70"/>
        <v>OPERATING EXPENSES BACKGROUND CHECKS</v>
      </c>
      <c r="D151" s="166" t="str">
        <f t="shared" si="71"/>
        <v>BACKGROUND CHECKS</v>
      </c>
      <c r="E151" s="166" t="str">
        <f t="shared" si="72"/>
        <v>OPERATING EXPENSES</v>
      </c>
      <c r="F151" s="166" t="str">
        <f t="shared" si="68"/>
        <v>630780</v>
      </c>
      <c r="H151" s="134" t="s">
        <v>347</v>
      </c>
      <c r="I151" s="134" t="s">
        <v>348</v>
      </c>
      <c r="J151" s="132">
        <v>-188.16</v>
      </c>
      <c r="K151" s="132">
        <v>51.64</v>
      </c>
      <c r="L151" s="132">
        <v>0</v>
      </c>
      <c r="M151" s="132">
        <v>0</v>
      </c>
      <c r="N151" s="132">
        <v>0</v>
      </c>
      <c r="O151" s="132">
        <v>0</v>
      </c>
      <c r="P151" s="132">
        <v>0</v>
      </c>
      <c r="Q151" s="132">
        <v>0</v>
      </c>
      <c r="R151" s="132">
        <v>0</v>
      </c>
      <c r="S151" s="132">
        <v>32.72</v>
      </c>
      <c r="T151" s="132">
        <v>0</v>
      </c>
      <c r="U151" s="132">
        <v>0</v>
      </c>
      <c r="V151" s="132">
        <v>0</v>
      </c>
      <c r="W151" s="132">
        <v>0</v>
      </c>
      <c r="X151" s="132">
        <v>0</v>
      </c>
      <c r="Y151" s="132">
        <v>0</v>
      </c>
      <c r="Z151" s="132">
        <v>0</v>
      </c>
      <c r="AA151" s="132">
        <v>0</v>
      </c>
      <c r="AB151" s="132">
        <v>51.38</v>
      </c>
      <c r="AC151" s="132">
        <v>0</v>
      </c>
      <c r="AD151" s="132">
        <v>0</v>
      </c>
      <c r="AE151" s="132">
        <v>0</v>
      </c>
      <c r="AF151" s="132">
        <v>0</v>
      </c>
      <c r="AG151" s="132">
        <v>0</v>
      </c>
      <c r="AH151" s="132">
        <v>0</v>
      </c>
      <c r="AI151" s="132">
        <v>0</v>
      </c>
      <c r="AJ151" s="132">
        <v>0</v>
      </c>
      <c r="AK151" s="132">
        <v>0</v>
      </c>
      <c r="AL151" s="132">
        <v>0</v>
      </c>
      <c r="AM151" s="132">
        <v>51.38</v>
      </c>
    </row>
    <row r="152" spans="1:39" ht="13.8" outlineLevel="1">
      <c r="A152" s="142" t="s">
        <v>149</v>
      </c>
      <c r="B152" s="171">
        <f t="shared" ca="1" si="69"/>
        <v>311.3</v>
      </c>
      <c r="C152" s="166" t="str">
        <f t="shared" si="70"/>
        <v>OPERATING EXPENSES ALLOCATED NON-WAGES</v>
      </c>
      <c r="D152" s="166" t="str">
        <f t="shared" si="71"/>
        <v>ALLOCATED NON-WAGES</v>
      </c>
      <c r="E152" s="166" t="str">
        <f t="shared" si="72"/>
        <v>OPERATING EXPENSES</v>
      </c>
      <c r="F152" s="166" t="str">
        <f t="shared" si="68"/>
        <v>630785</v>
      </c>
      <c r="H152" s="134" t="s">
        <v>349</v>
      </c>
      <c r="I152" s="134" t="s">
        <v>350</v>
      </c>
      <c r="J152" s="132">
        <v>104.51</v>
      </c>
      <c r="K152" s="132">
        <v>75.570000000000007</v>
      </c>
      <c r="L152" s="132">
        <v>217</v>
      </c>
      <c r="M152" s="132">
        <v>75.53</v>
      </c>
      <c r="N152" s="132">
        <v>87.02</v>
      </c>
      <c r="O152" s="132">
        <v>145.61000000000001</v>
      </c>
      <c r="P152" s="132">
        <v>127.04</v>
      </c>
      <c r="Q152" s="132">
        <v>101.84</v>
      </c>
      <c r="R152" s="132">
        <v>129.53</v>
      </c>
      <c r="S152" s="132">
        <v>71.25</v>
      </c>
      <c r="T152" s="132">
        <v>76.239999999999995</v>
      </c>
      <c r="U152" s="132">
        <v>81.540000000000006</v>
      </c>
      <c r="V152" s="132">
        <v>110.47</v>
      </c>
      <c r="W152" s="132">
        <v>81.53</v>
      </c>
      <c r="X152" s="132">
        <v>81.23</v>
      </c>
      <c r="Y152" s="132">
        <v>109.54</v>
      </c>
      <c r="Z152" s="132">
        <v>83.350000000000009</v>
      </c>
      <c r="AA152" s="132">
        <v>90.41</v>
      </c>
      <c r="AB152" s="132">
        <v>55.27</v>
      </c>
      <c r="AC152" s="132">
        <v>70.600000000000009</v>
      </c>
      <c r="AD152" s="132">
        <v>53.4</v>
      </c>
      <c r="AE152" s="132">
        <v>39.85</v>
      </c>
      <c r="AF152" s="132">
        <v>44.83</v>
      </c>
      <c r="AG152" s="132">
        <v>44.410000000000004</v>
      </c>
      <c r="AH152" s="132">
        <v>88.91</v>
      </c>
      <c r="AI152" s="132">
        <v>41.65</v>
      </c>
      <c r="AJ152" s="132">
        <v>112.16</v>
      </c>
      <c r="AK152" s="132">
        <v>62.940000000000005</v>
      </c>
      <c r="AL152" s="132">
        <v>76.41</v>
      </c>
      <c r="AM152" s="132">
        <v>77.42</v>
      </c>
    </row>
    <row r="153" spans="1:39" ht="13.8" outlineLevel="1">
      <c r="A153" s="142" t="s">
        <v>149</v>
      </c>
      <c r="B153" s="171">
        <f t="shared" ca="1" si="69"/>
        <v>318.3</v>
      </c>
      <c r="C153" s="166" t="str">
        <f t="shared" si="70"/>
        <v>OPERATING EXPENSES EQUIPMENT RENT</v>
      </c>
      <c r="D153" s="166" t="str">
        <f t="shared" si="71"/>
        <v>EQUIPMENT RENT</v>
      </c>
      <c r="E153" s="166" t="str">
        <f t="shared" si="72"/>
        <v>OPERATING EXPENSES</v>
      </c>
      <c r="F153" s="166" t="str">
        <f t="shared" ref="F153" si="73">TRIM(I153)</f>
        <v>632210</v>
      </c>
      <c r="H153" s="134" t="s">
        <v>351</v>
      </c>
      <c r="I153" s="134" t="s">
        <v>352</v>
      </c>
      <c r="J153" s="132">
        <v>1943.79</v>
      </c>
      <c r="K153" s="132">
        <v>1692.1000000000001</v>
      </c>
      <c r="L153" s="132">
        <v>2133.77</v>
      </c>
      <c r="M153" s="132">
        <v>1966.56</v>
      </c>
      <c r="N153" s="132">
        <v>1880.58</v>
      </c>
      <c r="O153" s="132">
        <v>2064.44</v>
      </c>
      <c r="P153" s="132">
        <v>2202.12</v>
      </c>
      <c r="Q153" s="132">
        <v>2911.7200000000003</v>
      </c>
      <c r="R153" s="132">
        <v>2991.16</v>
      </c>
      <c r="S153" s="132">
        <v>1336</v>
      </c>
      <c r="T153" s="132">
        <v>879.9</v>
      </c>
      <c r="U153" s="132">
        <v>1705.97</v>
      </c>
      <c r="V153" s="132">
        <v>1809.69</v>
      </c>
      <c r="W153" s="132">
        <v>1300.6100000000001</v>
      </c>
      <c r="X153" s="132">
        <v>2022.79</v>
      </c>
      <c r="Y153" s="132">
        <v>1951.3400000000001</v>
      </c>
      <c r="Z153" s="132">
        <v>925.54</v>
      </c>
      <c r="AA153" s="132">
        <v>1046.7</v>
      </c>
      <c r="AB153" s="132">
        <v>985.65</v>
      </c>
      <c r="AC153" s="132">
        <v>1493.98</v>
      </c>
      <c r="AD153" s="132">
        <v>1149.44</v>
      </c>
      <c r="AE153" s="132">
        <v>1037.53</v>
      </c>
      <c r="AF153" s="132">
        <v>733.66</v>
      </c>
      <c r="AG153" s="132">
        <v>884</v>
      </c>
      <c r="AH153" s="132">
        <v>1166.53</v>
      </c>
      <c r="AI153" s="132">
        <v>1124.32</v>
      </c>
      <c r="AJ153" s="132">
        <v>1226.1200000000001</v>
      </c>
      <c r="AK153" s="132">
        <v>1036.5999999999999</v>
      </c>
      <c r="AL153" s="132">
        <v>1185.73</v>
      </c>
      <c r="AM153" s="132">
        <v>2550.73</v>
      </c>
    </row>
    <row r="154" spans="1:39" ht="13.8">
      <c r="A154" s="195"/>
      <c r="B154" s="171" t="str">
        <f t="shared" ca="1" si="69"/>
        <v/>
      </c>
      <c r="C154" s="166" t="str">
        <f t="shared" si="70"/>
        <v/>
      </c>
      <c r="D154" s="166" t="str">
        <f t="shared" ref="D154:D155" si="74">IFERROR(IF(AND(LEN(A154)&gt;0,A154&lt;&gt;"GROUP"),UPPER(H154),""),"")</f>
        <v/>
      </c>
      <c r="E154" s="166" t="str">
        <f t="shared" ref="E154:E155" si="75">IFERROR(IF(A154="GROUP",UPPER(H154),IF(AND(LEN(A154)&gt;0,A154&lt;&gt;"GROUP"),UPPER(E153),"")),"")</f>
        <v/>
      </c>
      <c r="F154" s="166" t="str">
        <f t="shared" ref="F154:F155" si="76">TRIM(I154)</f>
        <v/>
      </c>
      <c r="G154" s="187"/>
      <c r="H154" s="138" t="s">
        <v>353</v>
      </c>
      <c r="J154" s="196">
        <v>252152.25999999998</v>
      </c>
      <c r="K154" s="196">
        <v>171407.71000000005</v>
      </c>
      <c r="L154" s="196">
        <v>168387.91000000006</v>
      </c>
      <c r="M154" s="196">
        <v>200581.38</v>
      </c>
      <c r="N154" s="196">
        <v>161443.9</v>
      </c>
      <c r="O154" s="196">
        <v>159713.28999999998</v>
      </c>
      <c r="P154" s="196">
        <v>142807.61999999997</v>
      </c>
      <c r="Q154" s="196">
        <v>164604.71999999991</v>
      </c>
      <c r="R154" s="196">
        <v>228214.66999999998</v>
      </c>
      <c r="S154" s="196">
        <v>169724.26</v>
      </c>
      <c r="T154" s="196">
        <v>142187.32999999999</v>
      </c>
      <c r="U154" s="196">
        <v>139187.74000000005</v>
      </c>
      <c r="V154" s="196">
        <v>122294.99000000003</v>
      </c>
      <c r="W154" s="196">
        <v>92978.420000000027</v>
      </c>
      <c r="X154" s="196">
        <v>109097.53</v>
      </c>
      <c r="Y154" s="196">
        <v>115044.21000000002</v>
      </c>
      <c r="Z154" s="196">
        <v>103744.80000000002</v>
      </c>
      <c r="AA154" s="196">
        <v>112033.66000000003</v>
      </c>
      <c r="AB154" s="196">
        <v>114358.28000000001</v>
      </c>
      <c r="AC154" s="196">
        <v>135070.37</v>
      </c>
      <c r="AD154" s="196">
        <v>111413.91000000005</v>
      </c>
      <c r="AE154" s="196">
        <v>124753.92000000003</v>
      </c>
      <c r="AF154" s="196">
        <v>112005.26000000001</v>
      </c>
      <c r="AG154" s="196">
        <v>114492.61000000002</v>
      </c>
      <c r="AH154" s="196">
        <v>156964.93000000008</v>
      </c>
      <c r="AI154" s="196">
        <v>194359.02000000002</v>
      </c>
      <c r="AJ154" s="196">
        <v>189288.80999999997</v>
      </c>
      <c r="AK154" s="196">
        <v>163722.16000000003</v>
      </c>
      <c r="AL154" s="196">
        <v>141442.10000000006</v>
      </c>
      <c r="AM154" s="196">
        <v>156505.81000000003</v>
      </c>
    </row>
    <row r="155" spans="1:39" s="138" customFormat="1" ht="14.4">
      <c r="A155" s="234" t="s">
        <v>149</v>
      </c>
      <c r="B155" s="233">
        <v>333</v>
      </c>
      <c r="C155" s="234" t="str">
        <f>UPPER(H155)</f>
        <v xml:space="preserve"> OPERATING EXPENSE</v>
      </c>
      <c r="D155" s="231" t="str">
        <f t="shared" si="74"/>
        <v xml:space="preserve"> OPERATING EXPENSE</v>
      </c>
      <c r="E155" s="231" t="str">
        <f t="shared" si="75"/>
        <v/>
      </c>
      <c r="F155" s="231" t="str">
        <f t="shared" si="76"/>
        <v/>
      </c>
      <c r="G155" s="190"/>
      <c r="H155" s="138" t="s">
        <v>354</v>
      </c>
      <c r="I155" s="131"/>
      <c r="J155" s="191">
        <f>SUM(J50:J81,J85:J153)</f>
        <v>447140.64000000007</v>
      </c>
      <c r="K155" s="191">
        <f t="shared" ref="K155:AM155" si="77">SUM(K50:K81,K85:K153)</f>
        <v>357037.38999999996</v>
      </c>
      <c r="L155" s="191">
        <f t="shared" si="77"/>
        <v>378669.74999999994</v>
      </c>
      <c r="M155" s="191">
        <f t="shared" si="77"/>
        <v>397455.48000000004</v>
      </c>
      <c r="N155" s="191">
        <f t="shared" si="77"/>
        <v>380925.67000000004</v>
      </c>
      <c r="O155" s="191">
        <f t="shared" si="77"/>
        <v>367183.56000000006</v>
      </c>
      <c r="P155" s="191">
        <f t="shared" si="77"/>
        <v>344424.30000000005</v>
      </c>
      <c r="Q155" s="191">
        <f t="shared" si="77"/>
        <v>372721.46</v>
      </c>
      <c r="R155" s="191">
        <f t="shared" si="77"/>
        <v>434755.92</v>
      </c>
      <c r="S155" s="191">
        <f t="shared" si="77"/>
        <v>367903.89000000007</v>
      </c>
      <c r="T155" s="191">
        <f t="shared" si="77"/>
        <v>331627.28000000014</v>
      </c>
      <c r="U155" s="191">
        <f t="shared" si="77"/>
        <v>351163.51999999973</v>
      </c>
      <c r="V155" s="191">
        <f t="shared" si="77"/>
        <v>315114.87000000011</v>
      </c>
      <c r="W155" s="191">
        <f t="shared" si="77"/>
        <v>255328.24</v>
      </c>
      <c r="X155" s="191">
        <f t="shared" si="77"/>
        <v>290752.02</v>
      </c>
      <c r="Y155" s="191">
        <f t="shared" si="77"/>
        <v>299066.28999999998</v>
      </c>
      <c r="Z155" s="191">
        <f t="shared" si="77"/>
        <v>288388.51999999984</v>
      </c>
      <c r="AA155" s="191">
        <f t="shared" si="77"/>
        <v>283380.54999999993</v>
      </c>
      <c r="AB155" s="191">
        <f t="shared" si="77"/>
        <v>282732.88999999996</v>
      </c>
      <c r="AC155" s="191">
        <f t="shared" si="77"/>
        <v>296497.86999999994</v>
      </c>
      <c r="AD155" s="191">
        <f t="shared" si="77"/>
        <v>273428.10000000003</v>
      </c>
      <c r="AE155" s="191">
        <f t="shared" si="77"/>
        <v>290068.86999999988</v>
      </c>
      <c r="AF155" s="191">
        <f t="shared" si="77"/>
        <v>263620.71000000008</v>
      </c>
      <c r="AG155" s="191">
        <f t="shared" si="77"/>
        <v>277416.88000000018</v>
      </c>
      <c r="AH155" s="191">
        <f t="shared" si="77"/>
        <v>315083.9099999998</v>
      </c>
      <c r="AI155" s="191">
        <f t="shared" si="77"/>
        <v>336355.16999999975</v>
      </c>
      <c r="AJ155" s="191">
        <f t="shared" si="77"/>
        <v>352873.84000000008</v>
      </c>
      <c r="AK155" s="191">
        <f t="shared" si="77"/>
        <v>324202.61999999988</v>
      </c>
      <c r="AL155" s="191">
        <f t="shared" si="77"/>
        <v>319831.7099999999</v>
      </c>
      <c r="AM155" s="191">
        <f t="shared" si="77"/>
        <v>345329.32000000007</v>
      </c>
    </row>
    <row r="156" spans="1:39">
      <c r="A156" s="195"/>
      <c r="B156" s="171" t="str">
        <f t="shared" ca="1" si="69"/>
        <v/>
      </c>
      <c r="C156" s="195"/>
      <c r="D156" s="195"/>
      <c r="E156" s="195"/>
      <c r="F156" s="195"/>
      <c r="G156" s="187"/>
      <c r="H156" s="138"/>
      <c r="J156" s="188"/>
      <c r="K156" s="188"/>
      <c r="L156" s="188"/>
      <c r="M156" s="188"/>
      <c r="N156" s="188"/>
      <c r="O156" s="188"/>
      <c r="P156" s="188"/>
      <c r="Q156" s="188"/>
      <c r="R156" s="188"/>
      <c r="S156" s="188"/>
      <c r="T156" s="188"/>
      <c r="U156" s="188"/>
      <c r="V156" s="188"/>
      <c r="W156" s="188"/>
      <c r="X156" s="188"/>
      <c r="Y156" s="188"/>
      <c r="Z156" s="188"/>
      <c r="AA156" s="188"/>
      <c r="AB156" s="188"/>
      <c r="AC156" s="188"/>
      <c r="AD156" s="188"/>
      <c r="AE156" s="188"/>
      <c r="AF156" s="188"/>
      <c r="AG156" s="188"/>
      <c r="AH156" s="188"/>
      <c r="AI156" s="188"/>
      <c r="AJ156" s="188"/>
      <c r="AK156" s="188"/>
      <c r="AL156" s="188"/>
      <c r="AM156" s="188"/>
    </row>
    <row r="157" spans="1:39" s="138" customFormat="1" ht="14.4">
      <c r="A157" s="235" t="s">
        <v>149</v>
      </c>
      <c r="B157" s="233">
        <v>444</v>
      </c>
      <c r="C157" s="235" t="str">
        <f>UPPER(H172)</f>
        <v>EBITDA</v>
      </c>
      <c r="D157" s="235" t="str">
        <f>IFERROR(IF(AND(LEN(A157)&gt;0,A157&lt;&gt;"GROUP"),UPPER(H172),""),"")</f>
        <v>EBITDA</v>
      </c>
      <c r="E157" s="235" t="str">
        <f>IFERROR(IF(A157="GROUP",UPPER(H172),IF(AND(LEN(A157)&gt;0,A157&lt;&gt;"GROUP"),UPPER(E171),"")),"")</f>
        <v/>
      </c>
      <c r="F157" s="235" t="str">
        <f>TRIM(I172)</f>
        <v/>
      </c>
      <c r="G157" s="190"/>
      <c r="H157" s="138" t="s">
        <v>355</v>
      </c>
      <c r="I157" s="131"/>
      <c r="J157" s="191">
        <f t="shared" ref="J157:AM157" si="78">+J47-J155</f>
        <v>71605.0799999999</v>
      </c>
      <c r="K157" s="191">
        <f t="shared" si="78"/>
        <v>105452.26000000007</v>
      </c>
      <c r="L157" s="191">
        <f t="shared" si="78"/>
        <v>104470.33000000007</v>
      </c>
      <c r="M157" s="191">
        <f t="shared" si="78"/>
        <v>92037.290000000037</v>
      </c>
      <c r="N157" s="191">
        <f t="shared" si="78"/>
        <v>144155.96999999997</v>
      </c>
      <c r="O157" s="191">
        <f t="shared" si="78"/>
        <v>87232.020000000019</v>
      </c>
      <c r="P157" s="191">
        <f t="shared" si="78"/>
        <v>88319.81</v>
      </c>
      <c r="Q157" s="191">
        <f t="shared" si="78"/>
        <v>81575.760000000009</v>
      </c>
      <c r="R157" s="191">
        <f t="shared" si="78"/>
        <v>-31878.170000000042</v>
      </c>
      <c r="S157" s="191">
        <f t="shared" si="78"/>
        <v>2093.0899999999674</v>
      </c>
      <c r="T157" s="191">
        <f t="shared" si="78"/>
        <v>35012.439999999886</v>
      </c>
      <c r="U157" s="191">
        <f t="shared" si="78"/>
        <v>38870.940000000293</v>
      </c>
      <c r="V157" s="191">
        <f t="shared" si="78"/>
        <v>8671.2999999998719</v>
      </c>
      <c r="W157" s="191">
        <f t="shared" si="78"/>
        <v>-1301.1299999999756</v>
      </c>
      <c r="X157" s="191">
        <f t="shared" si="78"/>
        <v>-7625.2299999999814</v>
      </c>
      <c r="Y157" s="191">
        <f t="shared" si="78"/>
        <v>8378.2700000000768</v>
      </c>
      <c r="Z157" s="191">
        <f t="shared" si="78"/>
        <v>3793.5300000001444</v>
      </c>
      <c r="AA157" s="191">
        <f t="shared" si="78"/>
        <v>-18745.859999999928</v>
      </c>
      <c r="AB157" s="191">
        <f t="shared" si="78"/>
        <v>-31501.509999999951</v>
      </c>
      <c r="AC157" s="191">
        <f t="shared" si="78"/>
        <v>-30258.699999999895</v>
      </c>
      <c r="AD157" s="191">
        <f t="shared" si="78"/>
        <v>-42947.41</v>
      </c>
      <c r="AE157" s="191">
        <f t="shared" si="78"/>
        <v>-45209.819999999891</v>
      </c>
      <c r="AF157" s="191">
        <f t="shared" si="78"/>
        <v>-10650.190000000031</v>
      </c>
      <c r="AG157" s="191">
        <f t="shared" si="78"/>
        <v>15519.969999999797</v>
      </c>
      <c r="AH157" s="191">
        <f t="shared" si="78"/>
        <v>30581.650000000256</v>
      </c>
      <c r="AI157" s="191">
        <f t="shared" si="78"/>
        <v>-7277.3499999998021</v>
      </c>
      <c r="AJ157" s="191">
        <f t="shared" si="78"/>
        <v>-13189.64000000013</v>
      </c>
      <c r="AK157" s="191">
        <f t="shared" si="78"/>
        <v>-47659.649999999849</v>
      </c>
      <c r="AL157" s="191">
        <f t="shared" si="78"/>
        <v>-26994.249999999942</v>
      </c>
      <c r="AM157" s="191">
        <f t="shared" si="78"/>
        <v>-51157.120000000054</v>
      </c>
    </row>
    <row r="158" spans="1:39" s="200" customFormat="1">
      <c r="A158" s="197"/>
      <c r="B158" s="171" t="str">
        <f t="shared" ca="1" si="69"/>
        <v/>
      </c>
      <c r="C158" s="197"/>
      <c r="D158" s="197"/>
      <c r="E158" s="197"/>
      <c r="F158" s="197"/>
      <c r="G158" s="199"/>
      <c r="I158" s="201"/>
      <c r="J158" s="198"/>
      <c r="K158" s="198"/>
      <c r="L158" s="198"/>
      <c r="M158" s="198"/>
      <c r="N158" s="198"/>
      <c r="O158" s="198"/>
      <c r="P158" s="198"/>
      <c r="Q158" s="198"/>
      <c r="R158" s="198"/>
      <c r="S158" s="198"/>
      <c r="T158" s="198"/>
      <c r="U158" s="198"/>
      <c r="V158" s="198"/>
      <c r="W158" s="198"/>
      <c r="X158" s="198"/>
      <c r="Y158" s="198"/>
      <c r="Z158" s="198"/>
      <c r="AA158" s="198"/>
      <c r="AB158" s="198"/>
      <c r="AC158" s="198"/>
      <c r="AD158" s="198"/>
      <c r="AE158" s="198"/>
      <c r="AF158" s="198"/>
      <c r="AG158" s="198"/>
      <c r="AH158" s="198"/>
      <c r="AI158" s="198"/>
      <c r="AJ158" s="198"/>
      <c r="AK158" s="198"/>
      <c r="AL158" s="198"/>
      <c r="AM158" s="198"/>
    </row>
    <row r="159" spans="1:39">
      <c r="A159" s="195"/>
      <c r="B159" s="171" t="str">
        <f t="shared" ca="1" si="69"/>
        <v/>
      </c>
      <c r="C159" s="195"/>
      <c r="D159" s="195"/>
      <c r="E159" s="195"/>
      <c r="F159" s="195"/>
      <c r="G159" s="187"/>
      <c r="H159" s="138"/>
      <c r="J159" s="188"/>
      <c r="K159" s="188"/>
      <c r="L159" s="188"/>
      <c r="M159" s="188"/>
      <c r="N159" s="188"/>
      <c r="O159" s="188"/>
      <c r="P159" s="188"/>
      <c r="Q159" s="188"/>
      <c r="R159" s="188"/>
      <c r="S159" s="188"/>
      <c r="T159" s="188"/>
      <c r="U159" s="188"/>
      <c r="V159" s="188"/>
      <c r="W159" s="188"/>
      <c r="X159" s="188"/>
      <c r="Y159" s="188"/>
      <c r="Z159" s="188"/>
      <c r="AA159" s="188"/>
      <c r="AB159" s="188"/>
      <c r="AC159" s="188"/>
      <c r="AD159" s="188"/>
      <c r="AE159" s="188"/>
      <c r="AF159" s="188"/>
      <c r="AG159" s="188"/>
      <c r="AH159" s="188"/>
      <c r="AI159" s="188"/>
      <c r="AJ159" s="188"/>
      <c r="AK159" s="188"/>
      <c r="AL159" s="188"/>
      <c r="AM159" s="188"/>
    </row>
    <row r="160" spans="1:39">
      <c r="A160" s="195"/>
      <c r="B160" s="171" t="str">
        <f t="shared" ca="1" si="69"/>
        <v/>
      </c>
      <c r="C160" s="195" t="s">
        <v>372</v>
      </c>
      <c r="D160" s="195"/>
      <c r="E160" s="195"/>
      <c r="F160" s="195"/>
      <c r="G160" s="187"/>
      <c r="H160" s="138" t="s">
        <v>356</v>
      </c>
      <c r="I160" s="131" t="s">
        <v>357</v>
      </c>
      <c r="J160" s="188">
        <v>3366.67</v>
      </c>
      <c r="K160" s="188">
        <v>3366.67</v>
      </c>
      <c r="L160" s="188">
        <v>3366.67</v>
      </c>
      <c r="M160" s="188">
        <v>3366.67</v>
      </c>
      <c r="N160" s="188">
        <v>3366.67</v>
      </c>
      <c r="O160" s="188">
        <v>3366.67</v>
      </c>
      <c r="P160" s="188">
        <v>3366.67</v>
      </c>
      <c r="Q160" s="188">
        <v>3366.67</v>
      </c>
      <c r="R160" s="188">
        <v>3366.67</v>
      </c>
      <c r="S160" s="188">
        <v>3366.67</v>
      </c>
      <c r="T160" s="188">
        <v>3366.67</v>
      </c>
      <c r="U160" s="188">
        <v>3366.67</v>
      </c>
      <c r="V160" s="188">
        <v>3366.67</v>
      </c>
      <c r="W160" s="188">
        <v>3366.67</v>
      </c>
      <c r="X160" s="188">
        <v>3366.67</v>
      </c>
      <c r="Y160" s="188">
        <v>3366.67</v>
      </c>
      <c r="Z160" s="188">
        <v>3366.67</v>
      </c>
      <c r="AA160" s="188">
        <v>3366.67</v>
      </c>
      <c r="AB160" s="188">
        <v>3366.67</v>
      </c>
      <c r="AC160" s="188">
        <v>3366.67</v>
      </c>
      <c r="AD160" s="188">
        <v>3366.67</v>
      </c>
      <c r="AE160" s="188">
        <v>3366.67</v>
      </c>
      <c r="AF160" s="188">
        <v>3366.67</v>
      </c>
      <c r="AG160" s="188">
        <v>3366.67</v>
      </c>
      <c r="AH160" s="188">
        <v>3366.67</v>
      </c>
      <c r="AI160" s="188">
        <v>3366.67</v>
      </c>
      <c r="AJ160" s="188">
        <v>3366.67</v>
      </c>
      <c r="AK160" s="188">
        <v>3366.67</v>
      </c>
      <c r="AL160" s="188">
        <v>3366.67</v>
      </c>
      <c r="AM160" s="188">
        <v>3366.67</v>
      </c>
    </row>
    <row r="161" spans="1:39">
      <c r="A161" s="195"/>
      <c r="B161" s="171" t="str">
        <f t="shared" ca="1" si="69"/>
        <v/>
      </c>
      <c r="C161" s="195"/>
      <c r="D161" s="195"/>
      <c r="E161" s="195"/>
      <c r="F161" s="195"/>
      <c r="G161" s="187"/>
      <c r="H161" s="138"/>
      <c r="J161" s="188"/>
      <c r="K161" s="188"/>
      <c r="L161" s="188"/>
      <c r="M161" s="188"/>
      <c r="N161" s="188"/>
      <c r="O161" s="188"/>
      <c r="P161" s="188"/>
      <c r="Q161" s="188"/>
      <c r="R161" s="188"/>
      <c r="S161" s="188"/>
      <c r="T161" s="188"/>
      <c r="U161" s="188"/>
      <c r="V161" s="188"/>
      <c r="W161" s="188"/>
      <c r="X161" s="188"/>
      <c r="Y161" s="188"/>
      <c r="Z161" s="188"/>
      <c r="AA161" s="188"/>
      <c r="AB161" s="188"/>
      <c r="AC161" s="188"/>
      <c r="AD161" s="188"/>
      <c r="AE161" s="188"/>
      <c r="AF161" s="188"/>
      <c r="AG161" s="188"/>
      <c r="AH161" s="188"/>
      <c r="AI161" s="188"/>
      <c r="AJ161" s="188"/>
      <c r="AK161" s="188"/>
      <c r="AL161" s="188"/>
      <c r="AM161" s="188"/>
    </row>
    <row r="162" spans="1:39" s="138" customFormat="1">
      <c r="A162" s="202"/>
      <c r="B162" s="171" t="str">
        <f t="shared" ca="1" si="69"/>
        <v/>
      </c>
      <c r="C162" s="202"/>
      <c r="D162" s="202"/>
      <c r="E162" s="202"/>
      <c r="F162" s="202"/>
      <c r="G162" s="203"/>
      <c r="H162" s="138" t="s">
        <v>358</v>
      </c>
      <c r="I162" s="131"/>
      <c r="J162" s="148">
        <f t="shared" ref="J162:U162" si="79">+J157-J160</f>
        <v>68238.409999999902</v>
      </c>
      <c r="K162" s="148">
        <f t="shared" si="79"/>
        <v>102085.59000000007</v>
      </c>
      <c r="L162" s="148">
        <f t="shared" si="79"/>
        <v>101103.66000000008</v>
      </c>
      <c r="M162" s="148">
        <f t="shared" si="79"/>
        <v>88670.620000000039</v>
      </c>
      <c r="N162" s="148">
        <f t="shared" si="79"/>
        <v>140789.29999999996</v>
      </c>
      <c r="O162" s="148">
        <f t="shared" si="79"/>
        <v>83865.35000000002</v>
      </c>
      <c r="P162" s="148">
        <f t="shared" si="79"/>
        <v>84953.14</v>
      </c>
      <c r="Q162" s="148">
        <f t="shared" si="79"/>
        <v>78209.090000000011</v>
      </c>
      <c r="R162" s="148">
        <f t="shared" si="79"/>
        <v>-35244.84000000004</v>
      </c>
      <c r="S162" s="148">
        <f t="shared" si="79"/>
        <v>-1273.5800000000327</v>
      </c>
      <c r="T162" s="148">
        <f t="shared" si="79"/>
        <v>31645.769999999888</v>
      </c>
      <c r="U162" s="148">
        <f t="shared" si="79"/>
        <v>35504.270000000295</v>
      </c>
      <c r="V162" s="148">
        <f t="shared" ref="V162:AG162" si="80">+V157-V160</f>
        <v>5304.6299999998719</v>
      </c>
      <c r="W162" s="148">
        <f t="shared" si="80"/>
        <v>-4667.7999999999756</v>
      </c>
      <c r="X162" s="148">
        <f t="shared" si="80"/>
        <v>-10991.899999999981</v>
      </c>
      <c r="Y162" s="148">
        <f t="shared" si="80"/>
        <v>5011.6000000000768</v>
      </c>
      <c r="Z162" s="148">
        <f t="shared" si="80"/>
        <v>426.86000000014428</v>
      </c>
      <c r="AA162" s="148">
        <f t="shared" si="80"/>
        <v>-22112.529999999926</v>
      </c>
      <c r="AB162" s="148">
        <f t="shared" si="80"/>
        <v>-34868.179999999949</v>
      </c>
      <c r="AC162" s="148">
        <f t="shared" si="80"/>
        <v>-33625.369999999893</v>
      </c>
      <c r="AD162" s="148">
        <f t="shared" si="80"/>
        <v>-46314.080000000002</v>
      </c>
      <c r="AE162" s="148">
        <f t="shared" si="80"/>
        <v>-48576.489999999889</v>
      </c>
      <c r="AF162" s="148">
        <f t="shared" si="80"/>
        <v>-14016.860000000032</v>
      </c>
      <c r="AG162" s="148">
        <f t="shared" si="80"/>
        <v>12153.299999999797</v>
      </c>
      <c r="AH162" s="148">
        <f t="shared" ref="AH162:AM162" si="81">+AH157-AH160</f>
        <v>27214.980000000258</v>
      </c>
      <c r="AI162" s="148">
        <f t="shared" si="81"/>
        <v>-10644.019999999802</v>
      </c>
      <c r="AJ162" s="148">
        <f t="shared" si="81"/>
        <v>-16556.310000000129</v>
      </c>
      <c r="AK162" s="148">
        <f t="shared" si="81"/>
        <v>-51026.319999999847</v>
      </c>
      <c r="AL162" s="148">
        <f t="shared" si="81"/>
        <v>-30360.91999999994</v>
      </c>
      <c r="AM162" s="148">
        <f t="shared" si="81"/>
        <v>-54523.790000000052</v>
      </c>
    </row>
    <row r="163" spans="1:39" s="200" customFormat="1">
      <c r="A163" s="204"/>
      <c r="B163" s="171" t="str">
        <f t="shared" ca="1" si="69"/>
        <v/>
      </c>
      <c r="C163" s="204"/>
      <c r="D163" s="204"/>
      <c r="E163" s="204"/>
      <c r="F163" s="204"/>
      <c r="G163" s="206"/>
      <c r="H163" s="200" t="s">
        <v>359</v>
      </c>
      <c r="I163" s="201"/>
      <c r="J163" s="205"/>
      <c r="K163" s="205"/>
      <c r="L163" s="205"/>
      <c r="M163" s="205"/>
      <c r="N163" s="205"/>
      <c r="O163" s="205"/>
      <c r="P163" s="205"/>
      <c r="Q163" s="205"/>
      <c r="R163" s="205"/>
      <c r="S163" s="205"/>
      <c r="T163" s="205"/>
      <c r="U163" s="205"/>
      <c r="V163" s="205"/>
      <c r="W163" s="205"/>
      <c r="X163" s="205"/>
      <c r="Y163" s="205"/>
      <c r="Z163" s="205"/>
      <c r="AA163" s="205"/>
      <c r="AB163" s="205"/>
      <c r="AC163" s="205"/>
      <c r="AD163" s="205"/>
      <c r="AE163" s="205"/>
      <c r="AF163" s="205"/>
      <c r="AG163" s="205"/>
      <c r="AH163" s="205"/>
      <c r="AI163" s="205"/>
      <c r="AJ163" s="205"/>
      <c r="AK163" s="205"/>
      <c r="AL163" s="205"/>
      <c r="AM163" s="205"/>
    </row>
    <row r="164" spans="1:39">
      <c r="A164" s="195"/>
      <c r="B164" s="171" t="str">
        <f t="shared" ca="1" si="69"/>
        <v/>
      </c>
      <c r="C164" s="195"/>
      <c r="D164" s="195"/>
      <c r="E164" s="195"/>
      <c r="F164" s="195"/>
      <c r="G164" s="187"/>
      <c r="H164" s="138"/>
      <c r="J164" s="188"/>
      <c r="K164" s="188"/>
      <c r="L164" s="188"/>
      <c r="M164" s="188"/>
      <c r="N164" s="188"/>
      <c r="O164" s="188"/>
      <c r="P164" s="188"/>
      <c r="Q164" s="188"/>
      <c r="R164" s="188"/>
      <c r="S164" s="188"/>
      <c r="T164" s="188"/>
      <c r="U164" s="188"/>
      <c r="V164" s="188"/>
      <c r="W164" s="188"/>
      <c r="X164" s="188"/>
      <c r="Y164" s="188"/>
      <c r="Z164" s="188"/>
      <c r="AA164" s="188"/>
      <c r="AB164" s="188"/>
      <c r="AC164" s="188"/>
      <c r="AD164" s="188"/>
      <c r="AE164" s="188"/>
      <c r="AF164" s="188"/>
      <c r="AG164" s="188"/>
      <c r="AH164" s="188"/>
      <c r="AI164" s="188"/>
      <c r="AJ164" s="188"/>
      <c r="AK164" s="188"/>
      <c r="AL164" s="188"/>
      <c r="AM164" s="188"/>
    </row>
    <row r="165" spans="1:39" ht="13.8">
      <c r="A165" s="207"/>
      <c r="B165" s="171" t="str">
        <f t="shared" ca="1" si="69"/>
        <v/>
      </c>
      <c r="C165" s="207"/>
      <c r="D165" s="207"/>
      <c r="E165" s="207"/>
      <c r="F165" s="207"/>
      <c r="G165" s="209"/>
      <c r="H165" s="138" t="s">
        <v>360</v>
      </c>
      <c r="J165" s="208">
        <v>26354.34</v>
      </c>
      <c r="K165" s="208">
        <v>23497.4</v>
      </c>
      <c r="L165" s="208">
        <v>24533.59</v>
      </c>
      <c r="M165" s="208">
        <v>24225.8</v>
      </c>
      <c r="N165" s="208">
        <v>26055.010000000002</v>
      </c>
      <c r="O165" s="208">
        <v>22609.59</v>
      </c>
      <c r="P165" s="208">
        <v>21894.15</v>
      </c>
      <c r="Q165" s="208">
        <v>22492.44</v>
      </c>
      <c r="R165" s="208">
        <v>20143.89</v>
      </c>
      <c r="S165" s="208">
        <v>18021.330000000002</v>
      </c>
      <c r="T165" s="208">
        <v>18180.64</v>
      </c>
      <c r="U165" s="208">
        <v>19501.73</v>
      </c>
      <c r="V165" s="208">
        <v>16264.36</v>
      </c>
      <c r="W165" s="208">
        <v>12701.35</v>
      </c>
      <c r="X165" s="208">
        <v>14358.59</v>
      </c>
      <c r="Y165" s="208">
        <v>15360.01</v>
      </c>
      <c r="Z165" s="208">
        <v>14600.91</v>
      </c>
      <c r="AA165" s="208">
        <v>13201.210000000001</v>
      </c>
      <c r="AB165" s="208">
        <v>12543.25</v>
      </c>
      <c r="AC165" s="208">
        <v>13405.86</v>
      </c>
      <c r="AD165" s="208">
        <v>11524.04</v>
      </c>
      <c r="AE165" s="208">
        <v>12170.66</v>
      </c>
      <c r="AF165" s="208">
        <v>12648.53</v>
      </c>
      <c r="AG165" s="208">
        <v>14646.84</v>
      </c>
      <c r="AH165" s="208">
        <v>17324</v>
      </c>
      <c r="AI165" s="208">
        <v>16506.45</v>
      </c>
      <c r="AJ165" s="208">
        <v>17007.310000000001</v>
      </c>
      <c r="AK165" s="208">
        <v>13827.61</v>
      </c>
      <c r="AL165" s="208">
        <v>14504.95</v>
      </c>
      <c r="AM165" s="208">
        <v>14708.61</v>
      </c>
    </row>
    <row r="166" spans="1:39">
      <c r="A166" s="142"/>
      <c r="B166" s="171" t="str">
        <f t="shared" ca="1" si="69"/>
        <v/>
      </c>
      <c r="C166" s="142"/>
      <c r="D166" s="142"/>
      <c r="E166" s="142"/>
      <c r="F166" s="142"/>
    </row>
    <row r="167" spans="1:39" s="138" customFormat="1">
      <c r="A167" s="142"/>
      <c r="B167" s="171" t="str">
        <f t="shared" ref="B167" ca="1" si="82">IF(LEN(A167)=0,"",IFERROR(VLOOKUP(C167,INDIRECT(A167&amp;"_LOOKUP"),2,FALSE),"-100"))</f>
        <v/>
      </c>
      <c r="C167" s="142"/>
      <c r="D167" s="142"/>
      <c r="E167" s="142"/>
      <c r="F167" s="142"/>
      <c r="G167" s="203"/>
      <c r="H167" s="138" t="s">
        <v>2</v>
      </c>
      <c r="I167" s="131"/>
      <c r="J167" s="148">
        <f t="shared" ref="J167:U167" si="83">+J162-J165</f>
        <v>41884.069999999905</v>
      </c>
      <c r="K167" s="148">
        <f t="shared" si="83"/>
        <v>78588.190000000061</v>
      </c>
      <c r="L167" s="148">
        <f t="shared" si="83"/>
        <v>76570.07000000008</v>
      </c>
      <c r="M167" s="148">
        <f t="shared" si="83"/>
        <v>64444.820000000036</v>
      </c>
      <c r="N167" s="148">
        <f t="shared" si="83"/>
        <v>114734.28999999995</v>
      </c>
      <c r="O167" s="148">
        <f t="shared" si="83"/>
        <v>61255.760000000024</v>
      </c>
      <c r="P167" s="148">
        <f t="shared" si="83"/>
        <v>63058.99</v>
      </c>
      <c r="Q167" s="148">
        <f t="shared" si="83"/>
        <v>55716.650000000009</v>
      </c>
      <c r="R167" s="148">
        <f t="shared" si="83"/>
        <v>-55388.73000000004</v>
      </c>
      <c r="S167" s="148">
        <f t="shared" si="83"/>
        <v>-19294.910000000033</v>
      </c>
      <c r="T167" s="148">
        <f t="shared" si="83"/>
        <v>13465.129999999888</v>
      </c>
      <c r="U167" s="148">
        <f t="shared" si="83"/>
        <v>16002.540000000296</v>
      </c>
      <c r="V167" s="148">
        <f t="shared" ref="V167:AG167" si="84">+V162-V165</f>
        <v>-10959.730000000129</v>
      </c>
      <c r="W167" s="148">
        <f t="shared" si="84"/>
        <v>-17369.149999999976</v>
      </c>
      <c r="X167" s="148">
        <f t="shared" si="84"/>
        <v>-25350.489999999983</v>
      </c>
      <c r="Y167" s="148">
        <f t="shared" si="84"/>
        <v>-10348.409999999923</v>
      </c>
      <c r="Z167" s="148">
        <f t="shared" si="84"/>
        <v>-14174.049999999856</v>
      </c>
      <c r="AA167" s="148">
        <f t="shared" si="84"/>
        <v>-35313.739999999925</v>
      </c>
      <c r="AB167" s="148">
        <f t="shared" si="84"/>
        <v>-47411.429999999949</v>
      </c>
      <c r="AC167" s="148">
        <f t="shared" si="84"/>
        <v>-47031.229999999894</v>
      </c>
      <c r="AD167" s="148">
        <f t="shared" si="84"/>
        <v>-57838.12</v>
      </c>
      <c r="AE167" s="148">
        <f t="shared" si="84"/>
        <v>-60747.149999999892</v>
      </c>
      <c r="AF167" s="148">
        <f t="shared" si="84"/>
        <v>-26665.390000000032</v>
      </c>
      <c r="AG167" s="148">
        <f t="shared" si="84"/>
        <v>-2493.5400000002028</v>
      </c>
      <c r="AH167" s="148">
        <f t="shared" ref="AH167:AM167" si="85">+AH162-AH165</f>
        <v>9890.9800000002579</v>
      </c>
      <c r="AI167" s="148">
        <f t="shared" si="85"/>
        <v>-27150.469999999805</v>
      </c>
      <c r="AJ167" s="148">
        <f t="shared" si="85"/>
        <v>-33563.620000000126</v>
      </c>
      <c r="AK167" s="148">
        <f t="shared" si="85"/>
        <v>-64853.929999999847</v>
      </c>
      <c r="AL167" s="148">
        <f t="shared" si="85"/>
        <v>-44865.869999999937</v>
      </c>
      <c r="AM167" s="148">
        <f t="shared" si="85"/>
        <v>-69232.400000000052</v>
      </c>
    </row>
    <row r="168" spans="1:39" s="200" customFormat="1">
      <c r="A168" s="204"/>
      <c r="B168" s="171" t="str">
        <f t="shared" ca="1" si="69"/>
        <v/>
      </c>
      <c r="C168" s="204"/>
      <c r="D168" s="204"/>
      <c r="E168" s="204"/>
      <c r="F168" s="204"/>
      <c r="G168" s="206"/>
      <c r="H168" s="200" t="s">
        <v>361</v>
      </c>
      <c r="I168" s="201"/>
      <c r="J168" s="205"/>
      <c r="K168" s="205"/>
      <c r="L168" s="205"/>
      <c r="M168" s="205"/>
      <c r="N168" s="205"/>
      <c r="O168" s="205"/>
      <c r="P168" s="205"/>
      <c r="Q168" s="205"/>
      <c r="R168" s="205"/>
      <c r="S168" s="205"/>
      <c r="T168" s="205"/>
      <c r="U168" s="205"/>
      <c r="V168" s="205"/>
      <c r="W168" s="205"/>
      <c r="X168" s="205"/>
      <c r="Y168" s="205"/>
      <c r="Z168" s="205"/>
      <c r="AA168" s="205"/>
      <c r="AB168" s="205"/>
      <c r="AC168" s="205"/>
      <c r="AD168" s="205"/>
      <c r="AE168" s="205"/>
      <c r="AF168" s="205"/>
      <c r="AG168" s="205"/>
      <c r="AH168" s="205"/>
      <c r="AI168" s="205"/>
      <c r="AJ168" s="205"/>
      <c r="AK168" s="205"/>
      <c r="AL168" s="205"/>
      <c r="AM168" s="205"/>
    </row>
    <row r="169" spans="1:39">
      <c r="A169" s="142"/>
      <c r="B169" s="171" t="str">
        <f t="shared" ca="1" si="69"/>
        <v/>
      </c>
      <c r="C169" s="142"/>
      <c r="D169" s="142"/>
      <c r="E169" s="142"/>
      <c r="F169" s="142"/>
    </row>
    <row r="170" spans="1:39">
      <c r="A170" s="195"/>
      <c r="B170" s="171" t="str">
        <f t="shared" ca="1" si="69"/>
        <v/>
      </c>
      <c r="C170" s="195"/>
      <c r="D170" s="195"/>
      <c r="E170" s="195"/>
      <c r="F170" s="195"/>
      <c r="G170" s="187"/>
      <c r="H170" s="138" t="s">
        <v>362</v>
      </c>
      <c r="I170" s="131" t="s">
        <v>363</v>
      </c>
      <c r="J170" s="188">
        <v>29878.440000000002</v>
      </c>
      <c r="K170" s="188">
        <v>29878.440000000002</v>
      </c>
      <c r="L170" s="188">
        <v>29878.440000000002</v>
      </c>
      <c r="M170" s="188">
        <v>29878.440000000002</v>
      </c>
      <c r="N170" s="188">
        <v>30000</v>
      </c>
      <c r="O170" s="188">
        <v>30000</v>
      </c>
      <c r="P170" s="188">
        <v>30000</v>
      </c>
      <c r="Q170" s="188">
        <v>30000</v>
      </c>
      <c r="R170" s="188">
        <v>30000</v>
      </c>
      <c r="S170" s="188">
        <v>30000</v>
      </c>
      <c r="T170" s="188">
        <v>30000</v>
      </c>
      <c r="U170" s="188">
        <v>30000</v>
      </c>
      <c r="V170" s="188">
        <v>30000</v>
      </c>
      <c r="W170" s="188">
        <v>30000</v>
      </c>
      <c r="X170" s="188">
        <v>30000</v>
      </c>
      <c r="Y170" s="188">
        <v>30000</v>
      </c>
      <c r="Z170" s="188">
        <v>30750</v>
      </c>
      <c r="AA170" s="188">
        <v>30750</v>
      </c>
      <c r="AB170" s="188">
        <v>30750</v>
      </c>
      <c r="AC170" s="188">
        <v>30750</v>
      </c>
      <c r="AD170" s="188">
        <v>30750</v>
      </c>
      <c r="AE170" s="188">
        <v>30750</v>
      </c>
      <c r="AF170" s="188">
        <v>30750</v>
      </c>
      <c r="AG170" s="188">
        <v>30750</v>
      </c>
      <c r="AH170" s="188">
        <v>30750</v>
      </c>
      <c r="AI170" s="188">
        <v>30750</v>
      </c>
      <c r="AJ170" s="188">
        <v>30750</v>
      </c>
      <c r="AK170" s="188">
        <v>30750</v>
      </c>
      <c r="AL170" s="188">
        <v>31518.75</v>
      </c>
      <c r="AM170" s="188">
        <v>31518.75</v>
      </c>
    </row>
    <row r="171" spans="1:39" ht="13.8">
      <c r="A171" s="207"/>
      <c r="B171" s="171" t="str">
        <f t="shared" ca="1" si="69"/>
        <v/>
      </c>
      <c r="C171" s="207"/>
      <c r="D171" s="207"/>
      <c r="E171" s="207"/>
      <c r="F171" s="207"/>
      <c r="G171" s="209"/>
      <c r="J171" s="208"/>
      <c r="K171" s="208"/>
      <c r="L171" s="208"/>
      <c r="M171" s="208"/>
      <c r="N171" s="208"/>
      <c r="O171" s="208"/>
      <c r="P171" s="208"/>
      <c r="Q171" s="208"/>
      <c r="R171" s="208"/>
      <c r="S171" s="208"/>
      <c r="T171" s="208"/>
      <c r="U171" s="208"/>
      <c r="V171" s="208"/>
      <c r="W171" s="208"/>
      <c r="X171" s="208"/>
      <c r="Y171" s="208"/>
      <c r="Z171" s="208"/>
      <c r="AA171" s="208"/>
      <c r="AB171" s="208"/>
      <c r="AC171" s="208"/>
      <c r="AD171" s="208"/>
      <c r="AE171" s="208"/>
      <c r="AF171" s="208"/>
      <c r="AG171" s="208"/>
      <c r="AH171" s="208"/>
      <c r="AI171" s="208"/>
      <c r="AJ171" s="208"/>
      <c r="AK171" s="208"/>
      <c r="AL171" s="208"/>
      <c r="AM171" s="208"/>
    </row>
    <row r="172" spans="1:39" s="138" customFormat="1">
      <c r="A172" s="195"/>
      <c r="B172" s="171" t="str">
        <f t="shared" ref="B172:B173" ca="1" si="86">IF(LEN(A172)=0,"",IFERROR(VLOOKUP(C172,INDIRECT(A172&amp;"_LOOKUP"),2,FALSE),"-100"))</f>
        <v/>
      </c>
      <c r="C172" s="195"/>
      <c r="D172" s="195"/>
      <c r="E172" s="195"/>
      <c r="F172" s="195"/>
      <c r="G172" s="203"/>
      <c r="H172" s="138" t="s">
        <v>364</v>
      </c>
      <c r="I172" s="131"/>
      <c r="J172" s="148">
        <f t="shared" ref="J172:U172" si="87">+J167-J170</f>
        <v>12005.629999999903</v>
      </c>
      <c r="K172" s="148">
        <f t="shared" si="87"/>
        <v>48709.750000000058</v>
      </c>
      <c r="L172" s="148">
        <f t="shared" si="87"/>
        <v>46691.630000000077</v>
      </c>
      <c r="M172" s="148">
        <f t="shared" si="87"/>
        <v>34566.380000000034</v>
      </c>
      <c r="N172" s="148">
        <f t="shared" si="87"/>
        <v>84734.28999999995</v>
      </c>
      <c r="O172" s="148">
        <f t="shared" si="87"/>
        <v>31255.760000000024</v>
      </c>
      <c r="P172" s="148">
        <f t="shared" si="87"/>
        <v>33058.99</v>
      </c>
      <c r="Q172" s="148">
        <f t="shared" si="87"/>
        <v>25716.650000000009</v>
      </c>
      <c r="R172" s="148">
        <f t="shared" si="87"/>
        <v>-85388.73000000004</v>
      </c>
      <c r="S172" s="148">
        <f t="shared" si="87"/>
        <v>-49294.910000000033</v>
      </c>
      <c r="T172" s="148">
        <f t="shared" si="87"/>
        <v>-16534.870000000112</v>
      </c>
      <c r="U172" s="148">
        <f t="shared" si="87"/>
        <v>-13997.459999999704</v>
      </c>
      <c r="V172" s="148">
        <f t="shared" ref="V172:AG172" si="88">+V167-V170</f>
        <v>-40959.730000000127</v>
      </c>
      <c r="W172" s="148">
        <f t="shared" si="88"/>
        <v>-47369.14999999998</v>
      </c>
      <c r="X172" s="148">
        <f t="shared" si="88"/>
        <v>-55350.489999999983</v>
      </c>
      <c r="Y172" s="148">
        <f t="shared" si="88"/>
        <v>-40348.409999999923</v>
      </c>
      <c r="Z172" s="148">
        <f t="shared" si="88"/>
        <v>-44924.049999999857</v>
      </c>
      <c r="AA172" s="148">
        <f t="shared" si="88"/>
        <v>-66063.739999999932</v>
      </c>
      <c r="AB172" s="148">
        <f t="shared" si="88"/>
        <v>-78161.429999999949</v>
      </c>
      <c r="AC172" s="148">
        <f t="shared" si="88"/>
        <v>-77781.229999999894</v>
      </c>
      <c r="AD172" s="148">
        <f t="shared" si="88"/>
        <v>-88588.12</v>
      </c>
      <c r="AE172" s="148">
        <f t="shared" si="88"/>
        <v>-91497.149999999892</v>
      </c>
      <c r="AF172" s="148">
        <f t="shared" si="88"/>
        <v>-57415.390000000029</v>
      </c>
      <c r="AG172" s="148">
        <f t="shared" si="88"/>
        <v>-33243.540000000205</v>
      </c>
      <c r="AH172" s="148">
        <f t="shared" ref="AH172:AM172" si="89">+AH167-AH170</f>
        <v>-20859.019999999742</v>
      </c>
      <c r="AI172" s="148">
        <f t="shared" si="89"/>
        <v>-57900.469999999805</v>
      </c>
      <c r="AJ172" s="148">
        <f t="shared" si="89"/>
        <v>-64313.620000000126</v>
      </c>
      <c r="AK172" s="148">
        <f t="shared" si="89"/>
        <v>-95603.929999999847</v>
      </c>
      <c r="AL172" s="148">
        <f t="shared" si="89"/>
        <v>-76384.619999999937</v>
      </c>
      <c r="AM172" s="148">
        <f t="shared" si="89"/>
        <v>-100751.15000000005</v>
      </c>
    </row>
    <row r="173" spans="1:39" s="200" customFormat="1" ht="13.8">
      <c r="A173" s="207"/>
      <c r="B173" s="171" t="str">
        <f t="shared" ca="1" si="86"/>
        <v/>
      </c>
      <c r="C173" s="207"/>
      <c r="D173" s="207"/>
      <c r="E173" s="207"/>
      <c r="F173" s="207"/>
      <c r="G173" s="206"/>
      <c r="H173" s="200" t="s">
        <v>365</v>
      </c>
      <c r="I173" s="201"/>
      <c r="J173" s="205"/>
      <c r="K173" s="205"/>
      <c r="L173" s="205"/>
      <c r="M173" s="205"/>
      <c r="N173" s="205"/>
      <c r="O173" s="205"/>
      <c r="P173" s="205"/>
      <c r="Q173" s="205"/>
      <c r="R173" s="205"/>
      <c r="S173" s="205"/>
      <c r="T173" s="205"/>
      <c r="U173" s="205"/>
      <c r="V173" s="205"/>
      <c r="W173" s="205"/>
      <c r="X173" s="205"/>
      <c r="Y173" s="205"/>
      <c r="Z173" s="205"/>
      <c r="AA173" s="205"/>
      <c r="AB173" s="205"/>
      <c r="AC173" s="205"/>
      <c r="AD173" s="205"/>
      <c r="AE173" s="205"/>
      <c r="AF173" s="205"/>
      <c r="AG173" s="205"/>
      <c r="AH173" s="205"/>
      <c r="AI173" s="205"/>
      <c r="AJ173" s="205"/>
      <c r="AK173" s="205"/>
      <c r="AL173" s="205"/>
      <c r="AM173" s="205"/>
    </row>
    <row r="174" spans="1:39">
      <c r="A174" s="195"/>
      <c r="B174" s="171" t="str">
        <f t="shared" ca="1" si="69"/>
        <v/>
      </c>
      <c r="C174" s="195"/>
      <c r="D174" s="195"/>
      <c r="E174" s="195"/>
      <c r="F174" s="195"/>
    </row>
    <row r="175" spans="1:39" ht="13.8">
      <c r="A175" s="207"/>
      <c r="B175" s="171" t="str">
        <f t="shared" ca="1" si="69"/>
        <v/>
      </c>
      <c r="C175" s="207"/>
      <c r="D175" s="207"/>
      <c r="E175" s="207"/>
      <c r="F175" s="207"/>
    </row>
    <row r="176" spans="1:39">
      <c r="A176" s="195" t="str">
        <f t="shared" ref="A176" si="90">IF(AND(LEN(H176)&gt;0,LEN(H175)=0,LEFT(H176,3)&lt;&gt;"TOT"),"GROUP","")</f>
        <v>GROUP</v>
      </c>
      <c r="B176" s="171"/>
      <c r="C176" s="195" t="str">
        <f t="shared" ref="C176" si="91">IF(LEN(D176)&gt;0,TRIM(E176&amp;" "&amp;D176),"")</f>
        <v/>
      </c>
      <c r="D176" s="195" t="str">
        <f t="shared" ref="D176" si="92">IFERROR(IF(AND(LEN(A176)&gt;0,A176&lt;&gt;"GROUP"),UPPER(H176),""),"")</f>
        <v/>
      </c>
      <c r="E176" s="195" t="str">
        <f t="shared" ref="E176" si="93">IFERROR(IF(A176="GROUP",UPPER(H176),IF(AND(LEN(A176)&gt;0,A176&lt;&gt;"GROUP"),UPPER(E175),"")),"")</f>
        <v>CONTRACTED PROF. SERVICES</v>
      </c>
      <c r="F176" s="195" t="str">
        <f t="shared" ref="F176" si="94">TRIM(I176)</f>
        <v/>
      </c>
      <c r="H176" s="131" t="s">
        <v>525</v>
      </c>
    </row>
    <row r="177" spans="1:39" ht="14.4">
      <c r="A177" s="142" t="s">
        <v>149</v>
      </c>
      <c r="B177" s="171">
        <f t="shared" ca="1" si="69"/>
        <v>301.2</v>
      </c>
      <c r="C177" s="166" t="str">
        <f t="shared" ref="C177:C209" si="95">IF(LEN(D177)&gt;0,TRIM(E177&amp;" "&amp;D177),"")</f>
        <v>CONTRACTED PROF. SERVICES NURSING ADMINISTRATION</v>
      </c>
      <c r="D177" s="166" t="str">
        <f t="shared" ref="D177:D209" si="96">IFERROR(IF(AND(LEN(A177)&gt;0,A177&lt;&gt;"GROUP"),UPPER(H177),""),"")</f>
        <v>NURSING ADMINISTRATION</v>
      </c>
      <c r="E177" s="166" t="str">
        <f t="shared" ref="E177:E209" si="97">IFERROR(IF(A177="GROUP",UPPER(H177),IF(AND(LEN(A177)&gt;0,A177&lt;&gt;"GROUP"),UPPER(E176),"")),"")</f>
        <v>CONTRACTED PROF. SERVICES</v>
      </c>
      <c r="F177" s="166" t="str">
        <f t="shared" ref="F177:F208" si="98">TRIM(I177)</f>
        <v>610040</v>
      </c>
      <c r="H177" s="224" t="s">
        <v>506</v>
      </c>
      <c r="I177" s="225">
        <v>610040</v>
      </c>
      <c r="J177" s="224">
        <v>122.64</v>
      </c>
      <c r="K177" s="224">
        <v>122.64</v>
      </c>
      <c r="L177" s="224">
        <v>122.64</v>
      </c>
      <c r="M177" s="224">
        <v>122.64</v>
      </c>
      <c r="N177" s="224">
        <v>130</v>
      </c>
      <c r="O177" s="224">
        <v>106.55</v>
      </c>
      <c r="P177" s="224">
        <v>138.67000000000002</v>
      </c>
      <c r="Q177" s="224">
        <v>110.15</v>
      </c>
      <c r="R177" s="224">
        <v>110.15</v>
      </c>
      <c r="S177" s="224">
        <v>110.15</v>
      </c>
      <c r="T177" s="224">
        <v>110.15</v>
      </c>
      <c r="U177" s="224">
        <v>110.15</v>
      </c>
      <c r="V177" s="224">
        <v>110.15</v>
      </c>
      <c r="W177" s="224">
        <v>110.15</v>
      </c>
      <c r="X177" s="224">
        <v>110.15</v>
      </c>
      <c r="Y177" s="224">
        <v>110.15</v>
      </c>
      <c r="Z177" s="224">
        <v>110.15</v>
      </c>
      <c r="AA177" s="224">
        <v>110.15</v>
      </c>
      <c r="AB177" s="224">
        <v>110.15</v>
      </c>
      <c r="AC177" s="224">
        <v>110.15</v>
      </c>
      <c r="AD177" s="224">
        <v>110.15</v>
      </c>
      <c r="AE177" s="224">
        <v>116.07000000000001</v>
      </c>
      <c r="AF177" s="224">
        <v>116.07000000000001</v>
      </c>
      <c r="AG177" s="224">
        <v>116.07000000000001</v>
      </c>
      <c r="AH177" s="224">
        <v>116.07000000000001</v>
      </c>
      <c r="AI177" s="224">
        <v>118.18</v>
      </c>
      <c r="AJ177" s="224">
        <v>118.18</v>
      </c>
      <c r="AK177" s="224">
        <v>118.18</v>
      </c>
      <c r="AL177" s="224">
        <v>118.18</v>
      </c>
      <c r="AM177" s="224">
        <v>118.18</v>
      </c>
    </row>
    <row r="178" spans="1:39" ht="14.4">
      <c r="A178" s="142" t="s">
        <v>149</v>
      </c>
      <c r="B178" s="171">
        <f t="shared" ref="B178:B209" ca="1" si="99">IF(LEN(A178)=0,"",IFERROR(VLOOKUP(C178,INDIRECT(A178&amp;"_LOOKUP"),2,FALSE),"-100"))</f>
        <v>304.2</v>
      </c>
      <c r="C178" s="166" t="str">
        <f t="shared" si="95"/>
        <v>CONTRACTED PROF. SERVICES SPEECH THERAPY</v>
      </c>
      <c r="D178" s="166" t="str">
        <f t="shared" si="96"/>
        <v>SPEECH THERAPY</v>
      </c>
      <c r="E178" s="166" t="str">
        <f t="shared" si="97"/>
        <v>CONTRACTED PROF. SERVICES</v>
      </c>
      <c r="F178" s="166" t="str">
        <f t="shared" si="98"/>
        <v>610040</v>
      </c>
      <c r="H178" s="224" t="s">
        <v>507</v>
      </c>
      <c r="I178" s="225">
        <v>610040</v>
      </c>
      <c r="J178" s="224">
        <v>10857.91</v>
      </c>
      <c r="K178" s="224">
        <v>10251.41</v>
      </c>
      <c r="L178" s="224">
        <v>10016.76</v>
      </c>
      <c r="M178" s="224">
        <v>14972.02</v>
      </c>
      <c r="N178" s="224">
        <v>11770.08</v>
      </c>
      <c r="O178" s="224">
        <v>14607.41</v>
      </c>
      <c r="P178" s="224">
        <v>15167.48</v>
      </c>
      <c r="Q178" s="224">
        <v>14933.84</v>
      </c>
      <c r="R178" s="224">
        <v>9887.19</v>
      </c>
      <c r="S178" s="224">
        <v>14448.35</v>
      </c>
      <c r="T178" s="224">
        <v>15054.33</v>
      </c>
      <c r="U178" s="224">
        <v>12576.76</v>
      </c>
      <c r="V178" s="224">
        <v>6823.03</v>
      </c>
      <c r="W178" s="224">
        <v>565.25</v>
      </c>
      <c r="X178" s="224">
        <v>34.869999999999997</v>
      </c>
      <c r="Y178" s="224">
        <v>0</v>
      </c>
      <c r="Z178" s="224">
        <v>3465.77</v>
      </c>
      <c r="AA178" s="224">
        <v>2894.62</v>
      </c>
      <c r="AB178" s="224">
        <v>3499.35</v>
      </c>
      <c r="AC178" s="224">
        <v>4413.3599999999997</v>
      </c>
      <c r="AD178" s="224">
        <v>5154.21</v>
      </c>
      <c r="AE178" s="224">
        <v>4995.71</v>
      </c>
      <c r="AF178" s="224">
        <v>3112.1</v>
      </c>
      <c r="AG178" s="224">
        <v>3105.46</v>
      </c>
      <c r="AH178" s="224">
        <v>5619.25</v>
      </c>
      <c r="AI178" s="224">
        <v>6706.54</v>
      </c>
      <c r="AJ178" s="224">
        <v>8755.86</v>
      </c>
      <c r="AK178" s="224">
        <v>8101.21</v>
      </c>
      <c r="AL178" s="224">
        <v>7147.54</v>
      </c>
      <c r="AM178" s="224">
        <v>6088.25</v>
      </c>
    </row>
    <row r="179" spans="1:39" ht="14.4">
      <c r="A179" s="142" t="s">
        <v>149</v>
      </c>
      <c r="B179" s="171">
        <f t="shared" ca="1" si="99"/>
        <v>304.2</v>
      </c>
      <c r="C179" s="166" t="str">
        <f t="shared" si="95"/>
        <v>CONTRACTED PROF. SERVICES PHYSICAL THERAPY</v>
      </c>
      <c r="D179" s="166" t="str">
        <f t="shared" si="96"/>
        <v>PHYSICAL THERAPY</v>
      </c>
      <c r="E179" s="166" t="str">
        <f t="shared" si="97"/>
        <v>CONTRACTED PROF. SERVICES</v>
      </c>
      <c r="F179" s="166" t="str">
        <f t="shared" si="98"/>
        <v>610040</v>
      </c>
      <c r="H179" s="224" t="s">
        <v>508</v>
      </c>
      <c r="I179" s="225">
        <v>610040</v>
      </c>
      <c r="J179" s="224">
        <v>25016.59</v>
      </c>
      <c r="K179" s="224">
        <v>28426.93</v>
      </c>
      <c r="L179" s="224">
        <v>30662.61</v>
      </c>
      <c r="M179" s="224">
        <v>27873.08</v>
      </c>
      <c r="N179" s="224">
        <v>29142.93</v>
      </c>
      <c r="O179" s="224">
        <v>26569.55</v>
      </c>
      <c r="P179" s="224">
        <v>25926.440000000002</v>
      </c>
      <c r="Q179" s="224">
        <v>26136.89</v>
      </c>
      <c r="R179" s="224">
        <v>29431.5</v>
      </c>
      <c r="S179" s="224">
        <v>28453.670000000002</v>
      </c>
      <c r="T179" s="224">
        <v>23949.59</v>
      </c>
      <c r="U179" s="224">
        <v>22024.86</v>
      </c>
      <c r="V179" s="224">
        <v>9022.74</v>
      </c>
      <c r="W179" s="224">
        <v>10515.65</v>
      </c>
      <c r="X179" s="224">
        <v>12220.2</v>
      </c>
      <c r="Y179" s="224">
        <v>18422.38</v>
      </c>
      <c r="Z179" s="224">
        <v>10710.28</v>
      </c>
      <c r="AA179" s="224">
        <v>7493.6</v>
      </c>
      <c r="AB179" s="224">
        <v>12021.74</v>
      </c>
      <c r="AC179" s="224">
        <v>13293.4</v>
      </c>
      <c r="AD179" s="224">
        <v>9896.91</v>
      </c>
      <c r="AE179" s="224">
        <v>11318.37</v>
      </c>
      <c r="AF179" s="224">
        <v>11519.61</v>
      </c>
      <c r="AG179" s="224">
        <v>-3024.93</v>
      </c>
      <c r="AH179" s="224">
        <v>12557.91</v>
      </c>
      <c r="AI179" s="224">
        <v>10860.41</v>
      </c>
      <c r="AJ179" s="224">
        <v>11514.050000000001</v>
      </c>
      <c r="AK179" s="224">
        <v>10777.380000000001</v>
      </c>
      <c r="AL179" s="224">
        <v>13513.16</v>
      </c>
      <c r="AM179" s="224">
        <v>15389.14</v>
      </c>
    </row>
    <row r="180" spans="1:39" ht="14.4">
      <c r="A180" s="142" t="s">
        <v>149</v>
      </c>
      <c r="B180" s="171">
        <f t="shared" ca="1" si="99"/>
        <v>304.2</v>
      </c>
      <c r="C180" s="166" t="str">
        <f t="shared" si="95"/>
        <v>CONTRACTED PROF. SERVICES OCCUPATIONAL THERAPY</v>
      </c>
      <c r="D180" s="166" t="str">
        <f t="shared" si="96"/>
        <v>OCCUPATIONAL THERAPY</v>
      </c>
      <c r="E180" s="166" t="str">
        <f t="shared" si="97"/>
        <v>CONTRACTED PROF. SERVICES</v>
      </c>
      <c r="F180" s="166" t="str">
        <f t="shared" si="98"/>
        <v>610040</v>
      </c>
      <c r="H180" s="224" t="s">
        <v>509</v>
      </c>
      <c r="I180" s="225">
        <v>610040</v>
      </c>
      <c r="J180" s="224">
        <v>38546.590000000004</v>
      </c>
      <c r="K180" s="224">
        <v>34010.020000000004</v>
      </c>
      <c r="L180" s="224">
        <v>32922.590000000004</v>
      </c>
      <c r="M180" s="224">
        <v>32487.93</v>
      </c>
      <c r="N180" s="224">
        <v>31868.93</v>
      </c>
      <c r="O180" s="224">
        <v>29106.04</v>
      </c>
      <c r="P180" s="224">
        <v>29612.13</v>
      </c>
      <c r="Q180" s="224">
        <v>24580.3</v>
      </c>
      <c r="R180" s="224">
        <v>31125.66</v>
      </c>
      <c r="S180" s="224">
        <v>25161.100000000002</v>
      </c>
      <c r="T180" s="224">
        <v>14134.93</v>
      </c>
      <c r="U180" s="224">
        <v>13404</v>
      </c>
      <c r="V180" s="224">
        <v>10738.31</v>
      </c>
      <c r="W180" s="224">
        <v>9071.73</v>
      </c>
      <c r="X180" s="224">
        <v>18124.510000000002</v>
      </c>
      <c r="Y180" s="224">
        <v>15825.04</v>
      </c>
      <c r="Z180" s="224">
        <v>11819.42</v>
      </c>
      <c r="AA180" s="224">
        <v>5360.5</v>
      </c>
      <c r="AB180" s="224">
        <v>3725.27</v>
      </c>
      <c r="AC180" s="224">
        <v>5430.22</v>
      </c>
      <c r="AD180" s="224">
        <v>3884.29</v>
      </c>
      <c r="AE180" s="224">
        <v>8242.7900000000009</v>
      </c>
      <c r="AF180" s="224">
        <v>9631.57</v>
      </c>
      <c r="AG180" s="224">
        <v>14275.69</v>
      </c>
      <c r="AH180" s="224">
        <v>17704.87</v>
      </c>
      <c r="AI180" s="224">
        <v>18692.43</v>
      </c>
      <c r="AJ180" s="224">
        <v>14973.49</v>
      </c>
      <c r="AK180" s="224">
        <v>9948.7199999999993</v>
      </c>
      <c r="AL180" s="224">
        <v>11262.17</v>
      </c>
      <c r="AM180" s="224">
        <v>12734.35</v>
      </c>
    </row>
    <row r="181" spans="1:39" ht="14.4">
      <c r="A181" s="142" t="s">
        <v>149</v>
      </c>
      <c r="B181" s="171">
        <f t="shared" ca="1" si="99"/>
        <v>304.2</v>
      </c>
      <c r="C181" s="166" t="str">
        <f t="shared" si="95"/>
        <v>CONTRACTED PROF. SERVICES RESPIRATORY THERAPY</v>
      </c>
      <c r="D181" s="166" t="str">
        <f t="shared" si="96"/>
        <v>RESPIRATORY THERAPY</v>
      </c>
      <c r="E181" s="166" t="str">
        <f t="shared" si="97"/>
        <v>CONTRACTED PROF. SERVICES</v>
      </c>
      <c r="F181" s="166" t="str">
        <f t="shared" si="98"/>
        <v>610040</v>
      </c>
      <c r="H181" s="224" t="s">
        <v>510</v>
      </c>
      <c r="I181" s="225">
        <v>610040</v>
      </c>
      <c r="J181" s="224">
        <v>0</v>
      </c>
      <c r="K181" s="224">
        <v>135</v>
      </c>
      <c r="L181" s="224">
        <v>0</v>
      </c>
      <c r="M181" s="224">
        <v>0</v>
      </c>
      <c r="N181" s="224">
        <v>0</v>
      </c>
      <c r="O181" s="224">
        <v>0</v>
      </c>
      <c r="P181" s="224">
        <v>36</v>
      </c>
      <c r="Q181" s="224">
        <v>-36</v>
      </c>
      <c r="R181" s="224">
        <v>0</v>
      </c>
      <c r="S181" s="224">
        <v>0</v>
      </c>
      <c r="T181" s="224">
        <v>0</v>
      </c>
      <c r="U181" s="224">
        <v>0</v>
      </c>
      <c r="V181" s="224">
        <v>0</v>
      </c>
      <c r="W181" s="224">
        <v>0</v>
      </c>
      <c r="X181" s="224">
        <v>0</v>
      </c>
      <c r="Y181" s="224">
        <v>0</v>
      </c>
      <c r="Z181" s="224">
        <v>0</v>
      </c>
      <c r="AA181" s="224">
        <v>0</v>
      </c>
      <c r="AB181" s="224">
        <v>0</v>
      </c>
      <c r="AC181" s="224">
        <v>0</v>
      </c>
      <c r="AD181" s="224">
        <v>0</v>
      </c>
      <c r="AE181" s="224">
        <v>0</v>
      </c>
      <c r="AF181" s="224">
        <v>0</v>
      </c>
      <c r="AG181" s="224">
        <v>0</v>
      </c>
      <c r="AH181" s="224">
        <v>0</v>
      </c>
      <c r="AI181" s="224">
        <v>0</v>
      </c>
      <c r="AJ181" s="224">
        <v>0</v>
      </c>
      <c r="AK181" s="224">
        <v>0</v>
      </c>
      <c r="AL181" s="224">
        <v>0</v>
      </c>
      <c r="AM181" s="224">
        <v>0</v>
      </c>
    </row>
    <row r="182" spans="1:39" ht="14.4">
      <c r="A182" s="142" t="s">
        <v>149</v>
      </c>
      <c r="B182" s="171">
        <f t="shared" ca="1" si="99"/>
        <v>304.2</v>
      </c>
      <c r="C182" s="166" t="str">
        <f t="shared" si="95"/>
        <v>CONTRACTED PROF. SERVICES WOUND CARE</v>
      </c>
      <c r="D182" s="166" t="str">
        <f t="shared" si="96"/>
        <v>WOUND CARE</v>
      </c>
      <c r="E182" s="166" t="str">
        <f t="shared" si="97"/>
        <v>CONTRACTED PROF. SERVICES</v>
      </c>
      <c r="F182" s="166" t="str">
        <f t="shared" si="98"/>
        <v>610040</v>
      </c>
      <c r="H182" s="224" t="s">
        <v>511</v>
      </c>
      <c r="I182" s="225">
        <v>610040</v>
      </c>
      <c r="J182" s="224">
        <v>0</v>
      </c>
      <c r="K182" s="224">
        <v>0</v>
      </c>
      <c r="L182" s="224">
        <v>49.120000000000005</v>
      </c>
      <c r="M182" s="224">
        <v>150.01</v>
      </c>
      <c r="N182" s="224">
        <v>40.49</v>
      </c>
      <c r="O182" s="224">
        <v>0</v>
      </c>
      <c r="P182" s="224">
        <v>0</v>
      </c>
      <c r="Q182" s="224">
        <v>0</v>
      </c>
      <c r="R182" s="224">
        <v>0</v>
      </c>
      <c r="S182" s="224">
        <v>0</v>
      </c>
      <c r="T182" s="224">
        <v>0</v>
      </c>
      <c r="U182" s="224">
        <v>0</v>
      </c>
      <c r="V182" s="224">
        <v>0</v>
      </c>
      <c r="W182" s="224">
        <v>0</v>
      </c>
      <c r="X182" s="224">
        <v>0</v>
      </c>
      <c r="Y182" s="224">
        <v>0</v>
      </c>
      <c r="Z182" s="224">
        <v>0</v>
      </c>
      <c r="AA182" s="224">
        <v>0</v>
      </c>
      <c r="AB182" s="224">
        <v>0</v>
      </c>
      <c r="AC182" s="224">
        <v>0</v>
      </c>
      <c r="AD182" s="224">
        <v>0</v>
      </c>
      <c r="AE182" s="224">
        <v>0</v>
      </c>
      <c r="AF182" s="224">
        <v>0</v>
      </c>
      <c r="AG182" s="224">
        <v>0</v>
      </c>
      <c r="AH182" s="224">
        <v>0</v>
      </c>
      <c r="AI182" s="224">
        <v>0</v>
      </c>
      <c r="AJ182" s="224">
        <v>0</v>
      </c>
      <c r="AK182" s="224">
        <v>0</v>
      </c>
      <c r="AL182" s="224">
        <v>0</v>
      </c>
      <c r="AM182" s="224">
        <v>0</v>
      </c>
    </row>
    <row r="183" spans="1:39" ht="14.4">
      <c r="A183" s="142" t="s">
        <v>149</v>
      </c>
      <c r="B183" s="171">
        <f t="shared" ca="1" si="99"/>
        <v>304.2</v>
      </c>
      <c r="C183" s="166" t="str">
        <f t="shared" si="95"/>
        <v>CONTRACTED PROF. SERVICES PHARMACY</v>
      </c>
      <c r="D183" s="166" t="str">
        <f t="shared" si="96"/>
        <v>PHARMACY</v>
      </c>
      <c r="E183" s="166" t="str">
        <f t="shared" si="97"/>
        <v>CONTRACTED PROF. SERVICES</v>
      </c>
      <c r="F183" s="166" t="str">
        <f t="shared" si="98"/>
        <v>610040</v>
      </c>
      <c r="H183" s="224" t="s">
        <v>512</v>
      </c>
      <c r="I183" s="225">
        <v>610040</v>
      </c>
      <c r="J183" s="224">
        <v>1081.6500000000001</v>
      </c>
      <c r="K183" s="224">
        <v>546.64</v>
      </c>
      <c r="L183" s="224">
        <v>-61.06</v>
      </c>
      <c r="M183" s="224">
        <v>936.80000000000007</v>
      </c>
      <c r="N183" s="224">
        <v>515.28</v>
      </c>
      <c r="O183" s="224">
        <v>502.74</v>
      </c>
      <c r="P183" s="224">
        <v>483.92</v>
      </c>
      <c r="Q183" s="224">
        <v>487.63</v>
      </c>
      <c r="R183" s="224">
        <v>572.71</v>
      </c>
      <c r="S183" s="224">
        <v>496.96000000000004</v>
      </c>
      <c r="T183" s="224">
        <v>458.84000000000003</v>
      </c>
      <c r="U183" s="224">
        <v>483.92</v>
      </c>
      <c r="V183" s="224">
        <v>451.78000000000003</v>
      </c>
      <c r="W183" s="224">
        <v>412.97</v>
      </c>
      <c r="X183" s="224">
        <v>388.12</v>
      </c>
      <c r="Y183" s="224">
        <v>390.26</v>
      </c>
      <c r="Z183" s="224">
        <v>0</v>
      </c>
      <c r="AA183" s="224">
        <v>393.57</v>
      </c>
      <c r="AB183" s="224">
        <v>716.97</v>
      </c>
      <c r="AC183" s="224">
        <v>378.39</v>
      </c>
      <c r="AD183" s="224">
        <v>0</v>
      </c>
      <c r="AE183" s="224">
        <v>270.68</v>
      </c>
      <c r="AF183" s="224">
        <v>710.01</v>
      </c>
      <c r="AG183" s="224">
        <v>372.21</v>
      </c>
      <c r="AH183" s="224">
        <v>-39.050000000000004</v>
      </c>
      <c r="AI183" s="224">
        <v>868.6</v>
      </c>
      <c r="AJ183" s="224">
        <v>441.69</v>
      </c>
      <c r="AK183" s="224">
        <v>334.83</v>
      </c>
      <c r="AL183" s="224">
        <v>362.99</v>
      </c>
      <c r="AM183" s="224">
        <v>433.61</v>
      </c>
    </row>
    <row r="184" spans="1:39" ht="14.4">
      <c r="A184" s="142" t="s">
        <v>149</v>
      </c>
      <c r="B184" s="171">
        <f t="shared" ca="1" si="99"/>
        <v>304.2</v>
      </c>
      <c r="C184" s="166" t="str">
        <f t="shared" si="95"/>
        <v>CONTRACTED PROF. SERVICES RADIOLOGY</v>
      </c>
      <c r="D184" s="166" t="str">
        <f t="shared" si="96"/>
        <v>RADIOLOGY</v>
      </c>
      <c r="E184" s="166" t="str">
        <f t="shared" si="97"/>
        <v>CONTRACTED PROF. SERVICES</v>
      </c>
      <c r="F184" s="166" t="str">
        <f t="shared" si="98"/>
        <v>610040</v>
      </c>
      <c r="H184" s="224" t="s">
        <v>513</v>
      </c>
      <c r="I184" s="225">
        <v>610040</v>
      </c>
      <c r="J184" s="224">
        <v>855</v>
      </c>
      <c r="K184" s="224">
        <v>95</v>
      </c>
      <c r="L184" s="224">
        <v>190</v>
      </c>
      <c r="M184" s="224">
        <v>285</v>
      </c>
      <c r="N184" s="224">
        <v>190</v>
      </c>
      <c r="O184" s="224">
        <v>224.57</v>
      </c>
      <c r="P184" s="224">
        <v>95</v>
      </c>
      <c r="Q184" s="224">
        <v>-139.36000000000001</v>
      </c>
      <c r="R184" s="224">
        <v>0</v>
      </c>
      <c r="S184" s="224">
        <v>0</v>
      </c>
      <c r="T184" s="224">
        <v>0</v>
      </c>
      <c r="U184" s="224">
        <v>0</v>
      </c>
      <c r="V184" s="224">
        <v>395.2</v>
      </c>
      <c r="W184" s="224">
        <v>163.89000000000001</v>
      </c>
      <c r="X184" s="224">
        <v>52.21</v>
      </c>
      <c r="Y184" s="224">
        <v>232.84</v>
      </c>
      <c r="Z184" s="224">
        <v>240</v>
      </c>
      <c r="AA184" s="224">
        <v>-163.46</v>
      </c>
      <c r="AB184" s="224">
        <v>28</v>
      </c>
      <c r="AC184" s="224">
        <v>81.66</v>
      </c>
      <c r="AD184" s="224">
        <v>19.14</v>
      </c>
      <c r="AE184" s="224">
        <v>60</v>
      </c>
      <c r="AF184" s="224">
        <v>35</v>
      </c>
      <c r="AG184" s="224">
        <v>25</v>
      </c>
      <c r="AH184" s="224">
        <v>505</v>
      </c>
      <c r="AI184" s="224">
        <v>145</v>
      </c>
      <c r="AJ184" s="224">
        <v>140</v>
      </c>
      <c r="AK184" s="224">
        <v>265</v>
      </c>
      <c r="AL184" s="224">
        <v>122.63</v>
      </c>
      <c r="AM184" s="224">
        <v>105</v>
      </c>
    </row>
    <row r="185" spans="1:39" ht="14.4">
      <c r="A185" s="142" t="s">
        <v>149</v>
      </c>
      <c r="B185" s="171">
        <f t="shared" ca="1" si="99"/>
        <v>304.2</v>
      </c>
      <c r="C185" s="166" t="str">
        <f t="shared" si="95"/>
        <v>CONTRACTED PROF. SERVICES LAB</v>
      </c>
      <c r="D185" s="166" t="str">
        <f t="shared" si="96"/>
        <v>LAB</v>
      </c>
      <c r="E185" s="166" t="str">
        <f t="shared" si="97"/>
        <v>CONTRACTED PROF. SERVICES</v>
      </c>
      <c r="F185" s="166" t="str">
        <f t="shared" si="98"/>
        <v>610040</v>
      </c>
      <c r="H185" s="224" t="s">
        <v>514</v>
      </c>
      <c r="I185" s="225">
        <v>610040</v>
      </c>
      <c r="J185" s="224">
        <v>783.45</v>
      </c>
      <c r="K185" s="224">
        <v>944.59</v>
      </c>
      <c r="L185" s="224">
        <v>944.1</v>
      </c>
      <c r="M185" s="224">
        <v>936.28</v>
      </c>
      <c r="N185" s="224">
        <v>481.39</v>
      </c>
      <c r="O185" s="224">
        <v>829.01</v>
      </c>
      <c r="P185" s="224">
        <v>616.06000000000006</v>
      </c>
      <c r="Q185" s="224">
        <v>-310.13</v>
      </c>
      <c r="R185" s="224">
        <v>324.76</v>
      </c>
      <c r="S185" s="224">
        <v>147.33000000000001</v>
      </c>
      <c r="T185" s="224">
        <v>0</v>
      </c>
      <c r="U185" s="224">
        <v>0</v>
      </c>
      <c r="V185" s="224">
        <v>305.51</v>
      </c>
      <c r="W185" s="224">
        <v>140.58000000000001</v>
      </c>
      <c r="X185" s="224">
        <v>165</v>
      </c>
      <c r="Y185" s="224">
        <v>-165</v>
      </c>
      <c r="Z185" s="224">
        <v>0</v>
      </c>
      <c r="AA185" s="224">
        <v>63.18</v>
      </c>
      <c r="AB185" s="224">
        <v>0</v>
      </c>
      <c r="AC185" s="224">
        <v>87.460000000000008</v>
      </c>
      <c r="AD185" s="224">
        <v>788.06000000000006</v>
      </c>
      <c r="AE185" s="224">
        <v>91.7</v>
      </c>
      <c r="AF185" s="224">
        <v>2.88</v>
      </c>
      <c r="AG185" s="224">
        <v>75</v>
      </c>
      <c r="AH185" s="224">
        <v>1337.48</v>
      </c>
      <c r="AI185" s="224">
        <v>-284.2</v>
      </c>
      <c r="AJ185" s="224">
        <v>626.79</v>
      </c>
      <c r="AK185" s="224">
        <v>244.52</v>
      </c>
      <c r="AL185" s="224">
        <v>259.98</v>
      </c>
      <c r="AM185" s="224">
        <v>150.57</v>
      </c>
    </row>
    <row r="186" spans="1:39" ht="14.4">
      <c r="A186" s="142" t="s">
        <v>149</v>
      </c>
      <c r="B186" s="171">
        <f t="shared" ca="1" si="99"/>
        <v>304.2</v>
      </c>
      <c r="C186" s="166" t="str">
        <f t="shared" si="95"/>
        <v>CONTRACTED PROF. SERVICES PHYSICIAN VISITS</v>
      </c>
      <c r="D186" s="166" t="str">
        <f t="shared" si="96"/>
        <v>PHYSICIAN VISITS</v>
      </c>
      <c r="E186" s="166" t="str">
        <f t="shared" si="97"/>
        <v>CONTRACTED PROF. SERVICES</v>
      </c>
      <c r="F186" s="166" t="str">
        <f t="shared" si="98"/>
        <v>610040</v>
      </c>
      <c r="H186" s="224" t="s">
        <v>515</v>
      </c>
      <c r="I186" s="225">
        <v>610040</v>
      </c>
      <c r="J186" s="224">
        <v>0</v>
      </c>
      <c r="K186" s="224">
        <v>0</v>
      </c>
      <c r="L186" s="224">
        <v>784.13</v>
      </c>
      <c r="M186" s="224">
        <v>0</v>
      </c>
      <c r="N186" s="224">
        <v>0</v>
      </c>
      <c r="O186" s="224">
        <v>421.36</v>
      </c>
      <c r="P186" s="224">
        <v>0</v>
      </c>
      <c r="Q186" s="224">
        <v>0</v>
      </c>
      <c r="R186" s="224">
        <v>29.85</v>
      </c>
      <c r="S186" s="224">
        <v>418.86</v>
      </c>
      <c r="T186" s="224">
        <v>0</v>
      </c>
      <c r="U186" s="224">
        <v>0</v>
      </c>
      <c r="V186" s="224">
        <v>46.9</v>
      </c>
      <c r="W186" s="224">
        <v>0</v>
      </c>
      <c r="X186" s="224">
        <v>0</v>
      </c>
      <c r="Y186" s="224">
        <v>0</v>
      </c>
      <c r="Z186" s="224">
        <v>0</v>
      </c>
      <c r="AA186" s="224">
        <v>0</v>
      </c>
      <c r="AB186" s="224">
        <v>0</v>
      </c>
      <c r="AC186" s="224">
        <v>0</v>
      </c>
      <c r="AD186" s="224">
        <v>175.44</v>
      </c>
      <c r="AE186" s="224">
        <v>0</v>
      </c>
      <c r="AF186" s="224">
        <v>0</v>
      </c>
      <c r="AG186" s="224">
        <v>0</v>
      </c>
      <c r="AH186" s="224">
        <v>0</v>
      </c>
      <c r="AI186" s="224">
        <v>0</v>
      </c>
      <c r="AJ186" s="224">
        <v>0</v>
      </c>
      <c r="AK186" s="224">
        <v>0</v>
      </c>
      <c r="AL186" s="224">
        <v>175.5</v>
      </c>
      <c r="AM186" s="224">
        <v>0</v>
      </c>
    </row>
    <row r="187" spans="1:39" ht="14.4">
      <c r="A187" s="142" t="s">
        <v>149</v>
      </c>
      <c r="B187" s="171">
        <f t="shared" ca="1" si="99"/>
        <v>306.2</v>
      </c>
      <c r="C187" s="166" t="str">
        <f t="shared" si="95"/>
        <v>CONTRACTED PROF. SERVICES ACTIVITIES</v>
      </c>
      <c r="D187" s="166" t="str">
        <f t="shared" si="96"/>
        <v>ACTIVITIES</v>
      </c>
      <c r="E187" s="166" t="str">
        <f t="shared" si="97"/>
        <v>CONTRACTED PROF. SERVICES</v>
      </c>
      <c r="F187" s="166" t="str">
        <f t="shared" si="98"/>
        <v>610040</v>
      </c>
      <c r="H187" s="224" t="s">
        <v>15</v>
      </c>
      <c r="I187" s="225">
        <v>610040</v>
      </c>
      <c r="J187" s="224">
        <v>0</v>
      </c>
      <c r="K187" s="224">
        <v>0</v>
      </c>
      <c r="L187" s="224">
        <v>0</v>
      </c>
      <c r="M187" s="224">
        <v>0</v>
      </c>
      <c r="N187" s="224">
        <v>0</v>
      </c>
      <c r="O187" s="224">
        <v>0</v>
      </c>
      <c r="P187" s="224">
        <v>0</v>
      </c>
      <c r="Q187" s="224">
        <v>0</v>
      </c>
      <c r="R187" s="224">
        <v>0</v>
      </c>
      <c r="S187" s="224">
        <v>0</v>
      </c>
      <c r="T187" s="224">
        <v>0</v>
      </c>
      <c r="U187" s="224">
        <v>0</v>
      </c>
      <c r="V187" s="224">
        <v>0</v>
      </c>
      <c r="W187" s="224">
        <v>0</v>
      </c>
      <c r="X187" s="224">
        <v>125</v>
      </c>
      <c r="Y187" s="224">
        <v>0</v>
      </c>
      <c r="Z187" s="224">
        <v>0</v>
      </c>
      <c r="AA187" s="224">
        <v>0</v>
      </c>
      <c r="AB187" s="224">
        <v>0</v>
      </c>
      <c r="AC187" s="224">
        <v>0</v>
      </c>
      <c r="AD187" s="224">
        <v>0</v>
      </c>
      <c r="AE187" s="224">
        <v>0</v>
      </c>
      <c r="AF187" s="224">
        <v>0</v>
      </c>
      <c r="AG187" s="224">
        <v>0</v>
      </c>
      <c r="AH187" s="224">
        <v>0</v>
      </c>
      <c r="AI187" s="224">
        <v>0</v>
      </c>
      <c r="AJ187" s="224">
        <v>125</v>
      </c>
      <c r="AK187" s="224">
        <v>0</v>
      </c>
      <c r="AL187" s="224">
        <v>0</v>
      </c>
      <c r="AM187" s="224">
        <v>0</v>
      </c>
    </row>
    <row r="188" spans="1:39" ht="14.4">
      <c r="A188" s="142" t="s">
        <v>149</v>
      </c>
      <c r="B188" s="171">
        <f t="shared" ca="1" si="99"/>
        <v>305.2</v>
      </c>
      <c r="C188" s="166" t="str">
        <f t="shared" si="95"/>
        <v>CONTRACTED PROF. SERVICES DIETARY</v>
      </c>
      <c r="D188" s="166" t="str">
        <f t="shared" si="96"/>
        <v>DIETARY</v>
      </c>
      <c r="E188" s="166" t="str">
        <f t="shared" si="97"/>
        <v>CONTRACTED PROF. SERVICES</v>
      </c>
      <c r="F188" s="166" t="str">
        <f t="shared" si="98"/>
        <v>610040</v>
      </c>
      <c r="H188" s="224" t="s">
        <v>18</v>
      </c>
      <c r="I188" s="225">
        <v>610040</v>
      </c>
      <c r="J188" s="224">
        <v>893</v>
      </c>
      <c r="K188" s="224">
        <v>846</v>
      </c>
      <c r="L188" s="224">
        <v>752</v>
      </c>
      <c r="M188" s="224">
        <v>775.5</v>
      </c>
      <c r="N188" s="224">
        <v>893</v>
      </c>
      <c r="O188" s="224">
        <v>806</v>
      </c>
      <c r="P188" s="224">
        <v>815.5</v>
      </c>
      <c r="Q188" s="224">
        <v>822.5</v>
      </c>
      <c r="R188" s="224">
        <v>830</v>
      </c>
      <c r="S188" s="224">
        <v>1167.5</v>
      </c>
      <c r="T188" s="224">
        <v>750</v>
      </c>
      <c r="U188" s="224">
        <v>754</v>
      </c>
      <c r="V188" s="224">
        <v>658</v>
      </c>
      <c r="W188" s="224">
        <v>669.75</v>
      </c>
      <c r="X188" s="224">
        <v>675.35</v>
      </c>
      <c r="Y188" s="224">
        <v>728.5</v>
      </c>
      <c r="Z188" s="224">
        <v>735.6</v>
      </c>
      <c r="AA188" s="224">
        <v>526.70000000000005</v>
      </c>
      <c r="AB188" s="224">
        <v>604.85</v>
      </c>
      <c r="AC188" s="224">
        <v>734.1</v>
      </c>
      <c r="AD188" s="224">
        <v>569.6</v>
      </c>
      <c r="AE188" s="224">
        <v>581.35</v>
      </c>
      <c r="AF188" s="224">
        <v>550</v>
      </c>
      <c r="AG188" s="224">
        <v>579.85</v>
      </c>
      <c r="AH188" s="224">
        <v>1407.2</v>
      </c>
      <c r="AI188" s="224">
        <v>863.5</v>
      </c>
      <c r="AJ188" s="224">
        <v>875.25</v>
      </c>
      <c r="AK188" s="224">
        <v>669.75</v>
      </c>
      <c r="AL188" s="224">
        <v>1069</v>
      </c>
      <c r="AM188" s="224">
        <v>669.75</v>
      </c>
    </row>
    <row r="189" spans="1:39" ht="14.4">
      <c r="A189" s="142" t="s">
        <v>149</v>
      </c>
      <c r="B189" s="171">
        <f t="shared" ca="1" si="99"/>
        <v>308.2</v>
      </c>
      <c r="C189" s="166" t="str">
        <f t="shared" si="95"/>
        <v>CONTRACTED PROF. SERVICES HOUSEKEEPING</v>
      </c>
      <c r="D189" s="166" t="str">
        <f t="shared" si="96"/>
        <v>HOUSEKEEPING</v>
      </c>
      <c r="E189" s="166" t="str">
        <f t="shared" si="97"/>
        <v>CONTRACTED PROF. SERVICES</v>
      </c>
      <c r="F189" s="166" t="str">
        <f t="shared" si="98"/>
        <v>610040</v>
      </c>
      <c r="H189" s="224" t="s">
        <v>17</v>
      </c>
      <c r="I189" s="225">
        <v>610040</v>
      </c>
      <c r="J189" s="224">
        <v>11176.41</v>
      </c>
      <c r="K189" s="224">
        <v>11176.41</v>
      </c>
      <c r="L189" s="224">
        <v>11176.41</v>
      </c>
      <c r="M189" s="224">
        <v>11176.41</v>
      </c>
      <c r="N189" s="224">
        <v>11176.41</v>
      </c>
      <c r="O189" s="224">
        <v>11176.41</v>
      </c>
      <c r="P189" s="224">
        <v>11176.41</v>
      </c>
      <c r="Q189" s="224">
        <v>11176.41</v>
      </c>
      <c r="R189" s="224">
        <v>11176.41</v>
      </c>
      <c r="S189" s="224">
        <v>11176.41</v>
      </c>
      <c r="T189" s="224">
        <v>11176.41</v>
      </c>
      <c r="U189" s="224">
        <v>11176.41</v>
      </c>
      <c r="V189" s="224">
        <v>11176.41</v>
      </c>
      <c r="W189" s="224">
        <v>11176.41</v>
      </c>
      <c r="X189" s="224">
        <v>11176.41</v>
      </c>
      <c r="Y189" s="224">
        <v>11176.41</v>
      </c>
      <c r="Z189" s="224">
        <v>11176.41</v>
      </c>
      <c r="AA189" s="224">
        <v>11176.41</v>
      </c>
      <c r="AB189" s="224">
        <v>11176.41</v>
      </c>
      <c r="AC189" s="224">
        <v>11176.41</v>
      </c>
      <c r="AD189" s="224">
        <v>11176.41</v>
      </c>
      <c r="AE189" s="224">
        <v>11176.41</v>
      </c>
      <c r="AF189" s="224">
        <v>11176.41</v>
      </c>
      <c r="AG189" s="224">
        <v>11176.41</v>
      </c>
      <c r="AH189" s="224">
        <v>11176.41</v>
      </c>
      <c r="AI189" s="224">
        <v>11544.02</v>
      </c>
      <c r="AJ189" s="224">
        <v>11176.41</v>
      </c>
      <c r="AK189" s="224">
        <v>11176.41</v>
      </c>
      <c r="AL189" s="224">
        <v>11176.41</v>
      </c>
      <c r="AM189" s="224">
        <v>11176.41</v>
      </c>
    </row>
    <row r="190" spans="1:39" ht="14.4">
      <c r="A190" s="142" t="s">
        <v>149</v>
      </c>
      <c r="B190" s="171">
        <f t="shared" ca="1" si="99"/>
        <v>318.2</v>
      </c>
      <c r="C190" s="166" t="str">
        <f t="shared" si="95"/>
        <v>CONTRACTED PROF. SERVICES MAINTENANCE/PLANT OPER.</v>
      </c>
      <c r="D190" s="166" t="str">
        <f t="shared" si="96"/>
        <v>MAINTENANCE/PLANT OPER.</v>
      </c>
      <c r="E190" s="166" t="str">
        <f t="shared" si="97"/>
        <v>CONTRACTED PROF. SERVICES</v>
      </c>
      <c r="F190" s="166" t="str">
        <f t="shared" si="98"/>
        <v>610040</v>
      </c>
      <c r="H190" s="224" t="s">
        <v>516</v>
      </c>
      <c r="I190" s="225">
        <v>610040</v>
      </c>
      <c r="J190" s="224">
        <v>3354.96</v>
      </c>
      <c r="K190" s="224">
        <v>2004.2</v>
      </c>
      <c r="L190" s="224">
        <v>4244.6900000000005</v>
      </c>
      <c r="M190" s="224">
        <v>1372.05</v>
      </c>
      <c r="N190" s="224">
        <v>1644.04</v>
      </c>
      <c r="O190" s="224">
        <v>2048.34</v>
      </c>
      <c r="P190" s="224">
        <v>1953.16</v>
      </c>
      <c r="Q190" s="224">
        <v>2192.65</v>
      </c>
      <c r="R190" s="224">
        <v>2923.02</v>
      </c>
      <c r="S190" s="224">
        <v>1302.6500000000001</v>
      </c>
      <c r="T190" s="224">
        <v>958.76</v>
      </c>
      <c r="U190" s="224">
        <v>2109.31</v>
      </c>
      <c r="V190" s="224">
        <v>1598.96</v>
      </c>
      <c r="W190" s="224">
        <v>1697.96</v>
      </c>
      <c r="X190" s="224">
        <v>1541.53</v>
      </c>
      <c r="Y190" s="224">
        <v>711.17</v>
      </c>
      <c r="Z190" s="224">
        <v>1152.6000000000001</v>
      </c>
      <c r="AA190" s="224">
        <v>2121.17</v>
      </c>
      <c r="AB190" s="224">
        <v>10030.73</v>
      </c>
      <c r="AC190" s="224">
        <v>1648.75</v>
      </c>
      <c r="AD190" s="224">
        <v>2871.82</v>
      </c>
      <c r="AE190" s="224">
        <v>2643.57</v>
      </c>
      <c r="AF190" s="224">
        <v>2730.56</v>
      </c>
      <c r="AG190" s="224">
        <v>1559.44</v>
      </c>
      <c r="AH190" s="224">
        <v>1659.88</v>
      </c>
      <c r="AI190" s="224">
        <v>13059.07</v>
      </c>
      <c r="AJ190" s="224">
        <v>2653.53</v>
      </c>
      <c r="AK190" s="224">
        <v>1075.52</v>
      </c>
      <c r="AL190" s="224">
        <v>719.51</v>
      </c>
      <c r="AM190" s="224">
        <v>3891.33</v>
      </c>
    </row>
    <row r="191" spans="1:39" ht="14.4">
      <c r="A191" s="142" t="s">
        <v>149</v>
      </c>
      <c r="B191" s="171">
        <f t="shared" ca="1" si="99"/>
        <v>309.2</v>
      </c>
      <c r="C191" s="166" t="str">
        <f t="shared" si="95"/>
        <v>CONTRACTED PROF. SERVICES LAUNDRY</v>
      </c>
      <c r="D191" s="166" t="str">
        <f t="shared" si="96"/>
        <v>LAUNDRY</v>
      </c>
      <c r="E191" s="166" t="str">
        <f t="shared" si="97"/>
        <v>CONTRACTED PROF. SERVICES</v>
      </c>
      <c r="F191" s="166" t="str">
        <f t="shared" si="98"/>
        <v>610040</v>
      </c>
      <c r="H191" s="224" t="s">
        <v>517</v>
      </c>
      <c r="I191" s="225">
        <v>610040</v>
      </c>
      <c r="J191" s="224">
        <v>7450.92</v>
      </c>
      <c r="K191" s="224">
        <v>7450.92</v>
      </c>
      <c r="L191" s="224">
        <v>7450.92</v>
      </c>
      <c r="M191" s="224">
        <v>7450.92</v>
      </c>
      <c r="N191" s="224">
        <v>7450.92</v>
      </c>
      <c r="O191" s="224">
        <v>7450.92</v>
      </c>
      <c r="P191" s="224">
        <v>7450.92</v>
      </c>
      <c r="Q191" s="224">
        <v>7450.92</v>
      </c>
      <c r="R191" s="224">
        <v>7450.92</v>
      </c>
      <c r="S191" s="224">
        <v>7450.92</v>
      </c>
      <c r="T191" s="224">
        <v>7450.92</v>
      </c>
      <c r="U191" s="224">
        <v>7450.92</v>
      </c>
      <c r="V191" s="224">
        <v>7450.92</v>
      </c>
      <c r="W191" s="224">
        <v>7450.92</v>
      </c>
      <c r="X191" s="224">
        <v>7450.92</v>
      </c>
      <c r="Y191" s="224">
        <v>7450.92</v>
      </c>
      <c r="Z191" s="224">
        <v>7450.92</v>
      </c>
      <c r="AA191" s="224">
        <v>7450.92</v>
      </c>
      <c r="AB191" s="224">
        <v>7450.92</v>
      </c>
      <c r="AC191" s="224">
        <v>7450.92</v>
      </c>
      <c r="AD191" s="224">
        <v>7450.92</v>
      </c>
      <c r="AE191" s="224">
        <v>7450.92</v>
      </c>
      <c r="AF191" s="224">
        <v>7450.92</v>
      </c>
      <c r="AG191" s="224">
        <v>7450.92</v>
      </c>
      <c r="AH191" s="224">
        <v>7450.92</v>
      </c>
      <c r="AI191" s="224">
        <v>7696.07</v>
      </c>
      <c r="AJ191" s="224">
        <v>7450.92</v>
      </c>
      <c r="AK191" s="224">
        <v>7450.92</v>
      </c>
      <c r="AL191" s="224">
        <v>7450.92</v>
      </c>
      <c r="AM191" s="224">
        <v>7450.92</v>
      </c>
    </row>
    <row r="192" spans="1:39" ht="14.4">
      <c r="A192" s="142" t="s">
        <v>149</v>
      </c>
      <c r="B192" s="171">
        <f t="shared" ca="1" si="99"/>
        <v>304.2</v>
      </c>
      <c r="C192" s="166" t="str">
        <f t="shared" si="95"/>
        <v>CONTRACTED PROF. SERVICES MEDICAL RECORDS</v>
      </c>
      <c r="D192" s="166" t="str">
        <f t="shared" si="96"/>
        <v>MEDICAL RECORDS</v>
      </c>
      <c r="E192" s="166" t="str">
        <f t="shared" si="97"/>
        <v>CONTRACTED PROF. SERVICES</v>
      </c>
      <c r="F192" s="166" t="str">
        <f t="shared" si="98"/>
        <v>610040</v>
      </c>
      <c r="H192" s="224" t="s">
        <v>518</v>
      </c>
      <c r="I192" s="225">
        <v>610040</v>
      </c>
      <c r="J192" s="224">
        <v>0</v>
      </c>
      <c r="K192" s="224">
        <v>0</v>
      </c>
      <c r="L192" s="224">
        <v>0</v>
      </c>
      <c r="M192" s="224">
        <v>410</v>
      </c>
      <c r="N192" s="224">
        <v>0</v>
      </c>
      <c r="O192" s="224">
        <v>0</v>
      </c>
      <c r="P192" s="224">
        <v>0</v>
      </c>
      <c r="Q192" s="224">
        <v>0</v>
      </c>
      <c r="R192" s="224">
        <v>0</v>
      </c>
      <c r="S192" s="224">
        <v>435</v>
      </c>
      <c r="T192" s="224">
        <v>0</v>
      </c>
      <c r="U192" s="224">
        <v>0</v>
      </c>
      <c r="V192" s="224">
        <v>0</v>
      </c>
      <c r="W192" s="224">
        <v>0</v>
      </c>
      <c r="X192" s="224">
        <v>0</v>
      </c>
      <c r="Y192" s="224">
        <v>0</v>
      </c>
      <c r="Z192" s="224">
        <v>0</v>
      </c>
      <c r="AA192" s="224">
        <v>0</v>
      </c>
      <c r="AB192" s="224">
        <v>0</v>
      </c>
      <c r="AC192" s="224">
        <v>0</v>
      </c>
      <c r="AD192" s="224">
        <v>0</v>
      </c>
      <c r="AE192" s="224">
        <v>845</v>
      </c>
      <c r="AF192" s="224">
        <v>0</v>
      </c>
      <c r="AG192" s="224">
        <v>0</v>
      </c>
      <c r="AH192" s="224">
        <v>0</v>
      </c>
      <c r="AI192" s="224">
        <v>0</v>
      </c>
      <c r="AJ192" s="224">
        <v>0</v>
      </c>
      <c r="AK192" s="224">
        <v>435</v>
      </c>
      <c r="AL192" s="224">
        <v>0</v>
      </c>
      <c r="AM192" s="224">
        <v>0</v>
      </c>
    </row>
    <row r="193" spans="1:39" ht="14.4">
      <c r="A193" s="142" t="s">
        <v>149</v>
      </c>
      <c r="B193" s="171">
        <f t="shared" ca="1" si="99"/>
        <v>310.2</v>
      </c>
      <c r="C193" s="166" t="str">
        <f t="shared" si="95"/>
        <v>CONTRACTED PROF. SERVICES COMMUNITY RELATIONS</v>
      </c>
      <c r="D193" s="166" t="str">
        <f t="shared" si="96"/>
        <v>COMMUNITY RELATIONS</v>
      </c>
      <c r="E193" s="166" t="str">
        <f t="shared" si="97"/>
        <v>CONTRACTED PROF. SERVICES</v>
      </c>
      <c r="F193" s="166" t="str">
        <f t="shared" si="98"/>
        <v>610040</v>
      </c>
      <c r="H193" s="224" t="s">
        <v>519</v>
      </c>
      <c r="I193" s="225">
        <v>610040</v>
      </c>
      <c r="J193" s="224">
        <v>99</v>
      </c>
      <c r="K193" s="224">
        <v>99</v>
      </c>
      <c r="L193" s="224">
        <v>99</v>
      </c>
      <c r="M193" s="224">
        <v>0</v>
      </c>
      <c r="N193" s="224">
        <v>0</v>
      </c>
      <c r="O193" s="224">
        <v>0</v>
      </c>
      <c r="P193" s="224">
        <v>0</v>
      </c>
      <c r="Q193" s="224">
        <v>0</v>
      </c>
      <c r="R193" s="224">
        <v>0</v>
      </c>
      <c r="S193" s="224">
        <v>0</v>
      </c>
      <c r="T193" s="224">
        <v>0</v>
      </c>
      <c r="U193" s="224">
        <v>0</v>
      </c>
      <c r="V193" s="224">
        <v>0</v>
      </c>
      <c r="W193" s="224">
        <v>0</v>
      </c>
      <c r="X193" s="224">
        <v>0</v>
      </c>
      <c r="Y193" s="224">
        <v>0</v>
      </c>
      <c r="Z193" s="224">
        <v>0</v>
      </c>
      <c r="AA193" s="224">
        <v>0</v>
      </c>
      <c r="AB193" s="224">
        <v>0</v>
      </c>
      <c r="AC193" s="224">
        <v>0</v>
      </c>
      <c r="AD193" s="224">
        <v>0</v>
      </c>
      <c r="AE193" s="224">
        <v>0</v>
      </c>
      <c r="AF193" s="224">
        <v>0</v>
      </c>
      <c r="AG193" s="224">
        <v>0</v>
      </c>
      <c r="AH193" s="224">
        <v>0</v>
      </c>
      <c r="AI193" s="224">
        <v>0</v>
      </c>
      <c r="AJ193" s="224">
        <v>0</v>
      </c>
      <c r="AK193" s="224">
        <v>0</v>
      </c>
      <c r="AL193" s="224">
        <v>0</v>
      </c>
      <c r="AM193" s="224">
        <v>0</v>
      </c>
    </row>
    <row r="194" spans="1:39" ht="14.4">
      <c r="A194" s="142" t="s">
        <v>149</v>
      </c>
      <c r="B194" s="171">
        <f t="shared" ca="1" si="99"/>
        <v>311.2</v>
      </c>
      <c r="C194" s="166" t="str">
        <f t="shared" si="95"/>
        <v>CONTRACTED PROF. SERVICES ADMINISTRATION</v>
      </c>
      <c r="D194" s="166" t="str">
        <f t="shared" si="96"/>
        <v>ADMINISTRATION</v>
      </c>
      <c r="E194" s="166" t="str">
        <f t="shared" si="97"/>
        <v>CONTRACTED PROF. SERVICES</v>
      </c>
      <c r="F194" s="166" t="str">
        <f t="shared" si="98"/>
        <v>610040</v>
      </c>
      <c r="H194" s="224" t="s">
        <v>520</v>
      </c>
      <c r="I194" s="225">
        <v>610040</v>
      </c>
      <c r="J194" s="227">
        <v>171.67000000000002</v>
      </c>
      <c r="K194" s="227">
        <v>133.39000000000001</v>
      </c>
      <c r="L194" s="227">
        <v>96.28</v>
      </c>
      <c r="M194" s="227">
        <v>133.87</v>
      </c>
      <c r="N194" s="227">
        <v>90.41</v>
      </c>
      <c r="O194" s="227">
        <v>37.14</v>
      </c>
      <c r="P194" s="227">
        <v>118.15</v>
      </c>
      <c r="Q194" s="227">
        <v>161.51</v>
      </c>
      <c r="R194" s="227">
        <v>126.73</v>
      </c>
      <c r="S194" s="227">
        <v>80.08</v>
      </c>
      <c r="T194" s="227">
        <v>157.38</v>
      </c>
      <c r="U194" s="227">
        <v>576.21</v>
      </c>
      <c r="V194" s="227">
        <v>142.4</v>
      </c>
      <c r="W194" s="227">
        <v>176.36</v>
      </c>
      <c r="X194" s="227">
        <v>256.60000000000002</v>
      </c>
      <c r="Y194" s="227">
        <v>538.32000000000005</v>
      </c>
      <c r="Z194" s="227">
        <v>160.09</v>
      </c>
      <c r="AA194" s="227">
        <v>28.67</v>
      </c>
      <c r="AB194" s="227">
        <v>207.61</v>
      </c>
      <c r="AC194" s="227">
        <v>157.11000000000001</v>
      </c>
      <c r="AD194" s="227">
        <v>219.63</v>
      </c>
      <c r="AE194" s="227">
        <v>928.26</v>
      </c>
      <c r="AF194" s="227">
        <v>172.43</v>
      </c>
      <c r="AG194" s="227">
        <v>140.22999999999999</v>
      </c>
      <c r="AH194" s="227">
        <v>341.76</v>
      </c>
      <c r="AI194" s="227">
        <v>514.87</v>
      </c>
      <c r="AJ194" s="227">
        <v>197.82</v>
      </c>
      <c r="AK194" s="227">
        <v>152.07</v>
      </c>
      <c r="AL194" s="227">
        <v>310.77</v>
      </c>
      <c r="AM194" s="227">
        <v>178.70000000000002</v>
      </c>
    </row>
    <row r="195" spans="1:39" ht="14.4">
      <c r="A195" s="142" t="str">
        <f t="shared" ref="A195:A209" si="100">IF(AND(LEN(H195)&gt;0,LEN(H194)=0,LEFT(H195,3)&lt;&gt;"TOT"),"GROUP","")</f>
        <v/>
      </c>
      <c r="B195" s="171" t="str">
        <f t="shared" ca="1" si="99"/>
        <v/>
      </c>
      <c r="C195" s="166" t="str">
        <f t="shared" si="95"/>
        <v/>
      </c>
      <c r="D195" s="166" t="str">
        <f t="shared" si="96"/>
        <v/>
      </c>
      <c r="E195" s="166" t="str">
        <f t="shared" si="97"/>
        <v/>
      </c>
      <c r="F195" s="166"/>
      <c r="H195" s="226" t="s">
        <v>521</v>
      </c>
      <c r="I195" s="225">
        <v>610040</v>
      </c>
      <c r="J195" s="224">
        <v>100409.79000000001</v>
      </c>
      <c r="K195" s="224">
        <v>96242.15</v>
      </c>
      <c r="L195" s="224">
        <v>99450.190000000017</v>
      </c>
      <c r="M195" s="224">
        <v>99082.510000000009</v>
      </c>
      <c r="N195" s="224">
        <v>95393.88</v>
      </c>
      <c r="O195" s="224">
        <v>93886.04</v>
      </c>
      <c r="P195" s="224">
        <v>93589.84</v>
      </c>
      <c r="Q195" s="224">
        <v>87567.309999999983</v>
      </c>
      <c r="R195" s="224">
        <v>93988.900000000009</v>
      </c>
      <c r="S195" s="224">
        <v>90848.98000000001</v>
      </c>
      <c r="T195" s="224">
        <v>74201.31</v>
      </c>
      <c r="U195" s="224">
        <v>70666.540000000008</v>
      </c>
      <c r="V195" s="224">
        <v>48920.31</v>
      </c>
      <c r="W195" s="224">
        <v>42151.62</v>
      </c>
      <c r="X195" s="224">
        <v>52320.869999999995</v>
      </c>
      <c r="Y195" s="224">
        <v>55420.99</v>
      </c>
      <c r="Z195" s="224">
        <v>47021.24</v>
      </c>
      <c r="AA195" s="224">
        <v>37456.03</v>
      </c>
      <c r="AB195" s="224">
        <v>49572</v>
      </c>
      <c r="AC195" s="224">
        <v>44961.929999999993</v>
      </c>
      <c r="AD195" s="224">
        <v>42316.579999999994</v>
      </c>
      <c r="AE195" s="224">
        <v>48720.83</v>
      </c>
      <c r="AF195" s="224">
        <v>47207.55999999999</v>
      </c>
      <c r="AG195" s="224">
        <v>35851.350000000006</v>
      </c>
      <c r="AH195" s="224">
        <v>59837.7</v>
      </c>
      <c r="AI195" s="224">
        <v>70784.489999999991</v>
      </c>
      <c r="AJ195" s="224">
        <v>59048.99</v>
      </c>
      <c r="AK195" s="224">
        <v>50749.509999999995</v>
      </c>
      <c r="AL195" s="224">
        <v>53688.760000000009</v>
      </c>
      <c r="AM195" s="224">
        <v>58386.209999999992</v>
      </c>
    </row>
    <row r="196" spans="1:39" ht="14.4">
      <c r="A196" s="142" t="str">
        <f t="shared" si="100"/>
        <v/>
      </c>
      <c r="B196" s="171" t="str">
        <f t="shared" ca="1" si="99"/>
        <v/>
      </c>
      <c r="C196" s="166" t="str">
        <f t="shared" si="95"/>
        <v/>
      </c>
      <c r="D196" s="166" t="str">
        <f t="shared" si="96"/>
        <v/>
      </c>
      <c r="E196" s="166" t="str">
        <f t="shared" si="97"/>
        <v/>
      </c>
      <c r="F196" s="166" t="str">
        <f t="shared" si="98"/>
        <v/>
      </c>
      <c r="H196" s="224"/>
      <c r="I196" s="225"/>
      <c r="J196" s="224"/>
      <c r="K196" s="224"/>
      <c r="L196" s="224"/>
      <c r="M196" s="224"/>
      <c r="N196" s="224"/>
      <c r="O196" s="224"/>
      <c r="P196" s="224"/>
      <c r="Q196" s="224"/>
      <c r="R196" s="224"/>
      <c r="S196" s="224"/>
      <c r="T196" s="224"/>
      <c r="U196" s="224"/>
      <c r="V196" s="224"/>
      <c r="W196" s="224"/>
      <c r="X196" s="224"/>
      <c r="Y196" s="224"/>
      <c r="Z196" s="224"/>
      <c r="AA196" s="224"/>
      <c r="AB196" s="224"/>
      <c r="AC196" s="224"/>
      <c r="AD196" s="224"/>
      <c r="AE196" s="224"/>
      <c r="AF196" s="224"/>
      <c r="AG196" s="224"/>
      <c r="AH196" s="224"/>
      <c r="AI196" s="224"/>
      <c r="AJ196" s="224"/>
      <c r="AK196" s="224"/>
      <c r="AL196" s="224"/>
      <c r="AM196" s="224"/>
    </row>
    <row r="197" spans="1:39" ht="14.4">
      <c r="A197" s="142" t="str">
        <f t="shared" si="100"/>
        <v>GROUP</v>
      </c>
      <c r="B197" s="171"/>
      <c r="C197" s="166" t="str">
        <f t="shared" si="95"/>
        <v/>
      </c>
      <c r="D197" s="166" t="str">
        <f t="shared" si="96"/>
        <v/>
      </c>
      <c r="E197" s="166" t="str">
        <f t="shared" si="97"/>
        <v>WAGES</v>
      </c>
      <c r="F197" s="166" t="str">
        <f t="shared" si="98"/>
        <v/>
      </c>
      <c r="H197" s="224" t="s">
        <v>150</v>
      </c>
      <c r="I197" s="225"/>
      <c r="J197" s="224"/>
      <c r="K197" s="224"/>
      <c r="L197" s="224"/>
      <c r="M197" s="224"/>
      <c r="N197" s="224"/>
      <c r="O197" s="224"/>
      <c r="P197" s="224"/>
      <c r="Q197" s="224"/>
      <c r="R197" s="224"/>
      <c r="S197" s="224"/>
      <c r="T197" s="224"/>
      <c r="U197" s="224"/>
      <c r="V197" s="224"/>
      <c r="W197" s="224"/>
      <c r="X197" s="224"/>
      <c r="Y197" s="224"/>
      <c r="Z197" s="224"/>
      <c r="AA197" s="224"/>
      <c r="AB197" s="224"/>
      <c r="AC197" s="224"/>
      <c r="AD197" s="224"/>
      <c r="AE197" s="224"/>
      <c r="AF197" s="224"/>
      <c r="AG197" s="224"/>
      <c r="AH197" s="224"/>
      <c r="AI197" s="224"/>
      <c r="AJ197" s="224"/>
      <c r="AK197" s="224"/>
      <c r="AL197" s="224"/>
      <c r="AM197" s="224"/>
    </row>
    <row r="198" spans="1:39" ht="14.4">
      <c r="A198" s="142" t="s">
        <v>149</v>
      </c>
      <c r="B198" s="171">
        <f t="shared" ca="1" si="99"/>
        <v>302.10000000000002</v>
      </c>
      <c r="C198" s="166" t="str">
        <f t="shared" si="95"/>
        <v>WAGES NURSING ADMINISTRATION</v>
      </c>
      <c r="D198" s="166" t="str">
        <f t="shared" si="96"/>
        <v>NURSING ADMINISTRATION</v>
      </c>
      <c r="E198" s="166" t="str">
        <f t="shared" si="97"/>
        <v>WAGES</v>
      </c>
      <c r="F198" s="166" t="str">
        <f t="shared" si="98"/>
        <v>500010</v>
      </c>
      <c r="H198" s="224" t="s">
        <v>506</v>
      </c>
      <c r="I198" s="225">
        <v>500010</v>
      </c>
      <c r="J198" s="224">
        <v>0</v>
      </c>
      <c r="K198" s="224">
        <v>1691.43</v>
      </c>
      <c r="L198" s="224">
        <v>-96.43</v>
      </c>
      <c r="M198" s="224">
        <v>0</v>
      </c>
      <c r="N198" s="224">
        <v>0</v>
      </c>
      <c r="O198" s="224">
        <v>0</v>
      </c>
      <c r="P198" s="224">
        <v>0</v>
      </c>
      <c r="Q198" s="224">
        <v>0</v>
      </c>
      <c r="R198" s="224">
        <v>0</v>
      </c>
      <c r="S198" s="224">
        <v>0</v>
      </c>
      <c r="T198" s="224">
        <v>0</v>
      </c>
      <c r="U198" s="224">
        <v>0</v>
      </c>
      <c r="V198" s="224">
        <v>0</v>
      </c>
      <c r="W198" s="224">
        <v>0</v>
      </c>
      <c r="X198" s="224">
        <v>0</v>
      </c>
      <c r="Y198" s="224">
        <v>0</v>
      </c>
      <c r="Z198" s="224">
        <v>0</v>
      </c>
      <c r="AA198" s="224">
        <v>0</v>
      </c>
      <c r="AB198" s="224">
        <v>0</v>
      </c>
      <c r="AC198" s="224">
        <v>0</v>
      </c>
      <c r="AD198" s="224">
        <v>0</v>
      </c>
      <c r="AE198" s="224">
        <v>0</v>
      </c>
      <c r="AF198" s="224">
        <v>0</v>
      </c>
      <c r="AG198" s="224">
        <v>0</v>
      </c>
      <c r="AH198" s="224">
        <v>0</v>
      </c>
      <c r="AI198" s="224">
        <v>0</v>
      </c>
      <c r="AJ198" s="224">
        <v>0</v>
      </c>
      <c r="AK198" s="224">
        <v>0</v>
      </c>
      <c r="AL198" s="224">
        <v>0</v>
      </c>
      <c r="AM198" s="224">
        <v>0</v>
      </c>
    </row>
    <row r="199" spans="1:39" ht="14.4">
      <c r="A199" s="142" t="s">
        <v>149</v>
      </c>
      <c r="B199" s="171">
        <f t="shared" ca="1" si="99"/>
        <v>310.10000000000002</v>
      </c>
      <c r="C199" s="166" t="str">
        <f t="shared" si="95"/>
        <v>WAGES ADMISSIONS</v>
      </c>
      <c r="D199" s="166" t="str">
        <f t="shared" si="96"/>
        <v>ADMISSIONS</v>
      </c>
      <c r="E199" s="166" t="str">
        <f t="shared" si="97"/>
        <v>WAGES</v>
      </c>
      <c r="F199" s="166" t="str">
        <f t="shared" si="98"/>
        <v>500010</v>
      </c>
      <c r="H199" s="224" t="s">
        <v>522</v>
      </c>
      <c r="I199" s="225">
        <v>500010</v>
      </c>
      <c r="J199" s="224">
        <v>5276.58</v>
      </c>
      <c r="K199" s="224">
        <v>4320</v>
      </c>
      <c r="L199" s="224">
        <v>4782.84</v>
      </c>
      <c r="M199" s="224">
        <v>3980.58</v>
      </c>
      <c r="N199" s="224">
        <v>4320</v>
      </c>
      <c r="O199" s="224">
        <v>3888</v>
      </c>
      <c r="P199" s="224">
        <v>3888</v>
      </c>
      <c r="Q199" s="224">
        <v>3888</v>
      </c>
      <c r="R199" s="224">
        <v>6020</v>
      </c>
      <c r="S199" s="224">
        <v>6230.24</v>
      </c>
      <c r="T199" s="224">
        <v>4004.64</v>
      </c>
      <c r="U199" s="224">
        <v>1557.3600000000001</v>
      </c>
      <c r="V199" s="224">
        <v>0</v>
      </c>
      <c r="W199" s="224">
        <v>0</v>
      </c>
      <c r="X199" s="224">
        <v>0</v>
      </c>
      <c r="Y199" s="224">
        <v>0</v>
      </c>
      <c r="Z199" s="224">
        <v>0</v>
      </c>
      <c r="AA199" s="224">
        <v>0</v>
      </c>
      <c r="AB199" s="224">
        <v>0</v>
      </c>
      <c r="AC199" s="224">
        <v>0</v>
      </c>
      <c r="AD199" s="224">
        <v>0</v>
      </c>
      <c r="AE199" s="224">
        <v>454.48</v>
      </c>
      <c r="AF199" s="224">
        <v>0</v>
      </c>
      <c r="AG199" s="224">
        <v>0</v>
      </c>
      <c r="AH199" s="224">
        <v>0</v>
      </c>
      <c r="AI199" s="224">
        <v>0</v>
      </c>
      <c r="AJ199" s="224">
        <v>0</v>
      </c>
      <c r="AK199" s="224">
        <v>0</v>
      </c>
      <c r="AL199" s="224">
        <v>0</v>
      </c>
      <c r="AM199" s="224">
        <v>0</v>
      </c>
    </row>
    <row r="200" spans="1:39" ht="14.4">
      <c r="A200" s="142" t="s">
        <v>149</v>
      </c>
      <c r="B200" s="171">
        <f t="shared" ca="1" si="99"/>
        <v>306.10000000000002</v>
      </c>
      <c r="C200" s="166" t="str">
        <f t="shared" si="95"/>
        <v>WAGES CLASSROOM ORIENTATION</v>
      </c>
      <c r="D200" s="166" t="str">
        <f t="shared" si="96"/>
        <v>CLASSROOM ORIENTATION</v>
      </c>
      <c r="E200" s="166" t="str">
        <f t="shared" si="97"/>
        <v>WAGES</v>
      </c>
      <c r="F200" s="166" t="str">
        <f t="shared" si="98"/>
        <v>500010</v>
      </c>
      <c r="H200" s="224" t="s">
        <v>523</v>
      </c>
      <c r="I200" s="225">
        <v>500010</v>
      </c>
      <c r="J200" s="224">
        <v>0</v>
      </c>
      <c r="K200" s="224">
        <v>140</v>
      </c>
      <c r="L200" s="224">
        <v>800</v>
      </c>
      <c r="M200" s="224">
        <v>22</v>
      </c>
      <c r="N200" s="224">
        <v>0</v>
      </c>
      <c r="O200" s="224">
        <v>0</v>
      </c>
      <c r="P200" s="224">
        <v>0</v>
      </c>
      <c r="Q200" s="224">
        <v>0</v>
      </c>
      <c r="R200" s="224">
        <v>0</v>
      </c>
      <c r="S200" s="224">
        <v>0</v>
      </c>
      <c r="T200" s="224">
        <v>0</v>
      </c>
      <c r="U200" s="224">
        <v>0</v>
      </c>
      <c r="V200" s="224">
        <v>105</v>
      </c>
      <c r="W200" s="224">
        <v>1533.33</v>
      </c>
      <c r="X200" s="224">
        <v>3876.61</v>
      </c>
      <c r="Y200" s="224">
        <v>3695.13</v>
      </c>
      <c r="Z200" s="224">
        <v>2760.04</v>
      </c>
      <c r="AA200" s="224">
        <v>3788.96</v>
      </c>
      <c r="AB200" s="224">
        <v>2435.38</v>
      </c>
      <c r="AC200" s="224">
        <v>2884.9500000000003</v>
      </c>
      <c r="AD200" s="224">
        <v>-63.58</v>
      </c>
      <c r="AE200" s="224">
        <v>0</v>
      </c>
      <c r="AF200" s="224">
        <v>0</v>
      </c>
      <c r="AG200" s="224">
        <v>0</v>
      </c>
      <c r="AH200" s="224">
        <v>0</v>
      </c>
      <c r="AI200" s="224">
        <v>0</v>
      </c>
      <c r="AJ200" s="224">
        <v>0</v>
      </c>
      <c r="AK200" s="224">
        <v>0</v>
      </c>
      <c r="AL200" s="224">
        <v>0</v>
      </c>
      <c r="AM200" s="224">
        <v>0</v>
      </c>
    </row>
    <row r="201" spans="1:39" ht="14.4">
      <c r="A201" s="142" t="s">
        <v>149</v>
      </c>
      <c r="B201" s="171">
        <f t="shared" ca="1" si="99"/>
        <v>306.10000000000002</v>
      </c>
      <c r="C201" s="166" t="str">
        <f t="shared" si="95"/>
        <v>WAGES ACTIVITIES</v>
      </c>
      <c r="D201" s="166" t="str">
        <f t="shared" si="96"/>
        <v>ACTIVITIES</v>
      </c>
      <c r="E201" s="166" t="str">
        <f t="shared" si="97"/>
        <v>WAGES</v>
      </c>
      <c r="F201" s="166" t="str">
        <f t="shared" si="98"/>
        <v>500010</v>
      </c>
      <c r="H201" s="224" t="s">
        <v>15</v>
      </c>
      <c r="I201" s="225">
        <v>500010</v>
      </c>
      <c r="J201" s="224">
        <v>3071.83</v>
      </c>
      <c r="K201" s="224">
        <v>2586.41</v>
      </c>
      <c r="L201" s="224">
        <v>4082.58</v>
      </c>
      <c r="M201" s="224">
        <v>3194.9300000000003</v>
      </c>
      <c r="N201" s="224">
        <v>3496.41</v>
      </c>
      <c r="O201" s="224">
        <v>3328.2200000000003</v>
      </c>
      <c r="P201" s="224">
        <v>3302.48</v>
      </c>
      <c r="Q201" s="224">
        <v>3527.57</v>
      </c>
      <c r="R201" s="224">
        <v>3658.82</v>
      </c>
      <c r="S201" s="224">
        <v>3554.78</v>
      </c>
      <c r="T201" s="224">
        <v>3233.05</v>
      </c>
      <c r="U201" s="224">
        <v>3296.9900000000002</v>
      </c>
      <c r="V201" s="224">
        <v>3359.03</v>
      </c>
      <c r="W201" s="224">
        <v>2588.15</v>
      </c>
      <c r="X201" s="224">
        <v>3010.53</v>
      </c>
      <c r="Y201" s="224">
        <v>2740.79</v>
      </c>
      <c r="Z201" s="224">
        <v>3046.48</v>
      </c>
      <c r="AA201" s="224">
        <v>2190.62</v>
      </c>
      <c r="AB201" s="224">
        <v>2827.98</v>
      </c>
      <c r="AC201" s="224">
        <v>3089.88</v>
      </c>
      <c r="AD201" s="224">
        <v>2828.66</v>
      </c>
      <c r="AE201" s="224">
        <v>2958.62</v>
      </c>
      <c r="AF201" s="224">
        <v>2145.46</v>
      </c>
      <c r="AG201" s="224">
        <v>2345</v>
      </c>
      <c r="AH201" s="224">
        <v>2674.6</v>
      </c>
      <c r="AI201" s="224">
        <v>2533.0700000000002</v>
      </c>
      <c r="AJ201" s="224">
        <v>2472.16</v>
      </c>
      <c r="AK201" s="224">
        <v>2596.0500000000002</v>
      </c>
      <c r="AL201" s="224">
        <v>2499.34</v>
      </c>
      <c r="AM201" s="224">
        <v>2543.0700000000002</v>
      </c>
    </row>
    <row r="202" spans="1:39" ht="14.4">
      <c r="A202" s="142" t="s">
        <v>149</v>
      </c>
      <c r="B202" s="171">
        <f t="shared" ca="1" si="99"/>
        <v>307.10000000000002</v>
      </c>
      <c r="C202" s="166" t="str">
        <f t="shared" si="95"/>
        <v>WAGES SOCIAL SERVICES</v>
      </c>
      <c r="D202" s="166" t="str">
        <f t="shared" si="96"/>
        <v>SOCIAL SERVICES</v>
      </c>
      <c r="E202" s="166" t="str">
        <f t="shared" si="97"/>
        <v>WAGES</v>
      </c>
      <c r="F202" s="166" t="str">
        <f t="shared" si="98"/>
        <v>500010</v>
      </c>
      <c r="H202" s="224" t="s">
        <v>14</v>
      </c>
      <c r="I202" s="225">
        <v>500010</v>
      </c>
      <c r="J202" s="224">
        <v>3320.01</v>
      </c>
      <c r="K202" s="224">
        <v>2985.71</v>
      </c>
      <c r="L202" s="224">
        <v>3436.42</v>
      </c>
      <c r="M202" s="224">
        <v>2896.39</v>
      </c>
      <c r="N202" s="224">
        <v>3296.06</v>
      </c>
      <c r="O202" s="224">
        <v>3420.66</v>
      </c>
      <c r="P202" s="224">
        <v>4043.75</v>
      </c>
      <c r="Q202" s="224">
        <v>3411.77</v>
      </c>
      <c r="R202" s="224">
        <v>4444.4000000000005</v>
      </c>
      <c r="S202" s="224">
        <v>3032.54</v>
      </c>
      <c r="T202" s="224">
        <v>3054.78</v>
      </c>
      <c r="U202" s="224">
        <v>3324.2400000000002</v>
      </c>
      <c r="V202" s="224">
        <v>3474.12</v>
      </c>
      <c r="W202" s="224">
        <v>1824.03</v>
      </c>
      <c r="X202" s="224">
        <v>2724.44</v>
      </c>
      <c r="Y202" s="224">
        <v>5730.18</v>
      </c>
      <c r="Z202" s="224">
        <v>2090.5300000000002</v>
      </c>
      <c r="AA202" s="224">
        <v>4619.7</v>
      </c>
      <c r="AB202" s="224">
        <v>3617.54</v>
      </c>
      <c r="AC202" s="224">
        <v>3300.16</v>
      </c>
      <c r="AD202" s="224">
        <v>2597.1799999999998</v>
      </c>
      <c r="AE202" s="224">
        <v>2998.2000000000003</v>
      </c>
      <c r="AF202" s="224">
        <v>3683.09</v>
      </c>
      <c r="AG202" s="224">
        <v>2688.77</v>
      </c>
      <c r="AH202" s="224">
        <v>3053.11</v>
      </c>
      <c r="AI202" s="224">
        <v>3785.27</v>
      </c>
      <c r="AJ202" s="224">
        <v>3881.17</v>
      </c>
      <c r="AK202" s="224">
        <v>2440.7200000000003</v>
      </c>
      <c r="AL202" s="224">
        <v>2671.08</v>
      </c>
      <c r="AM202" s="224">
        <v>3864.31</v>
      </c>
    </row>
    <row r="203" spans="1:39" ht="14.4">
      <c r="A203" s="142" t="s">
        <v>149</v>
      </c>
      <c r="B203" s="171">
        <f t="shared" ca="1" si="99"/>
        <v>305.10000000000002</v>
      </c>
      <c r="C203" s="166" t="str">
        <f t="shared" si="95"/>
        <v>WAGES DIETARY</v>
      </c>
      <c r="D203" s="166" t="str">
        <f t="shared" si="96"/>
        <v>DIETARY</v>
      </c>
      <c r="E203" s="166" t="str">
        <f t="shared" si="97"/>
        <v>WAGES</v>
      </c>
      <c r="F203" s="166" t="str">
        <f t="shared" si="98"/>
        <v>500010</v>
      </c>
      <c r="H203" s="224" t="s">
        <v>18</v>
      </c>
      <c r="I203" s="225">
        <v>500010</v>
      </c>
      <c r="J203" s="224">
        <v>14695.19</v>
      </c>
      <c r="K203" s="224">
        <v>14030.69</v>
      </c>
      <c r="L203" s="224">
        <v>13980.82</v>
      </c>
      <c r="M203" s="224">
        <v>15904.41</v>
      </c>
      <c r="N203" s="224">
        <v>15505.970000000001</v>
      </c>
      <c r="O203" s="224">
        <v>14542.42</v>
      </c>
      <c r="P203" s="224">
        <v>14770.49</v>
      </c>
      <c r="Q203" s="224">
        <v>14317.25</v>
      </c>
      <c r="R203" s="224">
        <v>14391.36</v>
      </c>
      <c r="S203" s="224">
        <v>11213.29</v>
      </c>
      <c r="T203" s="224">
        <v>13425.18</v>
      </c>
      <c r="U203" s="224">
        <v>14206.32</v>
      </c>
      <c r="V203" s="224">
        <v>13604.18</v>
      </c>
      <c r="W203" s="224">
        <v>12121.17</v>
      </c>
      <c r="X203" s="224">
        <v>12361.48</v>
      </c>
      <c r="Y203" s="224">
        <v>11303.5</v>
      </c>
      <c r="Z203" s="224">
        <v>11617.74</v>
      </c>
      <c r="AA203" s="224">
        <v>12817.34</v>
      </c>
      <c r="AB203" s="224">
        <v>8422.77</v>
      </c>
      <c r="AC203" s="224">
        <v>12281.73</v>
      </c>
      <c r="AD203" s="224">
        <v>11823.630000000001</v>
      </c>
      <c r="AE203" s="224">
        <v>11890.1</v>
      </c>
      <c r="AF203" s="224">
        <v>10122.73</v>
      </c>
      <c r="AG203" s="224">
        <v>12241.99</v>
      </c>
      <c r="AH203" s="224">
        <v>10310.91</v>
      </c>
      <c r="AI203" s="224">
        <v>7664.16</v>
      </c>
      <c r="AJ203" s="224">
        <v>8152.77</v>
      </c>
      <c r="AK203" s="224">
        <v>9329.25</v>
      </c>
      <c r="AL203" s="224">
        <v>8418.65</v>
      </c>
      <c r="AM203" s="224">
        <v>7586.03</v>
      </c>
    </row>
    <row r="204" spans="1:39" ht="14.4">
      <c r="A204" s="142" t="s">
        <v>149</v>
      </c>
      <c r="B204" s="171">
        <f t="shared" ca="1" si="99"/>
        <v>318.10000000000002</v>
      </c>
      <c r="C204" s="166" t="str">
        <f t="shared" si="95"/>
        <v>WAGES MAINTENANCE/PLANT OPER.</v>
      </c>
      <c r="D204" s="166" t="str">
        <f t="shared" si="96"/>
        <v>MAINTENANCE/PLANT OPER.</v>
      </c>
      <c r="E204" s="166" t="str">
        <f t="shared" si="97"/>
        <v>WAGES</v>
      </c>
      <c r="F204" s="166" t="str">
        <f t="shared" si="98"/>
        <v>500010</v>
      </c>
      <c r="H204" s="224" t="s">
        <v>516</v>
      </c>
      <c r="I204" s="225">
        <v>500010</v>
      </c>
      <c r="J204" s="224">
        <v>2659.44</v>
      </c>
      <c r="K204" s="224">
        <v>2649.42</v>
      </c>
      <c r="L204" s="224">
        <v>2573.7800000000002</v>
      </c>
      <c r="M204" s="224">
        <v>2562.86</v>
      </c>
      <c r="N204" s="224">
        <v>2606.79</v>
      </c>
      <c r="O204" s="224">
        <v>2546.36</v>
      </c>
      <c r="P204" s="224">
        <v>2123.6999999999998</v>
      </c>
      <c r="Q204" s="224">
        <v>4444.24</v>
      </c>
      <c r="R204" s="224">
        <v>3881.7000000000003</v>
      </c>
      <c r="S204" s="224">
        <v>2627.53</v>
      </c>
      <c r="T204" s="224">
        <v>2571.2000000000003</v>
      </c>
      <c r="U204" s="224">
        <v>5668.38</v>
      </c>
      <c r="V204" s="224">
        <v>8350.83</v>
      </c>
      <c r="W204" s="224">
        <v>2761.42</v>
      </c>
      <c r="X204" s="224">
        <v>4512.7700000000004</v>
      </c>
      <c r="Y204" s="224">
        <v>5201.28</v>
      </c>
      <c r="Z204" s="224">
        <v>5940.9000000000005</v>
      </c>
      <c r="AA204" s="224">
        <v>2739.52</v>
      </c>
      <c r="AB204" s="224">
        <v>3329.61</v>
      </c>
      <c r="AC204" s="224">
        <v>4705.88</v>
      </c>
      <c r="AD204" s="224">
        <v>2547.12</v>
      </c>
      <c r="AE204" s="224">
        <v>3024.79</v>
      </c>
      <c r="AF204" s="224">
        <v>4744.17</v>
      </c>
      <c r="AG204" s="224">
        <v>3054.06</v>
      </c>
      <c r="AH204" s="224">
        <v>3080.83</v>
      </c>
      <c r="AI204" s="224">
        <v>3660</v>
      </c>
      <c r="AJ204" s="224">
        <v>3614.06</v>
      </c>
      <c r="AK204" s="224">
        <v>3533.04</v>
      </c>
      <c r="AL204" s="224">
        <v>3208.75</v>
      </c>
      <c r="AM204" s="224">
        <v>4778.0600000000004</v>
      </c>
    </row>
    <row r="205" spans="1:39" ht="14.4">
      <c r="A205" s="142" t="s">
        <v>149</v>
      </c>
      <c r="B205" s="171">
        <f t="shared" ca="1" si="99"/>
        <v>301.10000000000002</v>
      </c>
      <c r="C205" s="166" t="str">
        <f t="shared" si="95"/>
        <v>WAGES MEDICAL RECORDS</v>
      </c>
      <c r="D205" s="166" t="str">
        <f t="shared" si="96"/>
        <v>MEDICAL RECORDS</v>
      </c>
      <c r="E205" s="166" t="str">
        <f t="shared" si="97"/>
        <v>WAGES</v>
      </c>
      <c r="F205" s="166" t="str">
        <f t="shared" si="98"/>
        <v>500010</v>
      </c>
      <c r="H205" s="224" t="s">
        <v>518</v>
      </c>
      <c r="I205" s="225">
        <v>500010</v>
      </c>
      <c r="J205" s="224">
        <v>1519.1100000000001</v>
      </c>
      <c r="K205" s="224">
        <v>852.32</v>
      </c>
      <c r="L205" s="224">
        <v>2709.42</v>
      </c>
      <c r="M205" s="224">
        <v>2665.7200000000003</v>
      </c>
      <c r="N205" s="224">
        <v>2624</v>
      </c>
      <c r="O205" s="224">
        <v>2485.92</v>
      </c>
      <c r="P205" s="224">
        <v>2199.5700000000002</v>
      </c>
      <c r="Q205" s="224">
        <v>3388.1</v>
      </c>
      <c r="R205" s="224">
        <v>4263.6499999999996</v>
      </c>
      <c r="S205" s="224">
        <v>-479</v>
      </c>
      <c r="T205" s="224">
        <v>3293.37</v>
      </c>
      <c r="U205" s="224">
        <v>1842.6000000000001</v>
      </c>
      <c r="V205" s="224">
        <v>1923.39</v>
      </c>
      <c r="W205" s="224">
        <v>1901.06</v>
      </c>
      <c r="X205" s="224">
        <v>459.85</v>
      </c>
      <c r="Y205" s="224">
        <v>3147.19</v>
      </c>
      <c r="Z205" s="224">
        <v>3173.6800000000003</v>
      </c>
      <c r="AA205" s="224">
        <v>97.13</v>
      </c>
      <c r="AB205" s="224">
        <v>926.94</v>
      </c>
      <c r="AC205" s="224">
        <v>475.97</v>
      </c>
      <c r="AD205" s="224">
        <v>0</v>
      </c>
      <c r="AE205" s="224">
        <v>3098.2400000000002</v>
      </c>
      <c r="AF205" s="224">
        <v>2119.87</v>
      </c>
      <c r="AG205" s="224">
        <v>1676.73</v>
      </c>
      <c r="AH205" s="224">
        <v>85.7</v>
      </c>
      <c r="AI205" s="224">
        <v>709.78</v>
      </c>
      <c r="AJ205" s="224">
        <v>5294.89</v>
      </c>
      <c r="AK205" s="224">
        <v>3750.9500000000003</v>
      </c>
      <c r="AL205" s="224">
        <v>4229.8900000000003</v>
      </c>
      <c r="AM205" s="224">
        <v>4160.8500000000004</v>
      </c>
    </row>
    <row r="206" spans="1:39" ht="14.4">
      <c r="A206" s="142" t="s">
        <v>149</v>
      </c>
      <c r="B206" s="171">
        <f t="shared" ca="1" si="99"/>
        <v>310.10000000000002</v>
      </c>
      <c r="C206" s="166" t="str">
        <f t="shared" si="95"/>
        <v>WAGES COMMUNITY RELATIONS</v>
      </c>
      <c r="D206" s="166" t="str">
        <f t="shared" si="96"/>
        <v>COMMUNITY RELATIONS</v>
      </c>
      <c r="E206" s="166" t="str">
        <f t="shared" si="97"/>
        <v>WAGES</v>
      </c>
      <c r="F206" s="166" t="str">
        <f t="shared" si="98"/>
        <v>500010</v>
      </c>
      <c r="H206" s="224" t="s">
        <v>519</v>
      </c>
      <c r="I206" s="225">
        <v>500010</v>
      </c>
      <c r="J206" s="224">
        <v>-833.14</v>
      </c>
      <c r="K206" s="224">
        <v>0</v>
      </c>
      <c r="L206" s="224">
        <v>0</v>
      </c>
      <c r="M206" s="224">
        <v>0</v>
      </c>
      <c r="N206" s="224">
        <v>462.86</v>
      </c>
      <c r="O206" s="224">
        <v>231.42000000000002</v>
      </c>
      <c r="P206" s="224">
        <v>416.58</v>
      </c>
      <c r="Q206" s="224">
        <v>246.85</v>
      </c>
      <c r="R206" s="224">
        <v>-1051.99</v>
      </c>
      <c r="S206" s="224">
        <v>-1687.88</v>
      </c>
      <c r="T206" s="224">
        <v>317.8</v>
      </c>
      <c r="U206" s="224">
        <v>-635.64</v>
      </c>
      <c r="V206" s="224">
        <v>0</v>
      </c>
      <c r="W206" s="224">
        <v>0</v>
      </c>
      <c r="X206" s="224">
        <v>1875.65</v>
      </c>
      <c r="Y206" s="224">
        <v>2401.1799999999998</v>
      </c>
      <c r="Z206" s="224">
        <v>1792.6200000000001</v>
      </c>
      <c r="AA206" s="224">
        <v>-197.81</v>
      </c>
      <c r="AB206" s="224">
        <v>0</v>
      </c>
      <c r="AC206" s="224">
        <v>0</v>
      </c>
      <c r="AD206" s="224">
        <v>0</v>
      </c>
      <c r="AE206" s="224">
        <v>4400</v>
      </c>
      <c r="AF206" s="224">
        <v>4467.4400000000005</v>
      </c>
      <c r="AG206" s="224">
        <v>4138.2700000000004</v>
      </c>
      <c r="AH206" s="224">
        <v>4488.01</v>
      </c>
      <c r="AI206" s="224">
        <v>4225.72</v>
      </c>
      <c r="AJ206" s="224">
        <v>4517.12</v>
      </c>
      <c r="AK206" s="224">
        <v>4371.4400000000005</v>
      </c>
      <c r="AL206" s="224">
        <v>4517.16</v>
      </c>
      <c r="AM206" s="224">
        <v>3759.4</v>
      </c>
    </row>
    <row r="207" spans="1:39" ht="14.4">
      <c r="A207" s="142" t="s">
        <v>149</v>
      </c>
      <c r="B207" s="171">
        <f t="shared" ca="1" si="99"/>
        <v>311.10000000000002</v>
      </c>
      <c r="C207" s="166" t="str">
        <f t="shared" si="95"/>
        <v>WAGES ADMINISTRATION</v>
      </c>
      <c r="D207" s="166" t="str">
        <f t="shared" si="96"/>
        <v>ADMINISTRATION</v>
      </c>
      <c r="E207" s="166" t="str">
        <f t="shared" si="97"/>
        <v>WAGES</v>
      </c>
      <c r="F207" s="166" t="str">
        <f t="shared" si="98"/>
        <v>500010</v>
      </c>
      <c r="H207" s="224" t="s">
        <v>520</v>
      </c>
      <c r="I207" s="225">
        <v>500010</v>
      </c>
      <c r="J207" s="224">
        <v>13803.31</v>
      </c>
      <c r="K207" s="224">
        <v>11894.51</v>
      </c>
      <c r="L207" s="224">
        <v>14160.77</v>
      </c>
      <c r="M207" s="224">
        <v>13198.61</v>
      </c>
      <c r="N207" s="224">
        <v>11465.77</v>
      </c>
      <c r="O207" s="224">
        <v>14085</v>
      </c>
      <c r="P207" s="224">
        <v>13565.95</v>
      </c>
      <c r="Q207" s="224">
        <v>13204.050000000001</v>
      </c>
      <c r="R207" s="224">
        <v>13418.960000000001</v>
      </c>
      <c r="S207" s="224">
        <v>13861.07</v>
      </c>
      <c r="T207" s="224">
        <v>13302.51</v>
      </c>
      <c r="U207" s="224">
        <v>13685.470000000001</v>
      </c>
      <c r="V207" s="224">
        <v>12646.23</v>
      </c>
      <c r="W207" s="224">
        <v>12516.9</v>
      </c>
      <c r="X207" s="224">
        <v>13704.84</v>
      </c>
      <c r="Y207" s="224">
        <v>13570.1</v>
      </c>
      <c r="Z207" s="224">
        <v>14149.93</v>
      </c>
      <c r="AA207" s="224">
        <v>13194.26</v>
      </c>
      <c r="AB207" s="224">
        <v>13308.64</v>
      </c>
      <c r="AC207" s="224">
        <v>14555</v>
      </c>
      <c r="AD207" s="224">
        <v>13739.49</v>
      </c>
      <c r="AE207" s="224">
        <v>14021.01</v>
      </c>
      <c r="AF207" s="224">
        <v>14032.54</v>
      </c>
      <c r="AG207" s="224">
        <v>12134.87</v>
      </c>
      <c r="AH207" s="224">
        <v>13329.24</v>
      </c>
      <c r="AI207" s="224">
        <v>13095.64</v>
      </c>
      <c r="AJ207" s="224">
        <v>14012.09</v>
      </c>
      <c r="AK207" s="224">
        <v>13378.28</v>
      </c>
      <c r="AL207" s="224">
        <v>14969.57</v>
      </c>
      <c r="AM207" s="224">
        <v>13730.64</v>
      </c>
    </row>
    <row r="208" spans="1:39" ht="14.4">
      <c r="A208" s="142" t="s">
        <v>149</v>
      </c>
      <c r="B208" s="171">
        <f t="shared" ca="1" si="99"/>
        <v>318.10000000000002</v>
      </c>
      <c r="C208" s="166" t="str">
        <f t="shared" si="95"/>
        <v>WAGES TRANSPORTATION</v>
      </c>
      <c r="D208" s="166" t="str">
        <f t="shared" si="96"/>
        <v>TRANSPORTATION</v>
      </c>
      <c r="E208" s="166" t="str">
        <f t="shared" si="97"/>
        <v>WAGES</v>
      </c>
      <c r="F208" s="166" t="str">
        <f t="shared" si="98"/>
        <v>500010</v>
      </c>
      <c r="H208" s="224" t="s">
        <v>524</v>
      </c>
      <c r="I208" s="225">
        <v>500010</v>
      </c>
      <c r="J208" s="227">
        <v>2362.04</v>
      </c>
      <c r="K208" s="227">
        <v>1859.47</v>
      </c>
      <c r="L208" s="227">
        <v>1096.6000000000001</v>
      </c>
      <c r="M208" s="227">
        <v>1853.83</v>
      </c>
      <c r="N208" s="227">
        <v>1321.77</v>
      </c>
      <c r="O208" s="227">
        <v>943.96</v>
      </c>
      <c r="P208" s="227">
        <v>245.4</v>
      </c>
      <c r="Q208" s="227">
        <v>187.25</v>
      </c>
      <c r="R208" s="227">
        <v>273.70999999999998</v>
      </c>
      <c r="S208" s="227">
        <v>236.68</v>
      </c>
      <c r="T208" s="227">
        <v>437.33</v>
      </c>
      <c r="U208" s="227">
        <v>230.71</v>
      </c>
      <c r="V208" s="227">
        <v>94.69</v>
      </c>
      <c r="W208" s="227">
        <v>0</v>
      </c>
      <c r="X208" s="227">
        <v>0</v>
      </c>
      <c r="Y208" s="227">
        <v>68.92</v>
      </c>
      <c r="Z208" s="227">
        <v>-18.14</v>
      </c>
      <c r="AA208" s="227">
        <v>148.53</v>
      </c>
      <c r="AB208" s="227">
        <v>259.33</v>
      </c>
      <c r="AC208" s="227">
        <v>202.91</v>
      </c>
      <c r="AD208" s="227">
        <v>-40.97</v>
      </c>
      <c r="AE208" s="227">
        <v>0</v>
      </c>
      <c r="AF208" s="227">
        <v>18.190000000000001</v>
      </c>
      <c r="AG208" s="227">
        <v>0</v>
      </c>
      <c r="AH208" s="227">
        <v>0</v>
      </c>
      <c r="AI208" s="227">
        <v>0</v>
      </c>
      <c r="AJ208" s="227">
        <v>0</v>
      </c>
      <c r="AK208" s="227">
        <v>0</v>
      </c>
      <c r="AL208" s="227">
        <v>0</v>
      </c>
      <c r="AM208" s="227">
        <v>0</v>
      </c>
    </row>
    <row r="209" spans="1:39" ht="14.4">
      <c r="A209" s="142" t="str">
        <f t="shared" si="100"/>
        <v/>
      </c>
      <c r="B209" s="171" t="str">
        <f t="shared" ca="1" si="99"/>
        <v/>
      </c>
      <c r="C209" s="166" t="str">
        <f t="shared" si="95"/>
        <v/>
      </c>
      <c r="D209" s="166" t="str">
        <f t="shared" si="96"/>
        <v/>
      </c>
      <c r="E209" s="166" t="str">
        <f t="shared" si="97"/>
        <v/>
      </c>
      <c r="F209" s="166"/>
      <c r="H209" s="226" t="s">
        <v>150</v>
      </c>
      <c r="I209" s="225">
        <v>500010</v>
      </c>
      <c r="J209" s="224">
        <v>45874.37</v>
      </c>
      <c r="K209" s="224">
        <v>43009.96</v>
      </c>
      <c r="L209" s="224">
        <v>47526.799999999996</v>
      </c>
      <c r="M209" s="224">
        <v>46279.33</v>
      </c>
      <c r="N209" s="224">
        <v>45099.63</v>
      </c>
      <c r="O209" s="224">
        <v>45471.96</v>
      </c>
      <c r="P209" s="224">
        <v>44555.920000000006</v>
      </c>
      <c r="Q209" s="224">
        <v>46615.08</v>
      </c>
      <c r="R209" s="224">
        <v>49300.61</v>
      </c>
      <c r="S209" s="224">
        <v>38589.25</v>
      </c>
      <c r="T209" s="224">
        <v>43639.86</v>
      </c>
      <c r="U209" s="224">
        <v>43176.43</v>
      </c>
      <c r="V209" s="224">
        <v>43557.47</v>
      </c>
      <c r="W209" s="224">
        <v>35246.06</v>
      </c>
      <c r="X209" s="224">
        <v>42526.17</v>
      </c>
      <c r="Y209" s="224">
        <v>47858.26999999999</v>
      </c>
      <c r="Z209" s="224">
        <v>44553.78</v>
      </c>
      <c r="AA209" s="224">
        <v>39398.25</v>
      </c>
      <c r="AB209" s="224">
        <v>35128.19</v>
      </c>
      <c r="AC209" s="224">
        <v>41496.48000000001</v>
      </c>
      <c r="AD209" s="224">
        <v>33431.53</v>
      </c>
      <c r="AE209" s="224">
        <v>42845.440000000002</v>
      </c>
      <c r="AF209" s="224">
        <v>41333.49</v>
      </c>
      <c r="AG209" s="224">
        <v>38279.69</v>
      </c>
      <c r="AH209" s="224">
        <v>37022.399999999994</v>
      </c>
      <c r="AI209" s="224">
        <v>35673.64</v>
      </c>
      <c r="AJ209" s="224">
        <v>41944.259999999995</v>
      </c>
      <c r="AK209" s="224">
        <v>39399.730000000003</v>
      </c>
      <c r="AL209" s="224">
        <v>40514.44</v>
      </c>
      <c r="AM209" s="224">
        <v>40422.36</v>
      </c>
    </row>
  </sheetData>
  <conditionalFormatting sqref="B23:B27">
    <cfRule type="expression" dxfId="17" priority="19" stopIfTrue="1">
      <formula>AND(B23&gt;=100,B23&lt;=199)</formula>
    </cfRule>
    <cfRule type="expression" dxfId="16" priority="20" stopIfTrue="1">
      <formula>AND(B23&gt;=200,B23&lt;=299)</formula>
    </cfRule>
    <cfRule type="expression" dxfId="15" priority="21" stopIfTrue="1">
      <formula>AND(B23&gt;=300,B23&lt;=399)</formula>
    </cfRule>
    <cfRule type="expression" dxfId="14" priority="22" stopIfTrue="1">
      <formula>AND(B23&gt;=400,B23&lt;=499)</formula>
    </cfRule>
    <cfRule type="expression" dxfId="13" priority="23" stopIfTrue="1">
      <formula>AND(B23&gt;=900,B23&lt;=999)</formula>
    </cfRule>
    <cfRule type="expression" dxfId="12" priority="24" stopIfTrue="1">
      <formula>AND(B23&gt;=1000,B23&lt;=1999)</formula>
    </cfRule>
  </conditionalFormatting>
  <conditionalFormatting sqref="B28:B46 B48:B154 B156 B158:B173 B177:B209">
    <cfRule type="expression" dxfId="11" priority="13" stopIfTrue="1">
      <formula>AND(B28&gt;=100,B28&lt;=199)</formula>
    </cfRule>
    <cfRule type="expression" dxfId="10" priority="14" stopIfTrue="1">
      <formula>AND(B28&gt;=200,B28&lt;=299)</formula>
    </cfRule>
    <cfRule type="expression" dxfId="9" priority="15" stopIfTrue="1">
      <formula>AND(B28&gt;=300,B28&lt;=399)</formula>
    </cfRule>
    <cfRule type="expression" dxfId="8" priority="16" stopIfTrue="1">
      <formula>AND(B28&gt;=400,B28&lt;=499)</formula>
    </cfRule>
    <cfRule type="expression" dxfId="7" priority="17" stopIfTrue="1">
      <formula>AND(B28&gt;=900,B28&lt;=999)</formula>
    </cfRule>
    <cfRule type="expression" dxfId="6" priority="18" stopIfTrue="1">
      <formula>AND(B28&gt;=1000,B28&lt;=1999)</formula>
    </cfRule>
  </conditionalFormatting>
  <conditionalFormatting sqref="B174:B176">
    <cfRule type="expression" dxfId="5" priority="1" stopIfTrue="1">
      <formula>AND(B174&gt;=100,B174&lt;=199)</formula>
    </cfRule>
    <cfRule type="expression" dxfId="4" priority="2" stopIfTrue="1">
      <formula>AND(B174&gt;=200,B174&lt;=299)</formula>
    </cfRule>
    <cfRule type="expression" dxfId="3" priority="3" stopIfTrue="1">
      <formula>AND(B174&gt;=300,B174&lt;=399)</formula>
    </cfRule>
    <cfRule type="expression" dxfId="2" priority="4" stopIfTrue="1">
      <formula>AND(B174&gt;=400,B174&lt;=499)</formula>
    </cfRule>
    <cfRule type="expression" dxfId="1" priority="5" stopIfTrue="1">
      <formula>AND(B174&gt;=900,B174&lt;=999)</formula>
    </cfRule>
    <cfRule type="expression" dxfId="0" priority="6" stopIfTrue="1">
      <formula>AND(B174&gt;=1000,B174&lt;=1999)</formula>
    </cfRule>
  </conditionalFormatting>
  <pageMargins left="0.75" right="0.75" top="0.65" bottom="0.78" header="0.5" footer="0.5"/>
  <pageSetup scale="19" fitToHeight="3" orientation="landscape" r:id="rId1"/>
  <headerFooter alignWithMargins="0">
    <oddFooter>&amp;L&amp;F</oddFooter>
  </headerFooter>
  <ignoredErrors>
    <ignoredError sqref="H4:H6" numberStoredAsText="1"/>
    <ignoredError sqref="X155:AM155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15</vt:i4>
      </vt:variant>
    </vt:vector>
  </HeadingPairs>
  <TitlesOfParts>
    <vt:vector size="19" baseType="lpstr">
      <vt:lpstr>LOOKUPS</vt:lpstr>
      <vt:lpstr>Willow Springs - UW</vt:lpstr>
      <vt:lpstr>Willow Springs - LABOR</vt:lpstr>
      <vt:lpstr>Willow Springs</vt:lpstr>
      <vt:lpstr>BAD_DEBT</vt:lpstr>
      <vt:lpstr>CENSUS_LOOKUP</vt:lpstr>
      <vt:lpstr>EB_PERC</vt:lpstr>
      <vt:lpstr>EXP_LOOKUP</vt:lpstr>
      <vt:lpstr>INFLATION_FACTOR</vt:lpstr>
      <vt:lpstr>MANAGEMENT_FEE</vt:lpstr>
      <vt:lpstr>PR_TAX_PERC</vt:lpstr>
      <vt:lpstr>PRO_FORMA_NSNG_LABOR</vt:lpstr>
      <vt:lpstr>REV_LOOKUP</vt:lpstr>
      <vt:lpstr>Therapies_PPD</vt:lpstr>
      <vt:lpstr>VIG_HKPNG_PPD</vt:lpstr>
      <vt:lpstr>VIG_LNDRY_PPD</vt:lpstr>
      <vt:lpstr>VIG_NURSING_PPD</vt:lpstr>
      <vt:lpstr>WAGE_CODING</vt:lpstr>
      <vt:lpstr>WC_MULTIPLIER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Berry</dc:creator>
  <cp:lastModifiedBy>John Berry</cp:lastModifiedBy>
  <dcterms:created xsi:type="dcterms:W3CDTF">2016-08-01T14:37:24Z</dcterms:created>
  <dcterms:modified xsi:type="dcterms:W3CDTF">2016-08-05T23:01:11Z</dcterms:modified>
</cp:coreProperties>
</file>